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1.xml" ContentType="application/vnd.openxmlformats-officedocument.spreadsheetml.chart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Shared drives\Volkswagen PA - Contrôleurs\1- Dossier de fin de mois\a) Réalisé\2026\"/>
    </mc:Choice>
  </mc:AlternateContent>
  <xr:revisionPtr revIDLastSave="0" documentId="13_ncr:1_{A1256C55-AB6A-4BB4-8715-68A27AA672AC}" xr6:coauthVersionLast="47" xr6:coauthVersionMax="47" xr10:uidLastSave="{00000000-0000-0000-0000-000000000000}"/>
  <bookViews>
    <workbookView xWindow="28680" yWindow="-120" windowWidth="29040" windowHeight="15720" activeTab="1"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2pager" sheetId="8" r:id="rId8"/>
    <sheet name="Chart1" sheetId="19" r:id="rId9"/>
    <sheet name="Print_Mois" sheetId="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externalReferences>
    <externalReference r:id="rId22"/>
  </externalReferences>
  <definedNames>
    <definedName name="_xlnm._FilterDatabase" localSheetId="17" hidden="1">BV_Data_An_Cour!$A$1:$X$460</definedName>
    <definedName name="_xlnm._FilterDatabase" localSheetId="19" hidden="1">BV_Data_An_Prec!$A$1:$X$1055</definedName>
    <definedName name="_xlnm._FilterDatabase" localSheetId="18" hidden="1">Data_Validation!$A$1:$G$951</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Ticker" localSheetId="11">#REF!</definedName>
    <definedName name="Ticker">#REF!</definedName>
    <definedName name="_xlnm.Print_Area" localSheetId="13">Print_AAD!$C$1:$S$353,Print_AAD!$V$402:$AO$498</definedName>
    <definedName name="_xlnm.Print_Area" localSheetId="9">Print_Mois!$C$1:$S$353,Print_Mois!$V$402:$AO$498</definedName>
  </definedNames>
  <calcPr calcId="191029"/>
</workbook>
</file>

<file path=xl/calcChain.xml><?xml version="1.0" encoding="utf-8"?>
<calcChain xmlns="http://schemas.openxmlformats.org/spreadsheetml/2006/main">
  <c r="F401" i="12" l="1"/>
  <c r="F400" i="9"/>
  <c r="F401" i="9"/>
  <c r="S460" i="15" l="1"/>
  <c r="R460" i="15"/>
  <c r="Q460" i="15"/>
  <c r="N460" i="15" s="1"/>
  <c r="M460" i="15"/>
  <c r="L460" i="15"/>
  <c r="X460" i="15" s="1"/>
  <c r="S459" i="15"/>
  <c r="R459" i="15"/>
  <c r="Q459" i="15"/>
  <c r="N459" i="15" s="1"/>
  <c r="M459" i="15"/>
  <c r="L459" i="15"/>
  <c r="X459" i="15" s="1"/>
  <c r="S458" i="15"/>
  <c r="R458" i="15"/>
  <c r="Q458" i="15"/>
  <c r="O458" i="15" s="1"/>
  <c r="M458" i="15"/>
  <c r="L458" i="15"/>
  <c r="X458" i="15" s="1"/>
  <c r="S457" i="15"/>
  <c r="R457" i="15"/>
  <c r="Q457" i="15"/>
  <c r="P457" i="15" s="1"/>
  <c r="M457" i="15"/>
  <c r="L457" i="15"/>
  <c r="X457" i="15" s="1"/>
  <c r="S456" i="15"/>
  <c r="R456" i="15"/>
  <c r="Q456" i="15"/>
  <c r="P456" i="15" s="1"/>
  <c r="M456" i="15"/>
  <c r="L456" i="15"/>
  <c r="X456" i="15" s="1"/>
  <c r="S455" i="15"/>
  <c r="R455" i="15"/>
  <c r="Q455" i="15"/>
  <c r="P455" i="15" s="1"/>
  <c r="M455" i="15"/>
  <c r="L455" i="15"/>
  <c r="X455" i="15" s="1"/>
  <c r="S454" i="15"/>
  <c r="R454" i="15"/>
  <c r="Q454" i="15"/>
  <c r="P454" i="15" s="1"/>
  <c r="M454" i="15"/>
  <c r="L454" i="15"/>
  <c r="W454" i="15" s="1"/>
  <c r="S453" i="15"/>
  <c r="R453" i="15"/>
  <c r="Q453" i="15"/>
  <c r="P453" i="15" s="1"/>
  <c r="M453" i="15"/>
  <c r="L453" i="15"/>
  <c r="T453" i="15" s="1"/>
  <c r="S452" i="15"/>
  <c r="R452" i="15"/>
  <c r="Q452" i="15"/>
  <c r="P452" i="15" s="1"/>
  <c r="M452" i="15"/>
  <c r="L452" i="15"/>
  <c r="U452" i="15" s="1"/>
  <c r="S451" i="15"/>
  <c r="R451" i="15"/>
  <c r="Q451" i="15"/>
  <c r="P451" i="15" s="1"/>
  <c r="M451" i="15"/>
  <c r="L451" i="15"/>
  <c r="V451" i="15" s="1"/>
  <c r="S450" i="15"/>
  <c r="R450" i="15"/>
  <c r="Q450" i="15"/>
  <c r="P450" i="15" s="1"/>
  <c r="M450" i="15"/>
  <c r="L450" i="15"/>
  <c r="W450" i="15" s="1"/>
  <c r="S449" i="15"/>
  <c r="R449" i="15"/>
  <c r="Q449" i="15"/>
  <c r="P449" i="15" s="1"/>
  <c r="M449" i="15"/>
  <c r="L449" i="15"/>
  <c r="X449" i="15" s="1"/>
  <c r="S448" i="15"/>
  <c r="R448" i="15"/>
  <c r="Q448" i="15"/>
  <c r="N448" i="15" s="1"/>
  <c r="M448" i="15"/>
  <c r="L448" i="15"/>
  <c r="X448" i="15" s="1"/>
  <c r="S447" i="15"/>
  <c r="R447" i="15"/>
  <c r="Q447" i="15"/>
  <c r="N447" i="15" s="1"/>
  <c r="M447" i="15"/>
  <c r="L447" i="15"/>
  <c r="X447" i="15" s="1"/>
  <c r="S446" i="15"/>
  <c r="R446" i="15"/>
  <c r="Q446" i="15"/>
  <c r="N446" i="15" s="1"/>
  <c r="M446" i="15"/>
  <c r="L446" i="15"/>
  <c r="X446" i="15" s="1"/>
  <c r="S445" i="15"/>
  <c r="R445" i="15"/>
  <c r="Q445" i="15"/>
  <c r="O445" i="15" s="1"/>
  <c r="M445" i="15"/>
  <c r="L445" i="15"/>
  <c r="X445" i="15" s="1"/>
  <c r="S444" i="15"/>
  <c r="R444" i="15"/>
  <c r="Q444" i="15"/>
  <c r="P444" i="15" s="1"/>
  <c r="M444" i="15"/>
  <c r="L444" i="15"/>
  <c r="X444" i="15" s="1"/>
  <c r="S443" i="15"/>
  <c r="R443" i="15"/>
  <c r="Q443" i="15"/>
  <c r="O443" i="15" s="1"/>
  <c r="M443" i="15"/>
  <c r="L443" i="15"/>
  <c r="X443" i="15" s="1"/>
  <c r="S442" i="15"/>
  <c r="R442" i="15"/>
  <c r="Q442" i="15"/>
  <c r="P442" i="15" s="1"/>
  <c r="M442" i="15"/>
  <c r="L442" i="15"/>
  <c r="X442" i="15" s="1"/>
  <c r="S441" i="15"/>
  <c r="R441" i="15"/>
  <c r="Q441" i="15"/>
  <c r="P441" i="15" s="1"/>
  <c r="M441" i="15"/>
  <c r="L441" i="15"/>
  <c r="X441" i="15" s="1"/>
  <c r="S440" i="15"/>
  <c r="R440" i="15"/>
  <c r="Q440" i="15"/>
  <c r="P440" i="15" s="1"/>
  <c r="M440" i="15"/>
  <c r="L440" i="15"/>
  <c r="T440" i="15" s="1"/>
  <c r="S439" i="15"/>
  <c r="R439" i="15"/>
  <c r="Q439" i="15"/>
  <c r="P439" i="15" s="1"/>
  <c r="M439" i="15"/>
  <c r="L439" i="15"/>
  <c r="U439" i="15" s="1"/>
  <c r="S438" i="15"/>
  <c r="R438" i="15"/>
  <c r="Q438" i="15"/>
  <c r="P438" i="15" s="1"/>
  <c r="M438" i="15"/>
  <c r="L438" i="15"/>
  <c r="V438" i="15" s="1"/>
  <c r="S437" i="15"/>
  <c r="R437" i="15"/>
  <c r="Q437" i="15"/>
  <c r="P437" i="15" s="1"/>
  <c r="M437" i="15"/>
  <c r="L437" i="15"/>
  <c r="W437" i="15" s="1"/>
  <c r="S436" i="15"/>
  <c r="R436" i="15"/>
  <c r="Q436" i="15"/>
  <c r="P436" i="15" s="1"/>
  <c r="M436" i="15"/>
  <c r="L436" i="15"/>
  <c r="X436" i="15" s="1"/>
  <c r="S435" i="15"/>
  <c r="R435" i="15"/>
  <c r="Q435" i="15"/>
  <c r="P435" i="15" s="1"/>
  <c r="M435" i="15"/>
  <c r="L435" i="15"/>
  <c r="X435" i="15" s="1"/>
  <c r="S434" i="15"/>
  <c r="R434" i="15"/>
  <c r="Q434" i="15"/>
  <c r="N434" i="15" s="1"/>
  <c r="M434" i="15"/>
  <c r="L434" i="15"/>
  <c r="X434" i="15" s="1"/>
  <c r="S433" i="15"/>
  <c r="R433" i="15"/>
  <c r="Q433" i="15"/>
  <c r="O433" i="15" s="1"/>
  <c r="M433" i="15"/>
  <c r="L433" i="15"/>
  <c r="X433" i="15" s="1"/>
  <c r="S432" i="15"/>
  <c r="R432" i="15"/>
  <c r="Q432" i="15"/>
  <c r="P432" i="15" s="1"/>
  <c r="M432" i="15"/>
  <c r="L432" i="15"/>
  <c r="X432" i="15" s="1"/>
  <c r="S431" i="15"/>
  <c r="R431" i="15"/>
  <c r="Q431" i="15"/>
  <c r="P431" i="15" s="1"/>
  <c r="M431" i="15"/>
  <c r="L431" i="15"/>
  <c r="X431" i="15" s="1"/>
  <c r="S430" i="15"/>
  <c r="R430" i="15"/>
  <c r="Q430" i="15"/>
  <c r="P430" i="15" s="1"/>
  <c r="M430" i="15"/>
  <c r="L430" i="15"/>
  <c r="X430" i="15" s="1"/>
  <c r="S429" i="15"/>
  <c r="R429" i="15"/>
  <c r="Q429" i="15"/>
  <c r="N429" i="15" s="1"/>
  <c r="M429" i="15"/>
  <c r="L429" i="15"/>
  <c r="X429" i="15" s="1"/>
  <c r="S428" i="15"/>
  <c r="R428" i="15"/>
  <c r="Q428" i="15"/>
  <c r="P428" i="15" s="1"/>
  <c r="M428" i="15"/>
  <c r="L428" i="15"/>
  <c r="T428" i="15" s="1"/>
  <c r="S427" i="15"/>
  <c r="R427" i="15"/>
  <c r="Q427" i="15"/>
  <c r="P427" i="15" s="1"/>
  <c r="M427" i="15"/>
  <c r="L427" i="15"/>
  <c r="U427" i="15" s="1"/>
  <c r="S426" i="15"/>
  <c r="R426" i="15"/>
  <c r="Q426" i="15"/>
  <c r="P426" i="15" s="1"/>
  <c r="M426" i="15"/>
  <c r="L426" i="15"/>
  <c r="V426" i="15" s="1"/>
  <c r="S425" i="15"/>
  <c r="R425" i="15"/>
  <c r="Q425" i="15"/>
  <c r="P425" i="15" s="1"/>
  <c r="M425" i="15"/>
  <c r="L425" i="15"/>
  <c r="W425" i="15" s="1"/>
  <c r="S424" i="15"/>
  <c r="R424" i="15"/>
  <c r="Q424" i="15"/>
  <c r="N424" i="15" s="1"/>
  <c r="M424" i="15"/>
  <c r="L424" i="15"/>
  <c r="X424" i="15" s="1"/>
  <c r="S423" i="15"/>
  <c r="R423" i="15"/>
  <c r="Q423" i="15"/>
  <c r="P423" i="15" s="1"/>
  <c r="M423" i="15"/>
  <c r="L423" i="15"/>
  <c r="X423" i="15" s="1"/>
  <c r="S422" i="15"/>
  <c r="R422" i="15"/>
  <c r="Q422" i="15"/>
  <c r="N422" i="15" s="1"/>
  <c r="M422" i="15"/>
  <c r="L422" i="15"/>
  <c r="X422" i="15" s="1"/>
  <c r="S421" i="15"/>
  <c r="R421" i="15"/>
  <c r="Q421" i="15"/>
  <c r="O421" i="15" s="1"/>
  <c r="M421" i="15"/>
  <c r="L421" i="15"/>
  <c r="X421" i="15" s="1"/>
  <c r="S420" i="15"/>
  <c r="R420" i="15"/>
  <c r="Q420" i="15"/>
  <c r="P420" i="15" s="1"/>
  <c r="M420" i="15"/>
  <c r="L420" i="15"/>
  <c r="X420" i="15" s="1"/>
  <c r="S419" i="15"/>
  <c r="R419" i="15"/>
  <c r="Q419" i="15"/>
  <c r="P419" i="15" s="1"/>
  <c r="M419" i="15"/>
  <c r="L419" i="15"/>
  <c r="X419" i="15" s="1"/>
  <c r="S418" i="15"/>
  <c r="R418" i="15"/>
  <c r="Q418" i="15"/>
  <c r="P418" i="15" s="1"/>
  <c r="M418" i="15"/>
  <c r="L418" i="15"/>
  <c r="X418" i="15" s="1"/>
  <c r="S417" i="15"/>
  <c r="R417" i="15"/>
  <c r="Q417" i="15"/>
  <c r="N417" i="15" s="1"/>
  <c r="M417" i="15"/>
  <c r="L417" i="15"/>
  <c r="X417" i="15" s="1"/>
  <c r="S416" i="15"/>
  <c r="R416" i="15"/>
  <c r="Q416" i="15"/>
  <c r="P416" i="15" s="1"/>
  <c r="M416" i="15"/>
  <c r="L416" i="15"/>
  <c r="T416" i="15" s="1"/>
  <c r="S415" i="15"/>
  <c r="R415" i="15"/>
  <c r="Q415" i="15"/>
  <c r="P415" i="15" s="1"/>
  <c r="M415" i="15"/>
  <c r="L415" i="15"/>
  <c r="U415" i="15" s="1"/>
  <c r="S414" i="15"/>
  <c r="R414" i="15"/>
  <c r="Q414" i="15"/>
  <c r="P414" i="15" s="1"/>
  <c r="M414" i="15"/>
  <c r="L414" i="15"/>
  <c r="V414" i="15" s="1"/>
  <c r="S413" i="15"/>
  <c r="R413" i="15"/>
  <c r="Q413" i="15"/>
  <c r="N413" i="15" s="1"/>
  <c r="M413" i="15"/>
  <c r="L413" i="15"/>
  <c r="W413" i="15" s="1"/>
  <c r="S412" i="15"/>
  <c r="R412" i="15"/>
  <c r="Q412" i="15"/>
  <c r="N412" i="15" s="1"/>
  <c r="M412" i="15"/>
  <c r="L412" i="15"/>
  <c r="X412" i="15" s="1"/>
  <c r="S411" i="15"/>
  <c r="R411" i="15"/>
  <c r="Q411" i="15"/>
  <c r="P411" i="15" s="1"/>
  <c r="M411" i="15"/>
  <c r="L411" i="15"/>
  <c r="X411" i="15" s="1"/>
  <c r="S410" i="15"/>
  <c r="R410" i="15"/>
  <c r="Q410" i="15"/>
  <c r="N410" i="15" s="1"/>
  <c r="M410" i="15"/>
  <c r="L410" i="15"/>
  <c r="X410" i="15" s="1"/>
  <c r="S409" i="15"/>
  <c r="R409" i="15"/>
  <c r="Q409" i="15"/>
  <c r="O409" i="15" s="1"/>
  <c r="M409" i="15"/>
  <c r="L409" i="15"/>
  <c r="X409" i="15" s="1"/>
  <c r="S408" i="15"/>
  <c r="R408" i="15"/>
  <c r="Q408" i="15"/>
  <c r="P408" i="15" s="1"/>
  <c r="M408" i="15"/>
  <c r="L408" i="15"/>
  <c r="X408" i="15" s="1"/>
  <c r="S407" i="15"/>
  <c r="R407" i="15"/>
  <c r="Q407" i="15"/>
  <c r="N407" i="15" s="1"/>
  <c r="M407" i="15"/>
  <c r="L407" i="15"/>
  <c r="X407" i="15" s="1"/>
  <c r="S406" i="15"/>
  <c r="R406" i="15"/>
  <c r="Q406" i="15"/>
  <c r="N406" i="15" s="1"/>
  <c r="M406" i="15"/>
  <c r="L406" i="15"/>
  <c r="X406" i="15" s="1"/>
  <c r="S405" i="15"/>
  <c r="R405" i="15"/>
  <c r="Q405" i="15"/>
  <c r="N405" i="15" s="1"/>
  <c r="M405" i="15"/>
  <c r="L405" i="15"/>
  <c r="X405" i="15" s="1"/>
  <c r="S404" i="15"/>
  <c r="R404" i="15"/>
  <c r="Q404" i="15"/>
  <c r="P404" i="15" s="1"/>
  <c r="M404" i="15"/>
  <c r="L404" i="15"/>
  <c r="T404" i="15" s="1"/>
  <c r="S403" i="15"/>
  <c r="R403" i="15"/>
  <c r="Q403" i="15"/>
  <c r="P403" i="15" s="1"/>
  <c r="M403" i="15"/>
  <c r="L403" i="15"/>
  <c r="U403" i="15" s="1"/>
  <c r="S402" i="15"/>
  <c r="R402" i="15"/>
  <c r="Q402" i="15"/>
  <c r="P402" i="15" s="1"/>
  <c r="M402" i="15"/>
  <c r="L402" i="15"/>
  <c r="V402" i="15" s="1"/>
  <c r="S401" i="15"/>
  <c r="R401" i="15"/>
  <c r="Q401" i="15"/>
  <c r="P401" i="15" s="1"/>
  <c r="M401" i="15"/>
  <c r="L401" i="15"/>
  <c r="W401" i="15" s="1"/>
  <c r="S400" i="15"/>
  <c r="R400" i="15"/>
  <c r="Q400" i="15"/>
  <c r="P400" i="15" s="1"/>
  <c r="M400" i="15"/>
  <c r="L400" i="15"/>
  <c r="X400" i="15" s="1"/>
  <c r="S399" i="15"/>
  <c r="R399" i="15"/>
  <c r="Q399" i="15"/>
  <c r="O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P395" i="15" s="1"/>
  <c r="M395" i="15"/>
  <c r="L395" i="15"/>
  <c r="X395" i="15" s="1"/>
  <c r="S394" i="15"/>
  <c r="R394" i="15"/>
  <c r="Q394" i="15"/>
  <c r="P394" i="15" s="1"/>
  <c r="M394" i="15"/>
  <c r="L394" i="15"/>
  <c r="X394" i="15" s="1"/>
  <c r="S393" i="15"/>
  <c r="R393" i="15"/>
  <c r="Q393" i="15"/>
  <c r="N393" i="15" s="1"/>
  <c r="M393" i="15"/>
  <c r="L393" i="15"/>
  <c r="X393" i="15" s="1"/>
  <c r="S392" i="15"/>
  <c r="R392" i="15"/>
  <c r="Q392" i="15"/>
  <c r="O392" i="15" s="1"/>
  <c r="M392" i="15"/>
  <c r="L392" i="15"/>
  <c r="T392" i="15" s="1"/>
  <c r="S391" i="15"/>
  <c r="R391" i="15"/>
  <c r="Q391" i="15"/>
  <c r="P391" i="15" s="1"/>
  <c r="M391" i="15"/>
  <c r="L391" i="15"/>
  <c r="U391" i="15" s="1"/>
  <c r="S390" i="15"/>
  <c r="R390" i="15"/>
  <c r="Q390" i="15"/>
  <c r="P390" i="15" s="1"/>
  <c r="M390" i="15"/>
  <c r="L390" i="15"/>
  <c r="V390" i="15" s="1"/>
  <c r="S389" i="15"/>
  <c r="R389" i="15"/>
  <c r="Q389" i="15"/>
  <c r="O389" i="15" s="1"/>
  <c r="M389" i="15"/>
  <c r="L389" i="15"/>
  <c r="W389" i="15" s="1"/>
  <c r="S388" i="15"/>
  <c r="R388" i="15"/>
  <c r="Q388" i="15"/>
  <c r="P388" i="15" s="1"/>
  <c r="M388" i="15"/>
  <c r="L388" i="15"/>
  <c r="X388" i="15" s="1"/>
  <c r="S387" i="15"/>
  <c r="R387" i="15"/>
  <c r="Q387" i="15"/>
  <c r="O387" i="15" s="1"/>
  <c r="M387" i="15"/>
  <c r="L387" i="15"/>
  <c r="X387" i="15" s="1"/>
  <c r="S386" i="15"/>
  <c r="R386" i="15"/>
  <c r="Q386" i="15"/>
  <c r="N386" i="15" s="1"/>
  <c r="M386" i="15"/>
  <c r="L386" i="15"/>
  <c r="X386" i="15" s="1"/>
  <c r="S385" i="15"/>
  <c r="R385" i="15"/>
  <c r="Q385" i="15"/>
  <c r="O385" i="15" s="1"/>
  <c r="M385" i="15"/>
  <c r="L385" i="15"/>
  <c r="X385" i="15" s="1"/>
  <c r="S384" i="15"/>
  <c r="R384" i="15"/>
  <c r="Q384" i="15"/>
  <c r="P384" i="15" s="1"/>
  <c r="M384" i="15"/>
  <c r="L384" i="15"/>
  <c r="X384" i="15" s="1"/>
  <c r="S383" i="15"/>
  <c r="R383" i="15"/>
  <c r="Q383" i="15"/>
  <c r="P383" i="15" s="1"/>
  <c r="M383" i="15"/>
  <c r="L383" i="15"/>
  <c r="X383" i="15" s="1"/>
  <c r="S382" i="15"/>
  <c r="R382" i="15"/>
  <c r="Q382" i="15"/>
  <c r="P382" i="15" s="1"/>
  <c r="M382" i="15"/>
  <c r="L382" i="15"/>
  <c r="X382" i="15" s="1"/>
  <c r="S381" i="15"/>
  <c r="R381" i="15"/>
  <c r="Q381" i="15"/>
  <c r="N381" i="15" s="1"/>
  <c r="M381" i="15"/>
  <c r="L381" i="15"/>
  <c r="X381" i="15" s="1"/>
  <c r="S380" i="15"/>
  <c r="R380" i="15"/>
  <c r="Q380" i="15"/>
  <c r="O380" i="15" s="1"/>
  <c r="M380" i="15"/>
  <c r="L380" i="15"/>
  <c r="T380" i="15" s="1"/>
  <c r="S379" i="15"/>
  <c r="R379" i="15"/>
  <c r="Q379" i="15"/>
  <c r="P379" i="15" s="1"/>
  <c r="M379" i="15"/>
  <c r="L379" i="15"/>
  <c r="U379" i="15" s="1"/>
  <c r="S378" i="15"/>
  <c r="R378" i="15"/>
  <c r="Q378" i="15"/>
  <c r="P378" i="15" s="1"/>
  <c r="M378" i="15"/>
  <c r="L378" i="15"/>
  <c r="V378" i="15" s="1"/>
  <c r="S377" i="15"/>
  <c r="R377" i="15"/>
  <c r="Q377" i="15"/>
  <c r="N377" i="15" s="1"/>
  <c r="M377" i="15"/>
  <c r="L377" i="15"/>
  <c r="W377" i="15" s="1"/>
  <c r="S376" i="15"/>
  <c r="R376" i="15"/>
  <c r="Q376" i="15"/>
  <c r="N376" i="15" s="1"/>
  <c r="M376" i="15"/>
  <c r="L376" i="15"/>
  <c r="X376" i="15" s="1"/>
  <c r="S375" i="15"/>
  <c r="R375" i="15"/>
  <c r="Q375" i="15"/>
  <c r="N375" i="15" s="1"/>
  <c r="M375" i="15"/>
  <c r="L375" i="15"/>
  <c r="X375" i="15" s="1"/>
  <c r="S374" i="15"/>
  <c r="R374" i="15"/>
  <c r="Q374" i="15"/>
  <c r="N374" i="15" s="1"/>
  <c r="M374" i="15"/>
  <c r="L374" i="15"/>
  <c r="X374" i="15" s="1"/>
  <c r="P413" i="15" l="1"/>
  <c r="V419" i="15"/>
  <c r="O451" i="15"/>
  <c r="O390" i="15"/>
  <c r="P385" i="15"/>
  <c r="O411" i="15"/>
  <c r="P447" i="15"/>
  <c r="N449" i="15"/>
  <c r="T455" i="15"/>
  <c r="T447" i="15"/>
  <c r="N452" i="15"/>
  <c r="V454" i="15"/>
  <c r="U456" i="15"/>
  <c r="P448" i="15"/>
  <c r="U387" i="15"/>
  <c r="T458" i="15"/>
  <c r="O425" i="15"/>
  <c r="W452" i="15"/>
  <c r="W411" i="15"/>
  <c r="P459" i="15"/>
  <c r="V455" i="15"/>
  <c r="P460" i="15"/>
  <c r="V391" i="15"/>
  <c r="V435" i="15"/>
  <c r="N450" i="15"/>
  <c r="W455" i="15"/>
  <c r="U458" i="15"/>
  <c r="T448" i="15"/>
  <c r="O450" i="15"/>
  <c r="N453" i="15"/>
  <c r="W387" i="15"/>
  <c r="O453" i="15"/>
  <c r="U454" i="15"/>
  <c r="O434" i="15"/>
  <c r="N436" i="15"/>
  <c r="P443" i="15"/>
  <c r="T457" i="15"/>
  <c r="P409" i="15"/>
  <c r="U457" i="15"/>
  <c r="U447" i="15"/>
  <c r="O449" i="15"/>
  <c r="O452" i="15"/>
  <c r="V457" i="15"/>
  <c r="V453" i="15"/>
  <c r="T456" i="15"/>
  <c r="W453" i="15"/>
  <c r="T459" i="15"/>
  <c r="O448" i="15"/>
  <c r="N451" i="15"/>
  <c r="V456" i="15"/>
  <c r="W456" i="15"/>
  <c r="N454" i="15"/>
  <c r="U455" i="15"/>
  <c r="O460" i="15"/>
  <c r="X452" i="15"/>
  <c r="O447" i="15"/>
  <c r="X450" i="15"/>
  <c r="W451" i="15"/>
  <c r="V452" i="15"/>
  <c r="U453" i="15"/>
  <c r="T454" i="15"/>
  <c r="P458" i="15"/>
  <c r="O459" i="15"/>
  <c r="X451" i="15"/>
  <c r="W457" i="15"/>
  <c r="V458" i="15"/>
  <c r="U459" i="15"/>
  <c r="T460" i="15"/>
  <c r="V447" i="15"/>
  <c r="U448" i="15"/>
  <c r="T449" i="15"/>
  <c r="O454" i="15"/>
  <c r="N455" i="15"/>
  <c r="W458" i="15"/>
  <c r="V459" i="15"/>
  <c r="U460" i="15"/>
  <c r="X454" i="15"/>
  <c r="W447" i="15"/>
  <c r="V448" i="15"/>
  <c r="U449" i="15"/>
  <c r="T450" i="15"/>
  <c r="O455" i="15"/>
  <c r="N456" i="15"/>
  <c r="W459" i="15"/>
  <c r="V460" i="15"/>
  <c r="W448" i="15"/>
  <c r="V449" i="15"/>
  <c r="U450" i="15"/>
  <c r="T451" i="15"/>
  <c r="O456" i="15"/>
  <c r="N457" i="15"/>
  <c r="W460" i="15"/>
  <c r="X453" i="15"/>
  <c r="W449" i="15"/>
  <c r="V450" i="15"/>
  <c r="U451" i="15"/>
  <c r="T452" i="15"/>
  <c r="O457" i="15"/>
  <c r="N458" i="15"/>
  <c r="P406" i="15"/>
  <c r="W386" i="15"/>
  <c r="W380" i="15"/>
  <c r="W382" i="15"/>
  <c r="N387" i="15"/>
  <c r="P374" i="15"/>
  <c r="P387" i="15"/>
  <c r="O398" i="15"/>
  <c r="U382" i="15"/>
  <c r="O410" i="15"/>
  <c r="O438" i="15"/>
  <c r="O374" i="15"/>
  <c r="V380" i="15"/>
  <c r="T382" i="15"/>
  <c r="V386" i="15"/>
  <c r="T394" i="15"/>
  <c r="P397" i="15"/>
  <c r="P399" i="15"/>
  <c r="V405" i="15"/>
  <c r="W378" i="15"/>
  <c r="T395" i="15"/>
  <c r="N402" i="15"/>
  <c r="O402" i="15"/>
  <c r="U419" i="15"/>
  <c r="O424" i="15"/>
  <c r="W439" i="15"/>
  <c r="O388" i="15"/>
  <c r="O406" i="15"/>
  <c r="U411" i="15"/>
  <c r="V398" i="15"/>
  <c r="U383" i="15"/>
  <c r="W398" i="15"/>
  <c r="T400" i="15"/>
  <c r="O422" i="15"/>
  <c r="P424" i="15"/>
  <c r="T383" i="15"/>
  <c r="V383" i="15"/>
  <c r="U388" i="15"/>
  <c r="V400" i="15"/>
  <c r="O414" i="15"/>
  <c r="N426" i="15"/>
  <c r="W383" i="15"/>
  <c r="W388" i="15"/>
  <c r="W400" i="15"/>
  <c r="V406" i="15"/>
  <c r="U416" i="15"/>
  <c r="U418" i="15"/>
  <c r="U428" i="15"/>
  <c r="V382" i="15"/>
  <c r="V416" i="15"/>
  <c r="V428" i="15"/>
  <c r="O435" i="15"/>
  <c r="O407" i="15"/>
  <c r="N431" i="15"/>
  <c r="O375" i="15"/>
  <c r="O377" i="15"/>
  <c r="P375" i="15"/>
  <c r="P377" i="15"/>
  <c r="P407" i="15"/>
  <c r="O413" i="15"/>
  <c r="O419" i="15"/>
  <c r="N425" i="15"/>
  <c r="O431" i="15"/>
  <c r="W381" i="15"/>
  <c r="U380" i="15"/>
  <c r="N388" i="15"/>
  <c r="P389" i="15"/>
  <c r="P405" i="15"/>
  <c r="W412" i="15"/>
  <c r="O418" i="15"/>
  <c r="V424" i="15"/>
  <c r="V431" i="15"/>
  <c r="N437" i="15"/>
  <c r="T442" i="15"/>
  <c r="P410" i="15"/>
  <c r="P434" i="15"/>
  <c r="N439" i="15"/>
  <c r="W391" i="15"/>
  <c r="U395" i="15"/>
  <c r="U400" i="15"/>
  <c r="W405" i="15"/>
  <c r="O412" i="15"/>
  <c r="O417" i="15"/>
  <c r="V418" i="15"/>
  <c r="P422" i="15"/>
  <c r="N427" i="15"/>
  <c r="U404" i="15"/>
  <c r="P412" i="15"/>
  <c r="O429" i="15"/>
  <c r="N438" i="15"/>
  <c r="V439" i="15"/>
  <c r="T441" i="15"/>
  <c r="V404" i="15"/>
  <c r="W415" i="15"/>
  <c r="T443" i="15"/>
  <c r="O376" i="15"/>
  <c r="P392" i="15"/>
  <c r="P398" i="15"/>
  <c r="U399" i="15"/>
  <c r="W404" i="15"/>
  <c r="N411" i="15"/>
  <c r="N419" i="15"/>
  <c r="T420" i="15"/>
  <c r="N435" i="15"/>
  <c r="V436" i="15"/>
  <c r="U443" i="15"/>
  <c r="T381" i="15"/>
  <c r="P376" i="15"/>
  <c r="U381" i="15"/>
  <c r="V399" i="15"/>
  <c r="V422" i="15"/>
  <c r="W436" i="15"/>
  <c r="O446" i="15"/>
  <c r="V381" i="15"/>
  <c r="N389" i="15"/>
  <c r="W390" i="15"/>
  <c r="W399" i="15"/>
  <c r="T412" i="15"/>
  <c r="W429" i="15"/>
  <c r="O405" i="15"/>
  <c r="V407" i="15"/>
  <c r="U412" i="15"/>
  <c r="N418" i="15"/>
  <c r="T424" i="15"/>
  <c r="U431" i="15"/>
  <c r="V403" i="15"/>
  <c r="W403" i="15"/>
  <c r="U442" i="15"/>
  <c r="W385" i="15"/>
  <c r="T376" i="15"/>
  <c r="T408" i="15"/>
  <c r="V411" i="15"/>
  <c r="V412" i="15"/>
  <c r="N414" i="15"/>
  <c r="V415" i="15"/>
  <c r="P417" i="15"/>
  <c r="U423" i="15"/>
  <c r="U424" i="15"/>
  <c r="O430" i="15"/>
  <c r="T432" i="15"/>
  <c r="V442" i="15"/>
  <c r="T393" i="15"/>
  <c r="U375" i="15"/>
  <c r="U376" i="15"/>
  <c r="U393" i="15"/>
  <c r="U394" i="15"/>
  <c r="V423" i="15"/>
  <c r="V375" i="15"/>
  <c r="V376" i="15"/>
  <c r="N378" i="15"/>
  <c r="V379" i="15"/>
  <c r="N382" i="15"/>
  <c r="N383" i="15"/>
  <c r="O386" i="15"/>
  <c r="U392" i="15"/>
  <c r="V393" i="15"/>
  <c r="V394" i="15"/>
  <c r="V395" i="15"/>
  <c r="N400" i="15"/>
  <c r="N401" i="15"/>
  <c r="V410" i="15"/>
  <c r="W423" i="15"/>
  <c r="W424" i="15"/>
  <c r="O426" i="15"/>
  <c r="V427" i="15"/>
  <c r="P429" i="15"/>
  <c r="W434" i="15"/>
  <c r="O436" i="15"/>
  <c r="O437" i="15"/>
  <c r="U441" i="15"/>
  <c r="P446" i="15"/>
  <c r="V374" i="15"/>
  <c r="W375" i="15"/>
  <c r="W376" i="15"/>
  <c r="O378" i="15"/>
  <c r="W379" i="15"/>
  <c r="O381" i="15"/>
  <c r="O382" i="15"/>
  <c r="O383" i="15"/>
  <c r="P386" i="15"/>
  <c r="V392" i="15"/>
  <c r="W393" i="15"/>
  <c r="W394" i="15"/>
  <c r="W395" i="15"/>
  <c r="W397" i="15"/>
  <c r="N399" i="15"/>
  <c r="O400" i="15"/>
  <c r="O401" i="15"/>
  <c r="T405" i="15"/>
  <c r="T406" i="15"/>
  <c r="T407" i="15"/>
  <c r="W410" i="15"/>
  <c r="W427" i="15"/>
  <c r="P433" i="15"/>
  <c r="W438" i="15"/>
  <c r="V441" i="15"/>
  <c r="N443" i="15"/>
  <c r="W374" i="15"/>
  <c r="P381" i="15"/>
  <c r="T388" i="15"/>
  <c r="W392" i="15"/>
  <c r="W402" i="15"/>
  <c r="U405" i="15"/>
  <c r="U406" i="15"/>
  <c r="U407" i="15"/>
  <c r="T417" i="15"/>
  <c r="T418" i="15"/>
  <c r="T419" i="15"/>
  <c r="P421" i="15"/>
  <c r="W422" i="15"/>
  <c r="T430" i="15"/>
  <c r="T431" i="15"/>
  <c r="W441" i="15"/>
  <c r="T444" i="15"/>
  <c r="U417" i="15"/>
  <c r="U430" i="15"/>
  <c r="P380" i="15"/>
  <c r="V387" i="15"/>
  <c r="V388" i="15"/>
  <c r="N390" i="15"/>
  <c r="N394" i="15"/>
  <c r="N395" i="15"/>
  <c r="W406" i="15"/>
  <c r="W407" i="15"/>
  <c r="W414" i="15"/>
  <c r="V417" i="15"/>
  <c r="T429" i="15"/>
  <c r="V430" i="15"/>
  <c r="U440" i="15"/>
  <c r="O393" i="15"/>
  <c r="O394" i="15"/>
  <c r="O395" i="15"/>
  <c r="W417" i="15"/>
  <c r="W418" i="15"/>
  <c r="W419" i="15"/>
  <c r="N423" i="15"/>
  <c r="W426" i="15"/>
  <c r="U429" i="15"/>
  <c r="W430" i="15"/>
  <c r="T436" i="15"/>
  <c r="O439" i="15"/>
  <c r="V440" i="15"/>
  <c r="P445" i="15"/>
  <c r="P393" i="15"/>
  <c r="O423" i="15"/>
  <c r="V429" i="15"/>
  <c r="U436" i="15"/>
  <c r="X426" i="15"/>
  <c r="X438" i="15"/>
  <c r="X414" i="15"/>
  <c r="X403" i="15"/>
  <c r="X415" i="15"/>
  <c r="W416" i="15"/>
  <c r="X427" i="15"/>
  <c r="W428" i="15"/>
  <c r="X439" i="15"/>
  <c r="W440" i="15"/>
  <c r="X389" i="15"/>
  <c r="X380" i="15"/>
  <c r="X440" i="15"/>
  <c r="X401" i="15"/>
  <c r="X378" i="15"/>
  <c r="T384" i="15"/>
  <c r="X392" i="15"/>
  <c r="T396" i="15"/>
  <c r="X404" i="15"/>
  <c r="X416" i="15"/>
  <c r="X428" i="15"/>
  <c r="N379" i="15"/>
  <c r="T397" i="15"/>
  <c r="N403" i="15"/>
  <c r="U408" i="15"/>
  <c r="T409" i="15"/>
  <c r="N415" i="15"/>
  <c r="U420" i="15"/>
  <c r="T421" i="15"/>
  <c r="U432" i="15"/>
  <c r="T433" i="15"/>
  <c r="W442" i="15"/>
  <c r="V443" i="15"/>
  <c r="U444" i="15"/>
  <c r="T445" i="15"/>
  <c r="X377" i="15"/>
  <c r="U384" i="15"/>
  <c r="T385" i="15"/>
  <c r="N391" i="15"/>
  <c r="T374" i="15"/>
  <c r="O379" i="15"/>
  <c r="N380" i="15"/>
  <c r="V384" i="15"/>
  <c r="T386" i="15"/>
  <c r="O391" i="15"/>
  <c r="N392" i="15"/>
  <c r="V408" i="15"/>
  <c r="U409" i="15"/>
  <c r="T410" i="15"/>
  <c r="O415" i="15"/>
  <c r="N416" i="15"/>
  <c r="V420" i="15"/>
  <c r="U421" i="15"/>
  <c r="T422" i="15"/>
  <c r="O427" i="15"/>
  <c r="N428" i="15"/>
  <c r="W431" i="15"/>
  <c r="V432" i="15"/>
  <c r="U433" i="15"/>
  <c r="T434" i="15"/>
  <c r="N440" i="15"/>
  <c r="W443" i="15"/>
  <c r="V444" i="15"/>
  <c r="U445" i="15"/>
  <c r="T446" i="15"/>
  <c r="X413" i="15"/>
  <c r="X402" i="15"/>
  <c r="U396" i="15"/>
  <c r="U385" i="15"/>
  <c r="V396" i="15"/>
  <c r="U397" i="15"/>
  <c r="T398" i="15"/>
  <c r="O403" i="15"/>
  <c r="N404" i="15"/>
  <c r="U374" i="15"/>
  <c r="T375" i="15"/>
  <c r="W384" i="15"/>
  <c r="V385" i="15"/>
  <c r="U386" i="15"/>
  <c r="T387" i="15"/>
  <c r="W396" i="15"/>
  <c r="V397" i="15"/>
  <c r="U398" i="15"/>
  <c r="T399" i="15"/>
  <c r="O404" i="15"/>
  <c r="W408" i="15"/>
  <c r="V409" i="15"/>
  <c r="U410" i="15"/>
  <c r="T411" i="15"/>
  <c r="O416" i="15"/>
  <c r="W420" i="15"/>
  <c r="V421" i="15"/>
  <c r="U422" i="15"/>
  <c r="T423" i="15"/>
  <c r="O428" i="15"/>
  <c r="W432" i="15"/>
  <c r="V433" i="15"/>
  <c r="U434" i="15"/>
  <c r="T435" i="15"/>
  <c r="O440" i="15"/>
  <c r="N441" i="15"/>
  <c r="W444" i="15"/>
  <c r="V445" i="15"/>
  <c r="U446" i="15"/>
  <c r="W409" i="15"/>
  <c r="W421" i="15"/>
  <c r="N430" i="15"/>
  <c r="W433" i="15"/>
  <c r="V434" i="15"/>
  <c r="U435" i="15"/>
  <c r="O441" i="15"/>
  <c r="N442" i="15"/>
  <c r="W445" i="15"/>
  <c r="V446" i="15"/>
  <c r="X437" i="15"/>
  <c r="T389" i="15"/>
  <c r="T401" i="15"/>
  <c r="T425" i="15"/>
  <c r="T437" i="15"/>
  <c r="O442" i="15"/>
  <c r="W446" i="15"/>
  <c r="X390" i="15"/>
  <c r="X379" i="15"/>
  <c r="T413" i="15"/>
  <c r="U389" i="15"/>
  <c r="U401" i="15"/>
  <c r="T402" i="15"/>
  <c r="N408" i="15"/>
  <c r="U413" i="15"/>
  <c r="T414" i="15"/>
  <c r="N420" i="15"/>
  <c r="U425" i="15"/>
  <c r="T426" i="15"/>
  <c r="N432" i="15"/>
  <c r="W435" i="15"/>
  <c r="U437" i="15"/>
  <c r="T438" i="15"/>
  <c r="N444" i="15"/>
  <c r="X391" i="15"/>
  <c r="T377" i="15"/>
  <c r="T390" i="15"/>
  <c r="N396" i="15"/>
  <c r="V377" i="15"/>
  <c r="U378" i="15"/>
  <c r="T379" i="15"/>
  <c r="O384" i="15"/>
  <c r="N385" i="15"/>
  <c r="V401" i="15"/>
  <c r="U402" i="15"/>
  <c r="T403" i="15"/>
  <c r="O408" i="15"/>
  <c r="N409" i="15"/>
  <c r="T415" i="15"/>
  <c r="V425" i="15"/>
  <c r="U426" i="15"/>
  <c r="T427" i="15"/>
  <c r="O432" i="15"/>
  <c r="N433" i="15"/>
  <c r="V437" i="15"/>
  <c r="U438" i="15"/>
  <c r="T439" i="15"/>
  <c r="O444" i="15"/>
  <c r="N445" i="15"/>
  <c r="X425" i="15"/>
  <c r="U377" i="15"/>
  <c r="T378" i="15"/>
  <c r="N384" i="15"/>
  <c r="V389" i="15"/>
  <c r="U390" i="15"/>
  <c r="T391" i="15"/>
  <c r="O396" i="15"/>
  <c r="N397" i="15"/>
  <c r="V413" i="15"/>
  <c r="U414" i="15"/>
  <c r="O420" i="15"/>
  <c r="N421" i="15"/>
  <c r="S373" i="15"/>
  <c r="R373" i="15"/>
  <c r="Q373" i="15"/>
  <c r="N373" i="15" s="1"/>
  <c r="M373" i="15"/>
  <c r="L373" i="15"/>
  <c r="X373" i="15" s="1"/>
  <c r="S372" i="15"/>
  <c r="R372" i="15"/>
  <c r="Q372" i="15"/>
  <c r="O372" i="15" s="1"/>
  <c r="M372" i="15"/>
  <c r="L372" i="15"/>
  <c r="X372" i="15" s="1"/>
  <c r="S371" i="15"/>
  <c r="R371" i="15"/>
  <c r="Q371" i="15"/>
  <c r="P371" i="15" s="1"/>
  <c r="M371" i="15"/>
  <c r="L371" i="15"/>
  <c r="X371" i="15" s="1"/>
  <c r="S370" i="15"/>
  <c r="R370" i="15"/>
  <c r="Q370" i="15"/>
  <c r="P370" i="15" s="1"/>
  <c r="M370" i="15"/>
  <c r="L370" i="15"/>
  <c r="X370" i="15" s="1"/>
  <c r="S369" i="15"/>
  <c r="R369" i="15"/>
  <c r="Q369" i="15"/>
  <c r="P369" i="15" s="1"/>
  <c r="M369" i="15"/>
  <c r="L369" i="15"/>
  <c r="X369" i="15" s="1"/>
  <c r="S368" i="15"/>
  <c r="R368" i="15"/>
  <c r="Q368" i="15"/>
  <c r="O368" i="15" s="1"/>
  <c r="M368" i="15"/>
  <c r="L368" i="15"/>
  <c r="X368" i="15" s="1"/>
  <c r="S367" i="15"/>
  <c r="R367" i="15"/>
  <c r="Q367" i="15"/>
  <c r="N367" i="15" s="1"/>
  <c r="M367" i="15"/>
  <c r="L367" i="15"/>
  <c r="T367" i="15" s="1"/>
  <c r="S366" i="15"/>
  <c r="R366" i="15"/>
  <c r="Q366" i="15"/>
  <c r="O366" i="15" s="1"/>
  <c r="M366" i="15"/>
  <c r="L366" i="15"/>
  <c r="U366" i="15" s="1"/>
  <c r="S365" i="15"/>
  <c r="R365" i="15"/>
  <c r="Q365" i="15"/>
  <c r="P365" i="15" s="1"/>
  <c r="M365" i="15"/>
  <c r="L365" i="15"/>
  <c r="V365" i="15" s="1"/>
  <c r="N370" i="15" l="1"/>
  <c r="P366" i="15"/>
  <c r="V366" i="15"/>
  <c r="T369" i="15"/>
  <c r="O373" i="15"/>
  <c r="O367" i="15"/>
  <c r="U369" i="15"/>
  <c r="P373" i="15"/>
  <c r="V367" i="15"/>
  <c r="W366" i="15"/>
  <c r="P367" i="15"/>
  <c r="V369" i="15"/>
  <c r="T368" i="15"/>
  <c r="W369" i="15"/>
  <c r="U368" i="15"/>
  <c r="V368" i="15"/>
  <c r="U367" i="15"/>
  <c r="W368" i="15"/>
  <c r="W367" i="15"/>
  <c r="V372" i="15"/>
  <c r="W372" i="15"/>
  <c r="P368" i="15"/>
  <c r="N368" i="15"/>
  <c r="N369" i="15"/>
  <c r="O370" i="15"/>
  <c r="O369" i="15"/>
  <c r="P372" i="15"/>
  <c r="W371" i="15"/>
  <c r="U373" i="15"/>
  <c r="W365" i="15"/>
  <c r="V373" i="15"/>
  <c r="W373" i="15"/>
  <c r="T372" i="15"/>
  <c r="X366" i="15"/>
  <c r="T370" i="15"/>
  <c r="N365" i="15"/>
  <c r="X367" i="15"/>
  <c r="U370" i="15"/>
  <c r="T371" i="15"/>
  <c r="O365" i="15"/>
  <c r="N366" i="15"/>
  <c r="V370" i="15"/>
  <c r="U371" i="15"/>
  <c r="W370" i="15"/>
  <c r="V371" i="15"/>
  <c r="U372" i="15"/>
  <c r="T373" i="15"/>
  <c r="T365" i="15"/>
  <c r="N371" i="15"/>
  <c r="O371" i="15"/>
  <c r="N372" i="15"/>
  <c r="X365" i="15"/>
  <c r="U365" i="15"/>
  <c r="T366" i="15"/>
  <c r="AO499" i="3" l="1"/>
  <c r="AL499" i="3"/>
  <c r="AI499" i="3"/>
  <c r="AF499" i="3"/>
  <c r="AC499" i="3"/>
  <c r="Z499" i="3"/>
  <c r="W499" i="3"/>
  <c r="T499" i="3"/>
  <c r="Q499" i="3"/>
  <c r="N499" i="3"/>
  <c r="K499" i="3"/>
  <c r="H499" i="3"/>
  <c r="E497" i="3"/>
  <c r="E496" i="3"/>
  <c r="E495" i="3"/>
  <c r="AO494" i="3"/>
  <c r="AL494" i="3"/>
  <c r="AI494" i="3"/>
  <c r="AF494" i="3"/>
  <c r="AC494" i="3"/>
  <c r="Z494" i="3"/>
  <c r="W494" i="3"/>
  <c r="T494" i="3"/>
  <c r="Q494" i="3"/>
  <c r="N494" i="3"/>
  <c r="K494" i="3"/>
  <c r="H494" i="3"/>
  <c r="B488" i="3"/>
  <c r="E482" i="3"/>
  <c r="E481" i="3"/>
  <c r="E480" i="3"/>
  <c r="AO476" i="3"/>
  <c r="AL476" i="3"/>
  <c r="AI476" i="3"/>
  <c r="AF476" i="3"/>
  <c r="AC476" i="3"/>
  <c r="Z476" i="3"/>
  <c r="W476" i="3"/>
  <c r="T476" i="3"/>
  <c r="Q476" i="3"/>
  <c r="N476" i="3"/>
  <c r="E476" i="3" s="1"/>
  <c r="K476" i="3"/>
  <c r="H476" i="3"/>
  <c r="AO475" i="3"/>
  <c r="AL475" i="3"/>
  <c r="AI475" i="3"/>
  <c r="AF475" i="3"/>
  <c r="AC475" i="3"/>
  <c r="Z475" i="3"/>
  <c r="W475" i="3"/>
  <c r="T475" i="3"/>
  <c r="Q475" i="3"/>
  <c r="N475" i="3"/>
  <c r="K475" i="3"/>
  <c r="H475" i="3"/>
  <c r="E475" i="3" s="1"/>
  <c r="AO472" i="3"/>
  <c r="AL472" i="3"/>
  <c r="AI472" i="3"/>
  <c r="AF472" i="3"/>
  <c r="AC472" i="3"/>
  <c r="Z472" i="3"/>
  <c r="W472" i="3"/>
  <c r="T472" i="3"/>
  <c r="Q472" i="3"/>
  <c r="N472" i="3"/>
  <c r="K472" i="3"/>
  <c r="H472" i="3"/>
  <c r="E468" i="3"/>
  <c r="E467" i="3"/>
  <c r="E466" i="3"/>
  <c r="E465" i="3"/>
  <c r="AO464" i="3"/>
  <c r="AL464" i="3"/>
  <c r="AI464" i="3"/>
  <c r="AF464" i="3"/>
  <c r="AC464" i="3"/>
  <c r="Z464" i="3"/>
  <c r="W464" i="3"/>
  <c r="T464" i="3"/>
  <c r="Q464" i="3"/>
  <c r="N464" i="3"/>
  <c r="K464" i="3"/>
  <c r="H464" i="3"/>
  <c r="AO463" i="3"/>
  <c r="AL463" i="3"/>
  <c r="AI463" i="3"/>
  <c r="AF463" i="3"/>
  <c r="AC463" i="3"/>
  <c r="Z463" i="3"/>
  <c r="W463" i="3"/>
  <c r="T463" i="3"/>
  <c r="Q463" i="3"/>
  <c r="N463" i="3"/>
  <c r="K463" i="3"/>
  <c r="H463" i="3"/>
  <c r="AO462" i="3"/>
  <c r="AL462" i="3"/>
  <c r="AI462" i="3"/>
  <c r="AF462" i="3"/>
  <c r="AC462" i="3"/>
  <c r="Z462" i="3"/>
  <c r="W462" i="3"/>
  <c r="T462" i="3"/>
  <c r="Q462" i="3"/>
  <c r="N462" i="3"/>
  <c r="K462" i="3"/>
  <c r="H462" i="3"/>
  <c r="AO461" i="3"/>
  <c r="AL461" i="3"/>
  <c r="AI461" i="3"/>
  <c r="AF461" i="3"/>
  <c r="AC461" i="3"/>
  <c r="Z461" i="3"/>
  <c r="W461" i="3"/>
  <c r="T461" i="3"/>
  <c r="Q461" i="3"/>
  <c r="N461" i="3"/>
  <c r="K461" i="3"/>
  <c r="H461" i="3"/>
  <c r="AO460" i="3"/>
  <c r="AL460" i="3"/>
  <c r="AI460" i="3"/>
  <c r="AF460" i="3"/>
  <c r="AC460" i="3"/>
  <c r="Z460" i="3"/>
  <c r="W460" i="3"/>
  <c r="T460" i="3"/>
  <c r="Q460" i="3"/>
  <c r="N460" i="3"/>
  <c r="K460" i="3"/>
  <c r="H460" i="3"/>
  <c r="E459" i="3"/>
  <c r="AO458" i="3"/>
  <c r="AL458" i="3"/>
  <c r="AI458" i="3"/>
  <c r="AF458" i="3"/>
  <c r="AC458" i="3"/>
  <c r="Z458" i="3"/>
  <c r="W458" i="3"/>
  <c r="T458" i="3"/>
  <c r="Q458" i="3"/>
  <c r="N458" i="3"/>
  <c r="K458" i="3"/>
  <c r="H458" i="3"/>
  <c r="AO457" i="3"/>
  <c r="AL457" i="3"/>
  <c r="AI457" i="3"/>
  <c r="AF457" i="3"/>
  <c r="AC457" i="3"/>
  <c r="Z457" i="3"/>
  <c r="W457" i="3"/>
  <c r="T457" i="3"/>
  <c r="Q457" i="3"/>
  <c r="N457" i="3"/>
  <c r="K457" i="3"/>
  <c r="H457" i="3"/>
  <c r="AO456" i="3"/>
  <c r="AL456" i="3"/>
  <c r="AI456" i="3"/>
  <c r="AF456" i="3"/>
  <c r="AC456" i="3"/>
  <c r="Z456" i="3"/>
  <c r="W456" i="3"/>
  <c r="T456" i="3"/>
  <c r="Q456" i="3"/>
  <c r="N456" i="3"/>
  <c r="K456" i="3"/>
  <c r="H456" i="3"/>
  <c r="AO423" i="3"/>
  <c r="AL423" i="3"/>
  <c r="AI423" i="3"/>
  <c r="AF423" i="3"/>
  <c r="AC423" i="3"/>
  <c r="Z423" i="3"/>
  <c r="W423" i="3"/>
  <c r="T423" i="3"/>
  <c r="Q423" i="3"/>
  <c r="N423" i="3"/>
  <c r="K423" i="3"/>
  <c r="H423" i="3"/>
  <c r="B405" i="3"/>
  <c r="AO398" i="3"/>
  <c r="AN398" i="3" s="1"/>
  <c r="AL398" i="3"/>
  <c r="AK398" i="3" s="1"/>
  <c r="AI398" i="3"/>
  <c r="AH398" i="3" s="1"/>
  <c r="AF398" i="3"/>
  <c r="AE398" i="3" s="1"/>
  <c r="AC398" i="3"/>
  <c r="AB398" i="3"/>
  <c r="Z398" i="3"/>
  <c r="Y398" i="3" s="1"/>
  <c r="W398" i="3"/>
  <c r="V398" i="3" s="1"/>
  <c r="T398" i="3"/>
  <c r="S398" i="3" s="1"/>
  <c r="Q398" i="3"/>
  <c r="P398" i="3"/>
  <c r="N398" i="3"/>
  <c r="M398" i="3" s="1"/>
  <c r="K398" i="3"/>
  <c r="J398" i="3"/>
  <c r="H398" i="3"/>
  <c r="G398" i="3"/>
  <c r="E397" i="3"/>
  <c r="E396" i="3"/>
  <c r="E395" i="3"/>
  <c r="E394" i="3"/>
  <c r="E393" i="3"/>
  <c r="E392" i="3"/>
  <c r="E391" i="3"/>
  <c r="E390" i="3"/>
  <c r="E389" i="3"/>
  <c r="E388" i="3"/>
  <c r="E387" i="3"/>
  <c r="E386" i="3"/>
  <c r="E385" i="3"/>
  <c r="E384" i="3"/>
  <c r="E398" i="3" s="1"/>
  <c r="D398" i="3" s="1"/>
  <c r="E383" i="3"/>
  <c r="E382" i="3"/>
  <c r="E381" i="3"/>
  <c r="AO380" i="3"/>
  <c r="AL380" i="3"/>
  <c r="AL400" i="3" s="1"/>
  <c r="AK400" i="3" s="1"/>
  <c r="AK380" i="3"/>
  <c r="AI380" i="3"/>
  <c r="AI400" i="3" s="1"/>
  <c r="AH400" i="3" s="1"/>
  <c r="AH380" i="3"/>
  <c r="AF380" i="3"/>
  <c r="AC380" i="3"/>
  <c r="Z380" i="3"/>
  <c r="W380" i="3"/>
  <c r="W400" i="3" s="1"/>
  <c r="V400" i="3" s="1"/>
  <c r="T380" i="3"/>
  <c r="T400" i="3" s="1"/>
  <c r="S400" i="3" s="1"/>
  <c r="Q380" i="3"/>
  <c r="Q400" i="3" s="1"/>
  <c r="P400" i="3" s="1"/>
  <c r="N380" i="3"/>
  <c r="K380" i="3"/>
  <c r="K400" i="3" s="1"/>
  <c r="J400" i="3" s="1"/>
  <c r="J380" i="3"/>
  <c r="H380" i="3"/>
  <c r="E379" i="3"/>
  <c r="E378" i="3"/>
  <c r="E377" i="3"/>
  <c r="E376" i="3"/>
  <c r="E375" i="3"/>
  <c r="E374" i="3"/>
  <c r="E373" i="3"/>
  <c r="E372" i="3"/>
  <c r="E371" i="3"/>
  <c r="E380" i="3" s="1"/>
  <c r="E370" i="3"/>
  <c r="E369" i="3"/>
  <c r="E368" i="3"/>
  <c r="AO365" i="3"/>
  <c r="AN365" i="3"/>
  <c r="AM365" i="3"/>
  <c r="AL365" i="3"/>
  <c r="AL402" i="3" s="1"/>
  <c r="AK365" i="3"/>
  <c r="AJ365" i="3"/>
  <c r="AI365" i="3"/>
  <c r="AI402" i="3" s="1"/>
  <c r="AH365" i="3"/>
  <c r="AG365" i="3"/>
  <c r="AF365" i="3"/>
  <c r="AE365" i="3"/>
  <c r="AD365" i="3"/>
  <c r="AC365" i="3"/>
  <c r="AB365" i="3"/>
  <c r="AA365" i="3"/>
  <c r="Z365" i="3"/>
  <c r="Y365" i="3"/>
  <c r="X365" i="3"/>
  <c r="W365" i="3"/>
  <c r="V365" i="3"/>
  <c r="U365" i="3"/>
  <c r="T365" i="3"/>
  <c r="T402" i="3" s="1"/>
  <c r="S365" i="3"/>
  <c r="R365" i="3"/>
  <c r="Q365" i="3"/>
  <c r="P365" i="3"/>
  <c r="O365" i="3"/>
  <c r="N365" i="3"/>
  <c r="M365" i="3"/>
  <c r="L365" i="3"/>
  <c r="K365" i="3"/>
  <c r="K402" i="3" s="1"/>
  <c r="J365" i="3"/>
  <c r="I365" i="3"/>
  <c r="H365" i="3"/>
  <c r="G365" i="3"/>
  <c r="F365" i="3"/>
  <c r="AN363" i="3"/>
  <c r="AK363" i="3"/>
  <c r="AH363" i="3"/>
  <c r="AE363" i="3"/>
  <c r="AB363" i="3"/>
  <c r="Y363" i="3"/>
  <c r="V363" i="3"/>
  <c r="S363" i="3"/>
  <c r="P363" i="3"/>
  <c r="M363" i="3"/>
  <c r="J363" i="3"/>
  <c r="G363" i="3"/>
  <c r="E363" i="3"/>
  <c r="E365" i="3" s="1"/>
  <c r="C363" i="3"/>
  <c r="C365" i="3" s="1"/>
  <c r="D365" i="3" s="1"/>
  <c r="E351" i="3"/>
  <c r="E350" i="3"/>
  <c r="E349" i="3"/>
  <c r="AO348" i="3"/>
  <c r="AL348" i="3"/>
  <c r="AI348" i="3"/>
  <c r="AF348" i="3"/>
  <c r="AC348" i="3"/>
  <c r="Z348" i="3"/>
  <c r="W348" i="3"/>
  <c r="T348" i="3"/>
  <c r="Q348" i="3"/>
  <c r="N348" i="3"/>
  <c r="K348" i="3"/>
  <c r="H348" i="3"/>
  <c r="AO347" i="3"/>
  <c r="AL347" i="3"/>
  <c r="AI347" i="3"/>
  <c r="AF347" i="3"/>
  <c r="AC347" i="3"/>
  <c r="Z347" i="3"/>
  <c r="W347" i="3"/>
  <c r="T347" i="3"/>
  <c r="Q347" i="3"/>
  <c r="N347" i="3"/>
  <c r="K347" i="3"/>
  <c r="H347" i="3"/>
  <c r="AO346" i="3"/>
  <c r="AL346" i="3"/>
  <c r="AI346" i="3"/>
  <c r="AF346" i="3"/>
  <c r="AC346" i="3"/>
  <c r="Z346" i="3"/>
  <c r="W346" i="3"/>
  <c r="T346" i="3"/>
  <c r="Q346" i="3"/>
  <c r="N346" i="3"/>
  <c r="K346" i="3"/>
  <c r="H346" i="3"/>
  <c r="AO345" i="3"/>
  <c r="AL345" i="3"/>
  <c r="AI345" i="3"/>
  <c r="AF345" i="3"/>
  <c r="AC345" i="3"/>
  <c r="Z345" i="3"/>
  <c r="W345" i="3"/>
  <c r="T345" i="3"/>
  <c r="Q345" i="3"/>
  <c r="N345" i="3"/>
  <c r="K345" i="3"/>
  <c r="H345" i="3"/>
  <c r="AO344" i="3"/>
  <c r="AL344" i="3"/>
  <c r="AI344" i="3"/>
  <c r="AF344" i="3"/>
  <c r="AC344" i="3"/>
  <c r="Z344" i="3"/>
  <c r="W344" i="3"/>
  <c r="T344" i="3"/>
  <c r="Q344" i="3"/>
  <c r="N344" i="3"/>
  <c r="K344" i="3"/>
  <c r="H344" i="3"/>
  <c r="AO343" i="3"/>
  <c r="AL343" i="3"/>
  <c r="AI343" i="3"/>
  <c r="AF343" i="3"/>
  <c r="AC343" i="3"/>
  <c r="Z343" i="3"/>
  <c r="W343" i="3"/>
  <c r="T343" i="3"/>
  <c r="Q343" i="3"/>
  <c r="N343" i="3"/>
  <c r="K343" i="3"/>
  <c r="H343" i="3"/>
  <c r="AO342" i="3"/>
  <c r="AL342" i="3"/>
  <c r="AI342" i="3"/>
  <c r="AF342" i="3"/>
  <c r="AC342" i="3"/>
  <c r="Z342" i="3"/>
  <c r="W342" i="3"/>
  <c r="T342" i="3"/>
  <c r="Q342" i="3"/>
  <c r="N342" i="3"/>
  <c r="K342" i="3"/>
  <c r="H342" i="3"/>
  <c r="AO341" i="3"/>
  <c r="AL341" i="3"/>
  <c r="AI341" i="3"/>
  <c r="AF341" i="3"/>
  <c r="AC341" i="3"/>
  <c r="Z341" i="3"/>
  <c r="W341" i="3"/>
  <c r="T341" i="3"/>
  <c r="Q341" i="3"/>
  <c r="N341" i="3"/>
  <c r="K341" i="3"/>
  <c r="H341" i="3"/>
  <c r="AO339" i="3"/>
  <c r="AL339" i="3"/>
  <c r="AI339" i="3"/>
  <c r="AF339" i="3"/>
  <c r="AC339" i="3"/>
  <c r="Z339" i="3"/>
  <c r="W339" i="3"/>
  <c r="T339" i="3"/>
  <c r="Q339" i="3"/>
  <c r="N339" i="3"/>
  <c r="K339" i="3"/>
  <c r="H339" i="3"/>
  <c r="AO338" i="3"/>
  <c r="AL338" i="3"/>
  <c r="AI338" i="3"/>
  <c r="AF338" i="3"/>
  <c r="AC338" i="3"/>
  <c r="Z338" i="3"/>
  <c r="W338" i="3"/>
  <c r="T338" i="3"/>
  <c r="Q338" i="3"/>
  <c r="N338" i="3"/>
  <c r="K338" i="3"/>
  <c r="H338" i="3"/>
  <c r="AO337" i="3"/>
  <c r="AL337" i="3"/>
  <c r="AI337" i="3"/>
  <c r="AF337" i="3"/>
  <c r="AC337" i="3"/>
  <c r="Z337" i="3"/>
  <c r="W337" i="3"/>
  <c r="T337" i="3"/>
  <c r="Q337" i="3"/>
  <c r="N337" i="3"/>
  <c r="K337" i="3"/>
  <c r="H337" i="3"/>
  <c r="AO336" i="3"/>
  <c r="AL336" i="3"/>
  <c r="AI336" i="3"/>
  <c r="AF336" i="3"/>
  <c r="AC336" i="3"/>
  <c r="Z336" i="3"/>
  <c r="W336" i="3"/>
  <c r="T336" i="3"/>
  <c r="Q336" i="3"/>
  <c r="N336" i="3"/>
  <c r="K336" i="3"/>
  <c r="H336" i="3"/>
  <c r="AO335" i="3"/>
  <c r="AL335" i="3"/>
  <c r="AI335" i="3"/>
  <c r="AF335" i="3"/>
  <c r="AC335" i="3"/>
  <c r="Z335" i="3"/>
  <c r="W335" i="3"/>
  <c r="T335" i="3"/>
  <c r="Q335" i="3"/>
  <c r="N335" i="3"/>
  <c r="K335" i="3"/>
  <c r="H335" i="3"/>
  <c r="AO334" i="3"/>
  <c r="AL334" i="3"/>
  <c r="AI334" i="3"/>
  <c r="AI352" i="3" s="1"/>
  <c r="AF334" i="3"/>
  <c r="AF352" i="3" s="1"/>
  <c r="AC334" i="3"/>
  <c r="AC352" i="3" s="1"/>
  <c r="Z334" i="3"/>
  <c r="W334" i="3"/>
  <c r="T334" i="3"/>
  <c r="T352" i="3" s="1"/>
  <c r="Q334" i="3"/>
  <c r="N334" i="3"/>
  <c r="N352" i="3" s="1"/>
  <c r="K334" i="3"/>
  <c r="K352" i="3" s="1"/>
  <c r="H334" i="3"/>
  <c r="E332" i="3"/>
  <c r="AO331" i="3"/>
  <c r="AL331" i="3"/>
  <c r="AI331" i="3"/>
  <c r="AF331" i="3"/>
  <c r="AC331" i="3"/>
  <c r="Z331" i="3"/>
  <c r="W331" i="3"/>
  <c r="T331" i="3"/>
  <c r="Q331" i="3"/>
  <c r="N331" i="3"/>
  <c r="K331" i="3"/>
  <c r="H331" i="3"/>
  <c r="AO330" i="3"/>
  <c r="AL330" i="3"/>
  <c r="AI330" i="3"/>
  <c r="AF330" i="3"/>
  <c r="AC330" i="3"/>
  <c r="Z330" i="3"/>
  <c r="W330" i="3"/>
  <c r="T330" i="3"/>
  <c r="Q330" i="3"/>
  <c r="N330" i="3"/>
  <c r="K330" i="3"/>
  <c r="H330" i="3"/>
  <c r="AO329" i="3"/>
  <c r="AL329" i="3"/>
  <c r="AI329" i="3"/>
  <c r="AF329" i="3"/>
  <c r="AC329" i="3"/>
  <c r="Z329" i="3"/>
  <c r="W329" i="3"/>
  <c r="T329" i="3"/>
  <c r="Q329" i="3"/>
  <c r="N329" i="3"/>
  <c r="K329" i="3"/>
  <c r="H329" i="3"/>
  <c r="AO328" i="3"/>
  <c r="AL328" i="3"/>
  <c r="AI328" i="3"/>
  <c r="AF328" i="3"/>
  <c r="AC328" i="3"/>
  <c r="Z328" i="3"/>
  <c r="W328" i="3"/>
  <c r="T328" i="3"/>
  <c r="Q328" i="3"/>
  <c r="N328" i="3"/>
  <c r="K328" i="3"/>
  <c r="H328" i="3"/>
  <c r="E327" i="3"/>
  <c r="E326" i="3"/>
  <c r="E325" i="3"/>
  <c r="E324" i="3"/>
  <c r="AO323" i="3"/>
  <c r="AL323" i="3"/>
  <c r="AI323" i="3"/>
  <c r="AF323" i="3"/>
  <c r="AC323" i="3"/>
  <c r="Z323" i="3"/>
  <c r="W323" i="3"/>
  <c r="T323" i="3"/>
  <c r="Q323" i="3"/>
  <c r="N323" i="3"/>
  <c r="K323" i="3"/>
  <c r="H323" i="3"/>
  <c r="AO322" i="3"/>
  <c r="AL322" i="3"/>
  <c r="AI322" i="3"/>
  <c r="AF322" i="3"/>
  <c r="AC322" i="3"/>
  <c r="Z322" i="3"/>
  <c r="W322" i="3"/>
  <c r="T322" i="3"/>
  <c r="Q322" i="3"/>
  <c r="N322" i="3"/>
  <c r="K322" i="3"/>
  <c r="H322" i="3"/>
  <c r="AO321" i="3"/>
  <c r="AL321" i="3"/>
  <c r="AI321" i="3"/>
  <c r="AF321" i="3"/>
  <c r="AC321" i="3"/>
  <c r="Z321" i="3"/>
  <c r="W321" i="3"/>
  <c r="T321" i="3"/>
  <c r="Q321" i="3"/>
  <c r="N321" i="3"/>
  <c r="K321" i="3"/>
  <c r="H321" i="3"/>
  <c r="AN315" i="3"/>
  <c r="AK315" i="3"/>
  <c r="AH315" i="3"/>
  <c r="AE315" i="3"/>
  <c r="AB315" i="3"/>
  <c r="Y315" i="3"/>
  <c r="V315" i="3"/>
  <c r="S315" i="3"/>
  <c r="P315" i="3"/>
  <c r="M315" i="3"/>
  <c r="J315" i="3"/>
  <c r="G315" i="3"/>
  <c r="E315" i="3"/>
  <c r="C315" i="3"/>
  <c r="D315" i="3" s="1"/>
  <c r="AO311" i="3"/>
  <c r="AM311" i="3"/>
  <c r="AL311" i="3"/>
  <c r="AJ311" i="3"/>
  <c r="AI311" i="3"/>
  <c r="AG311" i="3"/>
  <c r="AF311" i="3"/>
  <c r="AD311" i="3"/>
  <c r="AC311" i="3"/>
  <c r="AA311" i="3"/>
  <c r="AB311" i="3" s="1"/>
  <c r="Z311" i="3"/>
  <c r="X311" i="3"/>
  <c r="W311" i="3"/>
  <c r="U311" i="3"/>
  <c r="T311" i="3"/>
  <c r="R311" i="3"/>
  <c r="S311" i="3" s="1"/>
  <c r="Q311" i="3"/>
  <c r="O311" i="3"/>
  <c r="N311" i="3"/>
  <c r="L311" i="3"/>
  <c r="K311" i="3"/>
  <c r="I311" i="3"/>
  <c r="J311" i="3" s="1"/>
  <c r="H311" i="3"/>
  <c r="F311" i="3"/>
  <c r="AO310" i="3"/>
  <c r="AM310" i="3"/>
  <c r="AL310" i="3"/>
  <c r="AJ310" i="3"/>
  <c r="AK310" i="3" s="1"/>
  <c r="AI310" i="3"/>
  <c r="AG310" i="3"/>
  <c r="AF310" i="3"/>
  <c r="AD310" i="3"/>
  <c r="AC310" i="3"/>
  <c r="AA310" i="3"/>
  <c r="Z310" i="3"/>
  <c r="X310" i="3"/>
  <c r="W310" i="3"/>
  <c r="U310" i="3"/>
  <c r="T310" i="3"/>
  <c r="R310" i="3"/>
  <c r="S310" i="3" s="1"/>
  <c r="Q310" i="3"/>
  <c r="O310" i="3"/>
  <c r="N310" i="3"/>
  <c r="L310" i="3"/>
  <c r="K310" i="3"/>
  <c r="I310" i="3"/>
  <c r="J310" i="3" s="1"/>
  <c r="H310" i="3"/>
  <c r="F310" i="3"/>
  <c r="AO306" i="3"/>
  <c r="AN306" i="3"/>
  <c r="AL306" i="3"/>
  <c r="AK306" i="3"/>
  <c r="AI306" i="3"/>
  <c r="AH306" i="3"/>
  <c r="AF306" i="3"/>
  <c r="AE306" i="3"/>
  <c r="AC306" i="3"/>
  <c r="AB306" i="3"/>
  <c r="Z306" i="3"/>
  <c r="Y306" i="3"/>
  <c r="W306" i="3"/>
  <c r="V306" i="3"/>
  <c r="T306" i="3"/>
  <c r="S306" i="3"/>
  <c r="Q306" i="3"/>
  <c r="P306" i="3"/>
  <c r="N306" i="3"/>
  <c r="M306" i="3"/>
  <c r="K306" i="3"/>
  <c r="J306" i="3"/>
  <c r="H306" i="3"/>
  <c r="G306" i="3"/>
  <c r="C306" i="3"/>
  <c r="D306" i="3" s="1"/>
  <c r="AO305" i="3"/>
  <c r="AN305" i="3"/>
  <c r="AL305" i="3"/>
  <c r="AK305" i="3"/>
  <c r="AI305" i="3"/>
  <c r="AH305" i="3"/>
  <c r="AF305" i="3"/>
  <c r="AE305" i="3"/>
  <c r="AC305" i="3"/>
  <c r="AB305" i="3"/>
  <c r="Z305" i="3"/>
  <c r="Y305" i="3"/>
  <c r="W305" i="3"/>
  <c r="V305" i="3"/>
  <c r="T305" i="3"/>
  <c r="S305" i="3"/>
  <c r="Q305" i="3"/>
  <c r="P305" i="3"/>
  <c r="N305" i="3"/>
  <c r="M305" i="3"/>
  <c r="K305" i="3"/>
  <c r="J305" i="3"/>
  <c r="H305" i="3"/>
  <c r="G305" i="3"/>
  <c r="C305" i="3"/>
  <c r="D305" i="3" s="1"/>
  <c r="AN304" i="3"/>
  <c r="AK304" i="3"/>
  <c r="AH304" i="3"/>
  <c r="AE304" i="3"/>
  <c r="AB304" i="3"/>
  <c r="Y304" i="3"/>
  <c r="V304" i="3"/>
  <c r="S304" i="3"/>
  <c r="P304" i="3"/>
  <c r="M304" i="3"/>
  <c r="J304" i="3"/>
  <c r="G304" i="3"/>
  <c r="E304" i="3"/>
  <c r="C304" i="3"/>
  <c r="D304" i="3" s="1"/>
  <c r="AO303" i="3"/>
  <c r="AM303" i="3"/>
  <c r="AL303" i="3"/>
  <c r="AJ303" i="3"/>
  <c r="AI303" i="3"/>
  <c r="AG303" i="3"/>
  <c r="AH303" i="3" s="1"/>
  <c r="AF303" i="3"/>
  <c r="AD303" i="3"/>
  <c r="AC303" i="3"/>
  <c r="AA303" i="3"/>
  <c r="Z303" i="3"/>
  <c r="X303" i="3"/>
  <c r="W303" i="3"/>
  <c r="U303" i="3"/>
  <c r="T303" i="3"/>
  <c r="R303" i="3"/>
  <c r="Q303" i="3"/>
  <c r="O303" i="3"/>
  <c r="P303" i="3" s="1"/>
  <c r="N303" i="3"/>
  <c r="L303" i="3"/>
  <c r="K303" i="3"/>
  <c r="I303" i="3"/>
  <c r="H303" i="3"/>
  <c r="F303" i="3"/>
  <c r="AO302" i="3"/>
  <c r="AM302" i="3"/>
  <c r="AL302" i="3"/>
  <c r="AJ302" i="3"/>
  <c r="AK302" i="3" s="1"/>
  <c r="AI302" i="3"/>
  <c r="AG302" i="3"/>
  <c r="AF302" i="3"/>
  <c r="AD302" i="3"/>
  <c r="AC302" i="3"/>
  <c r="AA302" i="3"/>
  <c r="Z302" i="3"/>
  <c r="X302" i="3"/>
  <c r="W302" i="3"/>
  <c r="U302" i="3"/>
  <c r="T302" i="3"/>
  <c r="R302" i="3"/>
  <c r="S302" i="3" s="1"/>
  <c r="Q302" i="3"/>
  <c r="O302" i="3"/>
  <c r="P302" i="3" s="1"/>
  <c r="N302" i="3"/>
  <c r="L302" i="3"/>
  <c r="K302" i="3"/>
  <c r="I302" i="3"/>
  <c r="H302" i="3"/>
  <c r="F302" i="3"/>
  <c r="AO301" i="3"/>
  <c r="AM301" i="3"/>
  <c r="AL301" i="3"/>
  <c r="AJ301" i="3"/>
  <c r="AI301" i="3"/>
  <c r="AG301" i="3"/>
  <c r="AH301" i="3" s="1"/>
  <c r="AF301" i="3"/>
  <c r="AD301" i="3"/>
  <c r="AC301" i="3"/>
  <c r="AA301" i="3"/>
  <c r="Z301" i="3"/>
  <c r="X301" i="3"/>
  <c r="W301" i="3"/>
  <c r="U301" i="3"/>
  <c r="T301" i="3"/>
  <c r="R301" i="3"/>
  <c r="S301" i="3" s="1"/>
  <c r="Q301" i="3"/>
  <c r="O301" i="3"/>
  <c r="P301" i="3" s="1"/>
  <c r="N301" i="3"/>
  <c r="L301" i="3"/>
  <c r="K301" i="3"/>
  <c r="I301" i="3"/>
  <c r="H301" i="3"/>
  <c r="F301" i="3"/>
  <c r="AO300" i="3"/>
  <c r="AM300" i="3"/>
  <c r="AL300" i="3"/>
  <c r="AJ300" i="3"/>
  <c r="AK300" i="3" s="1"/>
  <c r="AI300" i="3"/>
  <c r="AG300" i="3"/>
  <c r="AH300" i="3" s="1"/>
  <c r="AF300" i="3"/>
  <c r="AD300" i="3"/>
  <c r="AC300" i="3"/>
  <c r="AA300" i="3"/>
  <c r="Z300" i="3"/>
  <c r="X300" i="3"/>
  <c r="W300" i="3"/>
  <c r="U300" i="3"/>
  <c r="T300" i="3"/>
  <c r="R300" i="3"/>
  <c r="S300" i="3" s="1"/>
  <c r="Q300" i="3"/>
  <c r="O300" i="3"/>
  <c r="N300" i="3"/>
  <c r="L300" i="3"/>
  <c r="K300" i="3"/>
  <c r="I300" i="3"/>
  <c r="H300" i="3"/>
  <c r="F300" i="3"/>
  <c r="AO299" i="3"/>
  <c r="AM299" i="3"/>
  <c r="AL299" i="3"/>
  <c r="AJ299" i="3"/>
  <c r="AI299" i="3"/>
  <c r="AG299" i="3"/>
  <c r="AH299" i="3" s="1"/>
  <c r="AF299" i="3"/>
  <c r="AD299" i="3"/>
  <c r="AC299" i="3"/>
  <c r="AA299" i="3"/>
  <c r="Z299" i="3"/>
  <c r="X299" i="3"/>
  <c r="W299" i="3"/>
  <c r="U299" i="3"/>
  <c r="T299" i="3"/>
  <c r="R299" i="3"/>
  <c r="Q299" i="3"/>
  <c r="O299" i="3"/>
  <c r="P299" i="3" s="1"/>
  <c r="N299" i="3"/>
  <c r="L299" i="3"/>
  <c r="K299" i="3"/>
  <c r="I299" i="3"/>
  <c r="H299" i="3"/>
  <c r="F299" i="3"/>
  <c r="AO298" i="3"/>
  <c r="AM298" i="3"/>
  <c r="AL298" i="3"/>
  <c r="AJ298" i="3"/>
  <c r="AI298" i="3"/>
  <c r="AG298" i="3"/>
  <c r="AH298" i="3" s="1"/>
  <c r="AF298" i="3"/>
  <c r="AD298" i="3"/>
  <c r="AC298" i="3"/>
  <c r="AA298" i="3"/>
  <c r="Z298" i="3"/>
  <c r="X298" i="3"/>
  <c r="W298" i="3"/>
  <c r="U298" i="3"/>
  <c r="T298" i="3"/>
  <c r="R298" i="3"/>
  <c r="Q298" i="3"/>
  <c r="O298" i="3"/>
  <c r="O307" i="3" s="1"/>
  <c r="N298" i="3"/>
  <c r="L298" i="3"/>
  <c r="K298" i="3"/>
  <c r="I298" i="3"/>
  <c r="H298" i="3"/>
  <c r="F298" i="3"/>
  <c r="B294" i="3"/>
  <c r="B359" i="3" s="1"/>
  <c r="E287" i="3"/>
  <c r="E286" i="3"/>
  <c r="E285" i="3"/>
  <c r="AO284" i="3"/>
  <c r="AL284" i="3"/>
  <c r="AI284" i="3"/>
  <c r="AF284" i="3"/>
  <c r="AC284" i="3"/>
  <c r="Z284" i="3"/>
  <c r="W284" i="3"/>
  <c r="T284" i="3"/>
  <c r="Q284" i="3"/>
  <c r="N284" i="3"/>
  <c r="K284" i="3"/>
  <c r="H284" i="3"/>
  <c r="AO283" i="3"/>
  <c r="AL283" i="3"/>
  <c r="AI283" i="3"/>
  <c r="AF283" i="3"/>
  <c r="AC283" i="3"/>
  <c r="Z283" i="3"/>
  <c r="W283" i="3"/>
  <c r="T283" i="3"/>
  <c r="Q283" i="3"/>
  <c r="N283" i="3"/>
  <c r="K283" i="3"/>
  <c r="H283" i="3"/>
  <c r="AO282" i="3"/>
  <c r="AL282" i="3"/>
  <c r="AI282" i="3"/>
  <c r="AF282" i="3"/>
  <c r="AC282" i="3"/>
  <c r="Z282" i="3"/>
  <c r="W282" i="3"/>
  <c r="T282" i="3"/>
  <c r="Q282" i="3"/>
  <c r="N282" i="3"/>
  <c r="K282" i="3"/>
  <c r="H282" i="3"/>
  <c r="AO281" i="3"/>
  <c r="AL281" i="3"/>
  <c r="AI281" i="3"/>
  <c r="AF281" i="3"/>
  <c r="AC281" i="3"/>
  <c r="Z281" i="3"/>
  <c r="W281" i="3"/>
  <c r="T281" i="3"/>
  <c r="Q281" i="3"/>
  <c r="N281" i="3"/>
  <c r="K281" i="3"/>
  <c r="H281" i="3"/>
  <c r="AO280" i="3"/>
  <c r="AL280" i="3"/>
  <c r="AI280" i="3"/>
  <c r="AF280" i="3"/>
  <c r="AC280" i="3"/>
  <c r="Z280" i="3"/>
  <c r="W280" i="3"/>
  <c r="T280" i="3"/>
  <c r="Q280" i="3"/>
  <c r="N280" i="3"/>
  <c r="K280" i="3"/>
  <c r="H280" i="3"/>
  <c r="AO279" i="3"/>
  <c r="AL279" i="3"/>
  <c r="AI279" i="3"/>
  <c r="AF279" i="3"/>
  <c r="AC279" i="3"/>
  <c r="Z279" i="3"/>
  <c r="W279" i="3"/>
  <c r="T279" i="3"/>
  <c r="Q279" i="3"/>
  <c r="N279" i="3"/>
  <c r="K279" i="3"/>
  <c r="H279" i="3"/>
  <c r="AO278" i="3"/>
  <c r="AL278" i="3"/>
  <c r="AI278" i="3"/>
  <c r="AF278" i="3"/>
  <c r="AC278" i="3"/>
  <c r="Z278" i="3"/>
  <c r="W278" i="3"/>
  <c r="T278" i="3"/>
  <c r="Q278" i="3"/>
  <c r="N278" i="3"/>
  <c r="K278" i="3"/>
  <c r="H278" i="3"/>
  <c r="AO277" i="3"/>
  <c r="AL277" i="3"/>
  <c r="AI277" i="3"/>
  <c r="AF277" i="3"/>
  <c r="AC277" i="3"/>
  <c r="Z277" i="3"/>
  <c r="W277" i="3"/>
  <c r="T277" i="3"/>
  <c r="Q277" i="3"/>
  <c r="N277" i="3"/>
  <c r="K277" i="3"/>
  <c r="H277" i="3"/>
  <c r="AO275" i="3"/>
  <c r="AL275" i="3"/>
  <c r="AI275" i="3"/>
  <c r="AF275" i="3"/>
  <c r="AC275" i="3"/>
  <c r="Z275" i="3"/>
  <c r="W275" i="3"/>
  <c r="T275" i="3"/>
  <c r="Q275" i="3"/>
  <c r="N275" i="3"/>
  <c r="K275" i="3"/>
  <c r="H275" i="3"/>
  <c r="AO274" i="3"/>
  <c r="AL274" i="3"/>
  <c r="AI274" i="3"/>
  <c r="AF274" i="3"/>
  <c r="AC274" i="3"/>
  <c r="Z274" i="3"/>
  <c r="W274" i="3"/>
  <c r="T274" i="3"/>
  <c r="Q274" i="3"/>
  <c r="N274" i="3"/>
  <c r="K274" i="3"/>
  <c r="H274" i="3"/>
  <c r="AO273" i="3"/>
  <c r="AL273" i="3"/>
  <c r="AI273" i="3"/>
  <c r="AF273" i="3"/>
  <c r="AC273" i="3"/>
  <c r="Z273" i="3"/>
  <c r="W273" i="3"/>
  <c r="T273" i="3"/>
  <c r="Q273" i="3"/>
  <c r="N273" i="3"/>
  <c r="K273" i="3"/>
  <c r="H273" i="3"/>
  <c r="AO272" i="3"/>
  <c r="AL272" i="3"/>
  <c r="AI272" i="3"/>
  <c r="AF272" i="3"/>
  <c r="AC272" i="3"/>
  <c r="Z272" i="3"/>
  <c r="W272" i="3"/>
  <c r="T272" i="3"/>
  <c r="Q272" i="3"/>
  <c r="N272" i="3"/>
  <c r="K272" i="3"/>
  <c r="H272" i="3"/>
  <c r="AO271" i="3"/>
  <c r="AL271" i="3"/>
  <c r="AI271" i="3"/>
  <c r="AF271" i="3"/>
  <c r="AC271" i="3"/>
  <c r="Z271" i="3"/>
  <c r="W271" i="3"/>
  <c r="T271" i="3"/>
  <c r="Q271" i="3"/>
  <c r="N271" i="3"/>
  <c r="K271" i="3"/>
  <c r="H271" i="3"/>
  <c r="AO270" i="3"/>
  <c r="AL270" i="3"/>
  <c r="AI270" i="3"/>
  <c r="AF270" i="3"/>
  <c r="AC270" i="3"/>
  <c r="Z270" i="3"/>
  <c r="Z288" i="3" s="1"/>
  <c r="Y288" i="3" s="1"/>
  <c r="W270" i="3"/>
  <c r="T270" i="3"/>
  <c r="Q270" i="3"/>
  <c r="Q288" i="3" s="1"/>
  <c r="P288" i="3" s="1"/>
  <c r="N270" i="3"/>
  <c r="K270" i="3"/>
  <c r="H270" i="3"/>
  <c r="E268" i="3"/>
  <c r="AO267" i="3"/>
  <c r="AL267" i="3"/>
  <c r="AI267" i="3"/>
  <c r="AF267" i="3"/>
  <c r="AC267" i="3"/>
  <c r="Z267" i="3"/>
  <c r="W267" i="3"/>
  <c r="T267" i="3"/>
  <c r="Q267" i="3"/>
  <c r="N267" i="3"/>
  <c r="K267" i="3"/>
  <c r="H267" i="3"/>
  <c r="AO266" i="3"/>
  <c r="AL266" i="3"/>
  <c r="AI266" i="3"/>
  <c r="AF266" i="3"/>
  <c r="AC266" i="3"/>
  <c r="Z266" i="3"/>
  <c r="W266" i="3"/>
  <c r="T266" i="3"/>
  <c r="Q266" i="3"/>
  <c r="N266" i="3"/>
  <c r="K266" i="3"/>
  <c r="H266" i="3"/>
  <c r="AO265" i="3"/>
  <c r="AL265" i="3"/>
  <c r="AI265" i="3"/>
  <c r="AF265" i="3"/>
  <c r="AC265" i="3"/>
  <c r="Z265" i="3"/>
  <c r="W265" i="3"/>
  <c r="T265" i="3"/>
  <c r="Q265" i="3"/>
  <c r="N265" i="3"/>
  <c r="K265" i="3"/>
  <c r="H265" i="3"/>
  <c r="AO264" i="3"/>
  <c r="AL264" i="3"/>
  <c r="AI264" i="3"/>
  <c r="AF264" i="3"/>
  <c r="AC264" i="3"/>
  <c r="Z264" i="3"/>
  <c r="W264" i="3"/>
  <c r="T264" i="3"/>
  <c r="Q264" i="3"/>
  <c r="N264" i="3"/>
  <c r="K264" i="3"/>
  <c r="H264" i="3"/>
  <c r="E263" i="3"/>
  <c r="E262" i="3"/>
  <c r="E261" i="3"/>
  <c r="AO260" i="3"/>
  <c r="AL260" i="3"/>
  <c r="AI260" i="3"/>
  <c r="AF260" i="3"/>
  <c r="AC260" i="3"/>
  <c r="Z260" i="3"/>
  <c r="W260" i="3"/>
  <c r="T260" i="3"/>
  <c r="Q260" i="3"/>
  <c r="N260" i="3"/>
  <c r="K260" i="3"/>
  <c r="H260" i="3"/>
  <c r="AO259" i="3"/>
  <c r="AL259" i="3"/>
  <c r="AI259" i="3"/>
  <c r="AF259" i="3"/>
  <c r="AC259" i="3"/>
  <c r="Z259" i="3"/>
  <c r="W259" i="3"/>
  <c r="T259" i="3"/>
  <c r="Q259" i="3"/>
  <c r="N259" i="3"/>
  <c r="K259" i="3"/>
  <c r="H259" i="3"/>
  <c r="AO258" i="3"/>
  <c r="AL258" i="3"/>
  <c r="AI258" i="3"/>
  <c r="AF258" i="3"/>
  <c r="AC258" i="3"/>
  <c r="Z258" i="3"/>
  <c r="W258" i="3"/>
  <c r="T258" i="3"/>
  <c r="Q258" i="3"/>
  <c r="N258" i="3"/>
  <c r="K258" i="3"/>
  <c r="H258" i="3"/>
  <c r="AO257" i="3"/>
  <c r="AL257" i="3"/>
  <c r="AI257" i="3"/>
  <c r="AF257" i="3"/>
  <c r="AC257" i="3"/>
  <c r="Z257" i="3"/>
  <c r="W257" i="3"/>
  <c r="T257" i="3"/>
  <c r="Q257" i="3"/>
  <c r="N257" i="3"/>
  <c r="K257" i="3"/>
  <c r="H257" i="3"/>
  <c r="AO251" i="3"/>
  <c r="AL251" i="3"/>
  <c r="AI251" i="3"/>
  <c r="AF251" i="3"/>
  <c r="AC251" i="3"/>
  <c r="Z251" i="3"/>
  <c r="W251" i="3"/>
  <c r="T251" i="3"/>
  <c r="Q251" i="3"/>
  <c r="N251" i="3"/>
  <c r="K251" i="3"/>
  <c r="H251" i="3"/>
  <c r="E250" i="3"/>
  <c r="E251" i="3" s="1"/>
  <c r="D250" i="3"/>
  <c r="C250" i="3"/>
  <c r="AO248" i="3"/>
  <c r="AL248" i="3"/>
  <c r="AI248" i="3"/>
  <c r="AF248" i="3"/>
  <c r="AC248" i="3"/>
  <c r="Z248" i="3"/>
  <c r="W248" i="3"/>
  <c r="T248" i="3"/>
  <c r="Q248" i="3"/>
  <c r="N248" i="3"/>
  <c r="K248" i="3"/>
  <c r="H248" i="3"/>
  <c r="E247" i="3"/>
  <c r="E248" i="3" s="1"/>
  <c r="D247" i="3"/>
  <c r="C247" i="3"/>
  <c r="AO244" i="3"/>
  <c r="AO253" i="3" s="1"/>
  <c r="AN244" i="3"/>
  <c r="AN253" i="3" s="1"/>
  <c r="AL244" i="3"/>
  <c r="AK244" i="3"/>
  <c r="AK253" i="3" s="1"/>
  <c r="AI244" i="3"/>
  <c r="AI253" i="3" s="1"/>
  <c r="AH244" i="3"/>
  <c r="AH253" i="3" s="1"/>
  <c r="AF244" i="3"/>
  <c r="AF253" i="3" s="1"/>
  <c r="AE244" i="3"/>
  <c r="AE253" i="3" s="1"/>
  <c r="AC244" i="3"/>
  <c r="AC253" i="3" s="1"/>
  <c r="AB244" i="3"/>
  <c r="AB253" i="3" s="1"/>
  <c r="Z244" i="3"/>
  <c r="Z253" i="3" s="1"/>
  <c r="Y244" i="3"/>
  <c r="Y253" i="3" s="1"/>
  <c r="W244" i="3"/>
  <c r="W253" i="3" s="1"/>
  <c r="V244" i="3"/>
  <c r="T244" i="3"/>
  <c r="S244" i="3"/>
  <c r="S253" i="3" s="1"/>
  <c r="Q244" i="3"/>
  <c r="P244" i="3"/>
  <c r="P253" i="3" s="1"/>
  <c r="N244" i="3"/>
  <c r="N253" i="3" s="1"/>
  <c r="M244" i="3"/>
  <c r="M253" i="3" s="1"/>
  <c r="K244" i="3"/>
  <c r="K253" i="3" s="1"/>
  <c r="J244" i="3"/>
  <c r="H244" i="3"/>
  <c r="G244" i="3"/>
  <c r="G253" i="3" s="1"/>
  <c r="C244" i="3"/>
  <c r="B239" i="3"/>
  <c r="E231" i="3"/>
  <c r="E230" i="3"/>
  <c r="E229" i="3"/>
  <c r="AO228" i="3"/>
  <c r="AL228" i="3"/>
  <c r="AI228" i="3"/>
  <c r="AF228" i="3"/>
  <c r="AC228" i="3"/>
  <c r="Z228" i="3"/>
  <c r="W228" i="3"/>
  <c r="T228" i="3"/>
  <c r="Q228" i="3"/>
  <c r="N228" i="3"/>
  <c r="K228" i="3"/>
  <c r="H228" i="3"/>
  <c r="AO227" i="3"/>
  <c r="AL227" i="3"/>
  <c r="AI227" i="3"/>
  <c r="AF227" i="3"/>
  <c r="AC227" i="3"/>
  <c r="Z227" i="3"/>
  <c r="W227" i="3"/>
  <c r="T227" i="3"/>
  <c r="Q227" i="3"/>
  <c r="N227" i="3"/>
  <c r="K227" i="3"/>
  <c r="H227" i="3"/>
  <c r="AO226" i="3"/>
  <c r="AL226" i="3"/>
  <c r="AI226" i="3"/>
  <c r="AF226" i="3"/>
  <c r="AC226" i="3"/>
  <c r="Z226" i="3"/>
  <c r="W226" i="3"/>
  <c r="T226" i="3"/>
  <c r="Q226" i="3"/>
  <c r="N226" i="3"/>
  <c r="K226" i="3"/>
  <c r="H226" i="3"/>
  <c r="AO225" i="3"/>
  <c r="AL225" i="3"/>
  <c r="AI225" i="3"/>
  <c r="AF225" i="3"/>
  <c r="AC225" i="3"/>
  <c r="Z225" i="3"/>
  <c r="W225" i="3"/>
  <c r="T225" i="3"/>
  <c r="Q225" i="3"/>
  <c r="N225" i="3"/>
  <c r="K225" i="3"/>
  <c r="H225" i="3"/>
  <c r="AO224" i="3"/>
  <c r="AL224" i="3"/>
  <c r="AI224" i="3"/>
  <c r="AF224" i="3"/>
  <c r="AC224" i="3"/>
  <c r="Z224" i="3"/>
  <c r="W224" i="3"/>
  <c r="T224" i="3"/>
  <c r="Q224" i="3"/>
  <c r="N224" i="3"/>
  <c r="K224" i="3"/>
  <c r="H224" i="3"/>
  <c r="AO223" i="3"/>
  <c r="AL223" i="3"/>
  <c r="AI223" i="3"/>
  <c r="AF223" i="3"/>
  <c r="AC223" i="3"/>
  <c r="Z223" i="3"/>
  <c r="W223" i="3"/>
  <c r="T223" i="3"/>
  <c r="Q223" i="3"/>
  <c r="N223" i="3"/>
  <c r="K223" i="3"/>
  <c r="H223" i="3"/>
  <c r="AO222" i="3"/>
  <c r="AL222" i="3"/>
  <c r="AI222" i="3"/>
  <c r="AF222" i="3"/>
  <c r="AC222" i="3"/>
  <c r="Z222" i="3"/>
  <c r="W222" i="3"/>
  <c r="T222" i="3"/>
  <c r="Q222" i="3"/>
  <c r="N222" i="3"/>
  <c r="K222" i="3"/>
  <c r="H222" i="3"/>
  <c r="AO221" i="3"/>
  <c r="AL221" i="3"/>
  <c r="AI221" i="3"/>
  <c r="AF221" i="3"/>
  <c r="AC221" i="3"/>
  <c r="Z221" i="3"/>
  <c r="W221" i="3"/>
  <c r="T221" i="3"/>
  <c r="Q221" i="3"/>
  <c r="N221" i="3"/>
  <c r="K221" i="3"/>
  <c r="H221" i="3"/>
  <c r="AO219" i="3"/>
  <c r="AL219" i="3"/>
  <c r="AI219" i="3"/>
  <c r="AF219" i="3"/>
  <c r="AC219" i="3"/>
  <c r="Z219" i="3"/>
  <c r="W219" i="3"/>
  <c r="T219" i="3"/>
  <c r="Q219" i="3"/>
  <c r="N219" i="3"/>
  <c r="K219" i="3"/>
  <c r="H219" i="3"/>
  <c r="AO218" i="3"/>
  <c r="AL218" i="3"/>
  <c r="AI218" i="3"/>
  <c r="AF218" i="3"/>
  <c r="AC218" i="3"/>
  <c r="Z218" i="3"/>
  <c r="W218" i="3"/>
  <c r="T218" i="3"/>
  <c r="Q218" i="3"/>
  <c r="N218" i="3"/>
  <c r="K218" i="3"/>
  <c r="H218" i="3"/>
  <c r="AO217" i="3"/>
  <c r="AL217" i="3"/>
  <c r="AI217" i="3"/>
  <c r="AF217" i="3"/>
  <c r="AC217" i="3"/>
  <c r="Z217" i="3"/>
  <c r="W217" i="3"/>
  <c r="T217" i="3"/>
  <c r="Q217" i="3"/>
  <c r="N217" i="3"/>
  <c r="K217" i="3"/>
  <c r="H217" i="3"/>
  <c r="AO216" i="3"/>
  <c r="AL216" i="3"/>
  <c r="AI216" i="3"/>
  <c r="AF216" i="3"/>
  <c r="AC216" i="3"/>
  <c r="Z216" i="3"/>
  <c r="W216" i="3"/>
  <c r="T216" i="3"/>
  <c r="Q216" i="3"/>
  <c r="N216" i="3"/>
  <c r="K216" i="3"/>
  <c r="H216" i="3"/>
  <c r="AO215" i="3"/>
  <c r="AL215" i="3"/>
  <c r="AI215" i="3"/>
  <c r="AF215" i="3"/>
  <c r="AC215" i="3"/>
  <c r="Z215" i="3"/>
  <c r="W215" i="3"/>
  <c r="T215" i="3"/>
  <c r="Q215" i="3"/>
  <c r="N215" i="3"/>
  <c r="K215" i="3"/>
  <c r="H215" i="3"/>
  <c r="AO214" i="3"/>
  <c r="AO232" i="3" s="1"/>
  <c r="AL214" i="3"/>
  <c r="AI214" i="3"/>
  <c r="AI232" i="3" s="1"/>
  <c r="AF214" i="3"/>
  <c r="AC214" i="3"/>
  <c r="Z214" i="3"/>
  <c r="Z232" i="3" s="1"/>
  <c r="W214" i="3"/>
  <c r="T214" i="3"/>
  <c r="Q214" i="3"/>
  <c r="Q232" i="3" s="1"/>
  <c r="N214" i="3"/>
  <c r="N232" i="3" s="1"/>
  <c r="K214" i="3"/>
  <c r="H214" i="3"/>
  <c r="H232" i="3" s="1"/>
  <c r="E212" i="3"/>
  <c r="AO211" i="3"/>
  <c r="AL211" i="3"/>
  <c r="AI211" i="3"/>
  <c r="AF211" i="3"/>
  <c r="AC211" i="3"/>
  <c r="Z211" i="3"/>
  <c r="W211" i="3"/>
  <c r="T211" i="3"/>
  <c r="Q211" i="3"/>
  <c r="N211" i="3"/>
  <c r="K211" i="3"/>
  <c r="H211" i="3"/>
  <c r="AO210" i="3"/>
  <c r="AL210" i="3"/>
  <c r="AI210" i="3"/>
  <c r="AF210" i="3"/>
  <c r="AC210" i="3"/>
  <c r="Z210" i="3"/>
  <c r="W210" i="3"/>
  <c r="T210" i="3"/>
  <c r="Q210" i="3"/>
  <c r="N210" i="3"/>
  <c r="K210" i="3"/>
  <c r="H210" i="3"/>
  <c r="AO209" i="3"/>
  <c r="AL209" i="3"/>
  <c r="AI209" i="3"/>
  <c r="AF209" i="3"/>
  <c r="AC209" i="3"/>
  <c r="Z209" i="3"/>
  <c r="W209" i="3"/>
  <c r="T209" i="3"/>
  <c r="Q209" i="3"/>
  <c r="N209" i="3"/>
  <c r="K209" i="3"/>
  <c r="H209" i="3"/>
  <c r="AO208" i="3"/>
  <c r="AL208" i="3"/>
  <c r="AI208" i="3"/>
  <c r="AF208" i="3"/>
  <c r="AC208" i="3"/>
  <c r="Z208" i="3"/>
  <c r="W208" i="3"/>
  <c r="T208" i="3"/>
  <c r="Q208" i="3"/>
  <c r="N208" i="3"/>
  <c r="K208" i="3"/>
  <c r="H208" i="3"/>
  <c r="E207" i="3"/>
  <c r="E206" i="3"/>
  <c r="E205" i="3"/>
  <c r="AO204" i="3"/>
  <c r="AL204" i="3"/>
  <c r="AI204" i="3"/>
  <c r="AF204" i="3"/>
  <c r="AC204" i="3"/>
  <c r="Z204" i="3"/>
  <c r="W204" i="3"/>
  <c r="T204" i="3"/>
  <c r="Q204" i="3"/>
  <c r="N204" i="3"/>
  <c r="K204" i="3"/>
  <c r="H204" i="3"/>
  <c r="AO203" i="3"/>
  <c r="AL203" i="3"/>
  <c r="AI203" i="3"/>
  <c r="AF203" i="3"/>
  <c r="AC203" i="3"/>
  <c r="Z203" i="3"/>
  <c r="W203" i="3"/>
  <c r="T203" i="3"/>
  <c r="Q203" i="3"/>
  <c r="N203" i="3"/>
  <c r="K203" i="3"/>
  <c r="H203" i="3"/>
  <c r="AO202" i="3"/>
  <c r="AL202" i="3"/>
  <c r="AI202" i="3"/>
  <c r="AF202" i="3"/>
  <c r="AC202" i="3"/>
  <c r="Z202" i="3"/>
  <c r="W202" i="3"/>
  <c r="T202" i="3"/>
  <c r="Q202" i="3"/>
  <c r="N202" i="3"/>
  <c r="K202" i="3"/>
  <c r="H202" i="3"/>
  <c r="AO201" i="3"/>
  <c r="AL201" i="3"/>
  <c r="AI201" i="3"/>
  <c r="AF201" i="3"/>
  <c r="AC201" i="3"/>
  <c r="Z201" i="3"/>
  <c r="W201" i="3"/>
  <c r="T201" i="3"/>
  <c r="Q201" i="3"/>
  <c r="N201" i="3"/>
  <c r="K201" i="3"/>
  <c r="H201" i="3"/>
  <c r="H213" i="3" s="1"/>
  <c r="H234" i="3" s="1"/>
  <c r="AO194" i="3"/>
  <c r="AN194" i="3"/>
  <c r="AM194" i="3"/>
  <c r="AL194" i="3"/>
  <c r="AK194" i="3"/>
  <c r="AJ194" i="3"/>
  <c r="AI194" i="3"/>
  <c r="AH194" i="3"/>
  <c r="AG194" i="3"/>
  <c r="AF194" i="3"/>
  <c r="AE194" i="3"/>
  <c r="AD194" i="3"/>
  <c r="AC194" i="3"/>
  <c r="AB194" i="3"/>
  <c r="AA194" i="3"/>
  <c r="Z194" i="3"/>
  <c r="Y194" i="3"/>
  <c r="X194" i="3"/>
  <c r="W194" i="3"/>
  <c r="V194" i="3"/>
  <c r="U194" i="3"/>
  <c r="T194" i="3"/>
  <c r="S194" i="3"/>
  <c r="R194" i="3"/>
  <c r="Q194" i="3"/>
  <c r="P194" i="3"/>
  <c r="O194" i="3"/>
  <c r="N194" i="3"/>
  <c r="M194" i="3"/>
  <c r="L194" i="3"/>
  <c r="K194" i="3"/>
  <c r="J194" i="3"/>
  <c r="I194" i="3"/>
  <c r="H194" i="3"/>
  <c r="G194" i="3"/>
  <c r="F194" i="3"/>
  <c r="AO191" i="3"/>
  <c r="AN191" i="3"/>
  <c r="AM191" i="3"/>
  <c r="AL191" i="3"/>
  <c r="AK191" i="3"/>
  <c r="AJ191" i="3"/>
  <c r="AI191" i="3"/>
  <c r="AH191" i="3"/>
  <c r="AG191" i="3"/>
  <c r="AF191" i="3"/>
  <c r="AE191" i="3"/>
  <c r="AD191" i="3"/>
  <c r="AC191" i="3"/>
  <c r="AB191" i="3"/>
  <c r="AA191" i="3"/>
  <c r="Z191" i="3"/>
  <c r="Y191" i="3"/>
  <c r="X191" i="3"/>
  <c r="W191" i="3"/>
  <c r="V191" i="3"/>
  <c r="U191" i="3"/>
  <c r="T191" i="3"/>
  <c r="S191" i="3"/>
  <c r="R191" i="3"/>
  <c r="Q191" i="3"/>
  <c r="P191" i="3"/>
  <c r="O191" i="3"/>
  <c r="N191" i="3"/>
  <c r="M191" i="3"/>
  <c r="L191" i="3"/>
  <c r="K191" i="3"/>
  <c r="J191" i="3"/>
  <c r="I191" i="3"/>
  <c r="H191" i="3"/>
  <c r="G191" i="3"/>
  <c r="F191" i="3"/>
  <c r="AO187" i="3"/>
  <c r="AL187" i="3"/>
  <c r="AI187" i="3"/>
  <c r="AF187" i="3"/>
  <c r="AC187" i="3"/>
  <c r="Z187" i="3"/>
  <c r="W187" i="3"/>
  <c r="T187" i="3"/>
  <c r="Q187" i="3"/>
  <c r="N187" i="3"/>
  <c r="K187" i="3"/>
  <c r="H187" i="3"/>
  <c r="AN185" i="3"/>
  <c r="AK185" i="3"/>
  <c r="AH185" i="3"/>
  <c r="AE185" i="3"/>
  <c r="AB185" i="3"/>
  <c r="Y185" i="3"/>
  <c r="V185" i="3"/>
  <c r="S185" i="3"/>
  <c r="P185" i="3"/>
  <c r="M185" i="3"/>
  <c r="J185" i="3"/>
  <c r="G185" i="3"/>
  <c r="D185" i="3"/>
  <c r="AO184" i="3"/>
  <c r="AN184" i="3"/>
  <c r="AM184" i="3"/>
  <c r="AL184" i="3"/>
  <c r="AK184" i="3"/>
  <c r="AJ184" i="3"/>
  <c r="AI184" i="3"/>
  <c r="AH184" i="3"/>
  <c r="AG184" i="3"/>
  <c r="AF184" i="3"/>
  <c r="AE184" i="3"/>
  <c r="AE186" i="3" s="1"/>
  <c r="AD184" i="3"/>
  <c r="AC184" i="3"/>
  <c r="AB184" i="3"/>
  <c r="AA184" i="3"/>
  <c r="Z184" i="3"/>
  <c r="Y184" i="3"/>
  <c r="X184" i="3"/>
  <c r="W184" i="3"/>
  <c r="V184" i="3"/>
  <c r="U184" i="3"/>
  <c r="T184" i="3"/>
  <c r="S184" i="3"/>
  <c r="S186" i="3" s="1"/>
  <c r="R184" i="3"/>
  <c r="Q184" i="3"/>
  <c r="P184" i="3"/>
  <c r="O184" i="3"/>
  <c r="N184" i="3"/>
  <c r="M184" i="3"/>
  <c r="L184" i="3"/>
  <c r="K184" i="3"/>
  <c r="J184" i="3"/>
  <c r="I184" i="3"/>
  <c r="H184" i="3"/>
  <c r="G184" i="3"/>
  <c r="G186" i="3" s="1"/>
  <c r="F184" i="3"/>
  <c r="AO181" i="3"/>
  <c r="AN181" i="3"/>
  <c r="AM181" i="3"/>
  <c r="AL181" i="3"/>
  <c r="AK181" i="3"/>
  <c r="AJ181" i="3"/>
  <c r="AI181" i="3"/>
  <c r="AH181" i="3"/>
  <c r="AG181" i="3"/>
  <c r="AF181" i="3"/>
  <c r="AE181" i="3"/>
  <c r="AD181" i="3"/>
  <c r="AC181" i="3"/>
  <c r="AB181" i="3"/>
  <c r="AA181" i="3"/>
  <c r="Z181" i="3"/>
  <c r="Y181" i="3"/>
  <c r="X181" i="3"/>
  <c r="W181" i="3"/>
  <c r="V181" i="3"/>
  <c r="U181" i="3"/>
  <c r="T181" i="3"/>
  <c r="S181" i="3"/>
  <c r="R181" i="3"/>
  <c r="Q181" i="3"/>
  <c r="P181" i="3"/>
  <c r="O181" i="3"/>
  <c r="N181" i="3"/>
  <c r="M181" i="3"/>
  <c r="L181" i="3"/>
  <c r="K181" i="3"/>
  <c r="J181" i="3"/>
  <c r="I181" i="3"/>
  <c r="H181" i="3"/>
  <c r="G181" i="3"/>
  <c r="H182" i="3" s="1"/>
  <c r="F181" i="3"/>
  <c r="AO178" i="3"/>
  <c r="AO179" i="3" s="1"/>
  <c r="AN178" i="3"/>
  <c r="AM178" i="3"/>
  <c r="AN180" i="3" s="1"/>
  <c r="AL178" i="3"/>
  <c r="AK178" i="3"/>
  <c r="AJ178" i="3"/>
  <c r="AI178" i="3"/>
  <c r="AH178" i="3"/>
  <c r="AG178" i="3"/>
  <c r="AF178" i="3"/>
  <c r="AE178" i="3"/>
  <c r="AD178" i="3"/>
  <c r="AC178" i="3"/>
  <c r="AC179" i="3" s="1"/>
  <c r="AB178" i="3"/>
  <c r="AA178" i="3"/>
  <c r="Z178" i="3"/>
  <c r="Y178" i="3"/>
  <c r="X178" i="3"/>
  <c r="W178" i="3"/>
  <c r="V178" i="3"/>
  <c r="U178" i="3"/>
  <c r="T178" i="3"/>
  <c r="S178" i="3"/>
  <c r="R178" i="3"/>
  <c r="Q178" i="3"/>
  <c r="Q179" i="3" s="1"/>
  <c r="P178" i="3"/>
  <c r="O178" i="3"/>
  <c r="P180" i="3" s="1"/>
  <c r="N178" i="3"/>
  <c r="M178" i="3"/>
  <c r="L178" i="3"/>
  <c r="K178" i="3"/>
  <c r="J178" i="3"/>
  <c r="I178" i="3"/>
  <c r="H178" i="3"/>
  <c r="G178" i="3"/>
  <c r="F178" i="3"/>
  <c r="AO175" i="3"/>
  <c r="AN175" i="3"/>
  <c r="AM175" i="3"/>
  <c r="AL175" i="3"/>
  <c r="AK175" i="3"/>
  <c r="AJ175" i="3"/>
  <c r="AI175" i="3"/>
  <c r="AH175" i="3"/>
  <c r="AG175" i="3"/>
  <c r="AF175" i="3"/>
  <c r="AE175" i="3"/>
  <c r="AD175" i="3"/>
  <c r="AC175" i="3"/>
  <c r="AB175" i="3"/>
  <c r="AA175" i="3"/>
  <c r="Z175" i="3"/>
  <c r="Y175" i="3"/>
  <c r="X175" i="3"/>
  <c r="W175" i="3"/>
  <c r="V175" i="3"/>
  <c r="U175" i="3"/>
  <c r="U188" i="3" s="1"/>
  <c r="T175" i="3"/>
  <c r="S175" i="3"/>
  <c r="R175" i="3"/>
  <c r="Q175" i="3"/>
  <c r="P175" i="3"/>
  <c r="O175" i="3"/>
  <c r="N175" i="3"/>
  <c r="M175" i="3"/>
  <c r="L175" i="3"/>
  <c r="K175" i="3"/>
  <c r="J175" i="3"/>
  <c r="I175" i="3"/>
  <c r="H175" i="3"/>
  <c r="G175" i="3"/>
  <c r="F175" i="3"/>
  <c r="B171" i="3"/>
  <c r="AO165" i="3"/>
  <c r="AL165" i="3"/>
  <c r="AI165" i="3"/>
  <c r="AF165" i="3"/>
  <c r="AC165" i="3"/>
  <c r="Z165" i="3"/>
  <c r="W165" i="3"/>
  <c r="T165" i="3"/>
  <c r="Q165" i="3"/>
  <c r="N165" i="3"/>
  <c r="K165" i="3"/>
  <c r="H165" i="3"/>
  <c r="E164" i="3"/>
  <c r="E163" i="3"/>
  <c r="E162" i="3"/>
  <c r="AO161" i="3"/>
  <c r="AO479" i="3" s="1"/>
  <c r="AL161" i="3"/>
  <c r="AL479" i="3" s="1"/>
  <c r="AI161" i="3"/>
  <c r="AI479" i="3" s="1"/>
  <c r="AF161" i="3"/>
  <c r="AF479" i="3" s="1"/>
  <c r="AC161" i="3"/>
  <c r="AC479" i="3" s="1"/>
  <c r="Z161" i="3"/>
  <c r="Z479" i="3" s="1"/>
  <c r="W161" i="3"/>
  <c r="W479" i="3" s="1"/>
  <c r="T161" i="3"/>
  <c r="T479" i="3" s="1"/>
  <c r="Q161" i="3"/>
  <c r="Q479" i="3" s="1"/>
  <c r="N161" i="3"/>
  <c r="N479" i="3" s="1"/>
  <c r="K161" i="3"/>
  <c r="K479" i="3" s="1"/>
  <c r="H161" i="3"/>
  <c r="AO160" i="3"/>
  <c r="AL160" i="3"/>
  <c r="AL478" i="3" s="1"/>
  <c r="AI160" i="3"/>
  <c r="AI478" i="3" s="1"/>
  <c r="AF160" i="3"/>
  <c r="AF478" i="3" s="1"/>
  <c r="AC160" i="3"/>
  <c r="AC478" i="3" s="1"/>
  <c r="Z160" i="3"/>
  <c r="Z478" i="3" s="1"/>
  <c r="W160" i="3"/>
  <c r="W478" i="3" s="1"/>
  <c r="T160" i="3"/>
  <c r="T478" i="3" s="1"/>
  <c r="Q160" i="3"/>
  <c r="Q478" i="3" s="1"/>
  <c r="N160" i="3"/>
  <c r="N478" i="3" s="1"/>
  <c r="K160" i="3"/>
  <c r="K478" i="3" s="1"/>
  <c r="H160" i="3"/>
  <c r="H478" i="3" s="1"/>
  <c r="AO159" i="3"/>
  <c r="AO477" i="3" s="1"/>
  <c r="AL159" i="3"/>
  <c r="AL477" i="3" s="1"/>
  <c r="AI159" i="3"/>
  <c r="AI477" i="3" s="1"/>
  <c r="AF159" i="3"/>
  <c r="AF477" i="3" s="1"/>
  <c r="AC159" i="3"/>
  <c r="AC477" i="3" s="1"/>
  <c r="Z159" i="3"/>
  <c r="Z477" i="3" s="1"/>
  <c r="W159" i="3"/>
  <c r="W477" i="3" s="1"/>
  <c r="T159" i="3"/>
  <c r="T477" i="3" s="1"/>
  <c r="Q159" i="3"/>
  <c r="N159" i="3"/>
  <c r="K159" i="3"/>
  <c r="K477" i="3" s="1"/>
  <c r="H159" i="3"/>
  <c r="E155" i="3"/>
  <c r="E154" i="3"/>
  <c r="E153" i="3"/>
  <c r="AO152" i="3"/>
  <c r="AL152" i="3"/>
  <c r="AI152" i="3"/>
  <c r="AF152" i="3"/>
  <c r="AC152" i="3"/>
  <c r="Z152" i="3"/>
  <c r="W152" i="3"/>
  <c r="T152" i="3"/>
  <c r="Q152" i="3"/>
  <c r="N152" i="3"/>
  <c r="K152" i="3"/>
  <c r="H152" i="3"/>
  <c r="AO151" i="3"/>
  <c r="AL151" i="3"/>
  <c r="AI151" i="3"/>
  <c r="AF151" i="3"/>
  <c r="AC151" i="3"/>
  <c r="Z151" i="3"/>
  <c r="W151" i="3"/>
  <c r="T151" i="3"/>
  <c r="Q151" i="3"/>
  <c r="N151" i="3"/>
  <c r="K151" i="3"/>
  <c r="H151" i="3"/>
  <c r="AO150" i="3"/>
  <c r="AL150" i="3"/>
  <c r="AI150" i="3"/>
  <c r="AF150" i="3"/>
  <c r="AC150" i="3"/>
  <c r="Z150" i="3"/>
  <c r="W150" i="3"/>
  <c r="T150" i="3"/>
  <c r="Q150" i="3"/>
  <c r="N150" i="3"/>
  <c r="K150" i="3"/>
  <c r="H150" i="3"/>
  <c r="AO149" i="3"/>
  <c r="AL149" i="3"/>
  <c r="AI149" i="3"/>
  <c r="AF149" i="3"/>
  <c r="AC149" i="3"/>
  <c r="Z149" i="3"/>
  <c r="W149" i="3"/>
  <c r="T149" i="3"/>
  <c r="Q149" i="3"/>
  <c r="N149" i="3"/>
  <c r="K149" i="3"/>
  <c r="H149" i="3"/>
  <c r="AO148" i="3"/>
  <c r="AL148" i="3"/>
  <c r="AI148" i="3"/>
  <c r="AF148" i="3"/>
  <c r="AC148" i="3"/>
  <c r="Z148" i="3"/>
  <c r="W148" i="3"/>
  <c r="T148" i="3"/>
  <c r="Q148" i="3"/>
  <c r="N148" i="3"/>
  <c r="K148" i="3"/>
  <c r="H148" i="3"/>
  <c r="AO147" i="3"/>
  <c r="AL147" i="3"/>
  <c r="AI147" i="3"/>
  <c r="AF147" i="3"/>
  <c r="AC147" i="3"/>
  <c r="Z147" i="3"/>
  <c r="W147" i="3"/>
  <c r="T147" i="3"/>
  <c r="Q147" i="3"/>
  <c r="N147" i="3"/>
  <c r="K147" i="3"/>
  <c r="H147" i="3"/>
  <c r="AO146" i="3"/>
  <c r="AL146" i="3"/>
  <c r="AI146" i="3"/>
  <c r="AF146" i="3"/>
  <c r="AC146" i="3"/>
  <c r="Z146" i="3"/>
  <c r="W146" i="3"/>
  <c r="T146" i="3"/>
  <c r="Q146" i="3"/>
  <c r="N146" i="3"/>
  <c r="K146" i="3"/>
  <c r="H146" i="3"/>
  <c r="AO145" i="3"/>
  <c r="AL145" i="3"/>
  <c r="AI145" i="3"/>
  <c r="AF145" i="3"/>
  <c r="AC145" i="3"/>
  <c r="Z145" i="3"/>
  <c r="W145" i="3"/>
  <c r="T145" i="3"/>
  <c r="Q145" i="3"/>
  <c r="N145" i="3"/>
  <c r="K145" i="3"/>
  <c r="H145" i="3"/>
  <c r="AO144" i="3"/>
  <c r="AL144" i="3"/>
  <c r="AI144" i="3"/>
  <c r="AF144" i="3"/>
  <c r="AC144" i="3"/>
  <c r="Z144" i="3"/>
  <c r="W144" i="3"/>
  <c r="T144" i="3"/>
  <c r="Q144" i="3"/>
  <c r="N144" i="3"/>
  <c r="K144" i="3"/>
  <c r="H144" i="3"/>
  <c r="AO143" i="3"/>
  <c r="AL143" i="3"/>
  <c r="AI143" i="3"/>
  <c r="AF143" i="3"/>
  <c r="AC143" i="3"/>
  <c r="Z143" i="3"/>
  <c r="W143" i="3"/>
  <c r="T143" i="3"/>
  <c r="Q143" i="3"/>
  <c r="N143" i="3"/>
  <c r="K143" i="3"/>
  <c r="H143" i="3"/>
  <c r="AO142" i="3"/>
  <c r="AL142" i="3"/>
  <c r="AI142" i="3"/>
  <c r="AF142" i="3"/>
  <c r="AC142" i="3"/>
  <c r="Z142" i="3"/>
  <c r="W142" i="3"/>
  <c r="T142" i="3"/>
  <c r="Q142" i="3"/>
  <c r="N142" i="3"/>
  <c r="K142" i="3"/>
  <c r="H142" i="3"/>
  <c r="AO141" i="3"/>
  <c r="AL141" i="3"/>
  <c r="AI141" i="3"/>
  <c r="AF141" i="3"/>
  <c r="AC141" i="3"/>
  <c r="Z141" i="3"/>
  <c r="W141" i="3"/>
  <c r="T141" i="3"/>
  <c r="Q141" i="3"/>
  <c r="N141" i="3"/>
  <c r="K141" i="3"/>
  <c r="H141" i="3"/>
  <c r="AO140" i="3"/>
  <c r="AL140" i="3"/>
  <c r="AI140" i="3"/>
  <c r="AF140" i="3"/>
  <c r="AC140" i="3"/>
  <c r="Z140" i="3"/>
  <c r="W140" i="3"/>
  <c r="T140" i="3"/>
  <c r="Q140" i="3"/>
  <c r="N140" i="3"/>
  <c r="K140" i="3"/>
  <c r="H140" i="3"/>
  <c r="AO139" i="3"/>
  <c r="AO156" i="3" s="1"/>
  <c r="AL139" i="3"/>
  <c r="AI139" i="3"/>
  <c r="AI156" i="3" s="1"/>
  <c r="AF139" i="3"/>
  <c r="AC139" i="3"/>
  <c r="Z139" i="3"/>
  <c r="Z156" i="3" s="1"/>
  <c r="W139" i="3"/>
  <c r="W156" i="3" s="1"/>
  <c r="T139" i="3"/>
  <c r="Q139" i="3"/>
  <c r="Q156" i="3" s="1"/>
  <c r="N139" i="3"/>
  <c r="K139" i="3"/>
  <c r="H139" i="3"/>
  <c r="H156" i="3" s="1"/>
  <c r="E137" i="3"/>
  <c r="AO136" i="3"/>
  <c r="AL136" i="3"/>
  <c r="AI136" i="3"/>
  <c r="AF136" i="3"/>
  <c r="AC136" i="3"/>
  <c r="Z136" i="3"/>
  <c r="W136" i="3"/>
  <c r="T136" i="3"/>
  <c r="Q136" i="3"/>
  <c r="N136" i="3"/>
  <c r="K136" i="3"/>
  <c r="H136" i="3"/>
  <c r="AO135" i="3"/>
  <c r="AL135" i="3"/>
  <c r="AI135" i="3"/>
  <c r="AF135" i="3"/>
  <c r="AC135" i="3"/>
  <c r="Z135" i="3"/>
  <c r="W135" i="3"/>
  <c r="T135" i="3"/>
  <c r="Q135" i="3"/>
  <c r="N135" i="3"/>
  <c r="K135" i="3"/>
  <c r="H135" i="3"/>
  <c r="AO134" i="3"/>
  <c r="AL134" i="3"/>
  <c r="AI134" i="3"/>
  <c r="AF134" i="3"/>
  <c r="AC134" i="3"/>
  <c r="Z134" i="3"/>
  <c r="W134" i="3"/>
  <c r="T134" i="3"/>
  <c r="Q134" i="3"/>
  <c r="N134" i="3"/>
  <c r="K134" i="3"/>
  <c r="H134" i="3"/>
  <c r="AO133" i="3"/>
  <c r="AL133" i="3"/>
  <c r="AI133" i="3"/>
  <c r="AF133" i="3"/>
  <c r="AC133" i="3"/>
  <c r="Z133" i="3"/>
  <c r="W133" i="3"/>
  <c r="T133" i="3"/>
  <c r="Q133" i="3"/>
  <c r="N133" i="3"/>
  <c r="K133" i="3"/>
  <c r="H133" i="3"/>
  <c r="E132" i="3"/>
  <c r="E131" i="3"/>
  <c r="E130" i="3"/>
  <c r="E129" i="3"/>
  <c r="AO128" i="3"/>
  <c r="AL128" i="3"/>
  <c r="AI128" i="3"/>
  <c r="AF128" i="3"/>
  <c r="AC128" i="3"/>
  <c r="Z128" i="3"/>
  <c r="W128" i="3"/>
  <c r="T128" i="3"/>
  <c r="Q128" i="3"/>
  <c r="N128" i="3"/>
  <c r="K128" i="3"/>
  <c r="H128" i="3"/>
  <c r="AO127" i="3"/>
  <c r="AL127" i="3"/>
  <c r="AI127" i="3"/>
  <c r="AF127" i="3"/>
  <c r="AC127" i="3"/>
  <c r="Z127" i="3"/>
  <c r="W127" i="3"/>
  <c r="T127" i="3"/>
  <c r="Q127" i="3"/>
  <c r="N127" i="3"/>
  <c r="K127" i="3"/>
  <c r="H127" i="3"/>
  <c r="AO126" i="3"/>
  <c r="AL126" i="3"/>
  <c r="AI126" i="3"/>
  <c r="AF126" i="3"/>
  <c r="AC126" i="3"/>
  <c r="Z126" i="3"/>
  <c r="W126" i="3"/>
  <c r="T126" i="3"/>
  <c r="Q126" i="3"/>
  <c r="Q138" i="3" s="1"/>
  <c r="N126" i="3"/>
  <c r="K126" i="3"/>
  <c r="H126" i="3"/>
  <c r="E124" i="3"/>
  <c r="E123" i="3"/>
  <c r="E122" i="3"/>
  <c r="AO121" i="3"/>
  <c r="AL121" i="3"/>
  <c r="AI121" i="3"/>
  <c r="AF121" i="3"/>
  <c r="AC121" i="3"/>
  <c r="Z121" i="3"/>
  <c r="W121" i="3"/>
  <c r="T121" i="3"/>
  <c r="Q121" i="3"/>
  <c r="N121" i="3"/>
  <c r="K121" i="3"/>
  <c r="H121" i="3"/>
  <c r="AO120" i="3"/>
  <c r="AL120" i="3"/>
  <c r="AI120" i="3"/>
  <c r="AF120" i="3"/>
  <c r="AC120" i="3"/>
  <c r="Z120" i="3"/>
  <c r="W120" i="3"/>
  <c r="T120" i="3"/>
  <c r="Q120" i="3"/>
  <c r="N120" i="3"/>
  <c r="K120" i="3"/>
  <c r="H120" i="3"/>
  <c r="AO119" i="3"/>
  <c r="AL119" i="3"/>
  <c r="AI119" i="3"/>
  <c r="AF119" i="3"/>
  <c r="AC119" i="3"/>
  <c r="Z119" i="3"/>
  <c r="W119" i="3"/>
  <c r="T119" i="3"/>
  <c r="Q119" i="3"/>
  <c r="N119" i="3"/>
  <c r="K119" i="3"/>
  <c r="H119" i="3"/>
  <c r="AO118" i="3"/>
  <c r="AL118" i="3"/>
  <c r="AI118" i="3"/>
  <c r="AF118" i="3"/>
  <c r="AC118" i="3"/>
  <c r="Z118" i="3"/>
  <c r="W118" i="3"/>
  <c r="T118" i="3"/>
  <c r="Q118" i="3"/>
  <c r="N118" i="3"/>
  <c r="K118" i="3"/>
  <c r="H118" i="3"/>
  <c r="AO117" i="3"/>
  <c r="AL117" i="3"/>
  <c r="AI117" i="3"/>
  <c r="AF117" i="3"/>
  <c r="AC117" i="3"/>
  <c r="Z117" i="3"/>
  <c r="W117" i="3"/>
  <c r="T117" i="3"/>
  <c r="Q117" i="3"/>
  <c r="N117" i="3"/>
  <c r="K117" i="3"/>
  <c r="H117" i="3"/>
  <c r="AO116" i="3"/>
  <c r="AL116" i="3"/>
  <c r="AI116" i="3"/>
  <c r="AF116" i="3"/>
  <c r="AC116" i="3"/>
  <c r="Z116" i="3"/>
  <c r="W116" i="3"/>
  <c r="T116" i="3"/>
  <c r="Q116" i="3"/>
  <c r="N116" i="3"/>
  <c r="K116" i="3"/>
  <c r="H116" i="3"/>
  <c r="AO115" i="3"/>
  <c r="AL115" i="3"/>
  <c r="AL125" i="3" s="1"/>
  <c r="AI115" i="3"/>
  <c r="AF115" i="3"/>
  <c r="AC115" i="3"/>
  <c r="AC125" i="3" s="1"/>
  <c r="Z115" i="3"/>
  <c r="W115" i="3"/>
  <c r="T115" i="3"/>
  <c r="Q115" i="3"/>
  <c r="N115" i="3"/>
  <c r="K115" i="3"/>
  <c r="H115" i="3"/>
  <c r="AO107" i="3"/>
  <c r="AL107" i="3"/>
  <c r="AI107" i="3"/>
  <c r="AF107" i="3"/>
  <c r="AC107" i="3"/>
  <c r="Z107" i="3"/>
  <c r="W107" i="3"/>
  <c r="T107" i="3"/>
  <c r="Q107" i="3"/>
  <c r="N107" i="3"/>
  <c r="K107" i="3"/>
  <c r="H107" i="3"/>
  <c r="AO106" i="3"/>
  <c r="AL106" i="3"/>
  <c r="AI106" i="3"/>
  <c r="AF106" i="3"/>
  <c r="AC106" i="3"/>
  <c r="Z106" i="3"/>
  <c r="W106" i="3"/>
  <c r="T106" i="3"/>
  <c r="Q106" i="3"/>
  <c r="N106" i="3"/>
  <c r="K106" i="3"/>
  <c r="H106" i="3"/>
  <c r="AO105" i="3"/>
  <c r="AO108" i="3" s="1"/>
  <c r="AM116" i="3" s="1"/>
  <c r="AL105" i="3"/>
  <c r="AI105" i="3"/>
  <c r="AF105" i="3"/>
  <c r="AF108" i="3" s="1"/>
  <c r="AD116" i="3" s="1"/>
  <c r="AC105" i="3"/>
  <c r="AC108" i="3" s="1"/>
  <c r="AA116" i="3" s="1"/>
  <c r="Z105" i="3"/>
  <c r="W105" i="3"/>
  <c r="T105" i="3"/>
  <c r="Q105" i="3"/>
  <c r="N105" i="3"/>
  <c r="N108" i="3" s="1"/>
  <c r="L116" i="3" s="1"/>
  <c r="K105" i="3"/>
  <c r="K108" i="3" s="1"/>
  <c r="H105" i="3"/>
  <c r="H108" i="3" s="1"/>
  <c r="AO103" i="3"/>
  <c r="AM103" i="3"/>
  <c r="AL103" i="3"/>
  <c r="AJ103" i="3"/>
  <c r="AI103" i="3"/>
  <c r="AG103" i="3"/>
  <c r="AH103" i="3" s="1"/>
  <c r="AF103" i="3"/>
  <c r="AD103" i="3"/>
  <c r="AC103" i="3"/>
  <c r="AA103" i="3"/>
  <c r="Z103" i="3"/>
  <c r="X103" i="3"/>
  <c r="W103" i="3"/>
  <c r="U103" i="3"/>
  <c r="T103" i="3"/>
  <c r="R103" i="3"/>
  <c r="Q103" i="3"/>
  <c r="O103" i="3"/>
  <c r="N103" i="3"/>
  <c r="L103" i="3"/>
  <c r="K103" i="3"/>
  <c r="I103" i="3"/>
  <c r="H103" i="3"/>
  <c r="F103" i="3"/>
  <c r="AO99" i="3"/>
  <c r="AM99" i="3"/>
  <c r="AL99" i="3"/>
  <c r="AJ99" i="3"/>
  <c r="AI99" i="3"/>
  <c r="AG99" i="3"/>
  <c r="AH99" i="3" s="1"/>
  <c r="AF99" i="3"/>
  <c r="AD99" i="3"/>
  <c r="AC99" i="3"/>
  <c r="AA99" i="3"/>
  <c r="AB99" i="3" s="1"/>
  <c r="Z99" i="3"/>
  <c r="X99" i="3"/>
  <c r="Y99" i="3" s="1"/>
  <c r="W99" i="3"/>
  <c r="U99" i="3"/>
  <c r="T99" i="3"/>
  <c r="R99" i="3"/>
  <c r="Q99" i="3"/>
  <c r="O99" i="3"/>
  <c r="N99" i="3"/>
  <c r="L99" i="3"/>
  <c r="K99" i="3"/>
  <c r="I99" i="3"/>
  <c r="H99" i="3"/>
  <c r="F99" i="3"/>
  <c r="G99" i="3" s="1"/>
  <c r="AO98" i="3"/>
  <c r="AM98" i="3"/>
  <c r="AL98" i="3"/>
  <c r="AJ98" i="3"/>
  <c r="AI98" i="3"/>
  <c r="AG98" i="3"/>
  <c r="AF98" i="3"/>
  <c r="AD98" i="3"/>
  <c r="AC98" i="3"/>
  <c r="AA98" i="3"/>
  <c r="Z98" i="3"/>
  <c r="X98" i="3"/>
  <c r="Y98" i="3" s="1"/>
  <c r="W98" i="3"/>
  <c r="U98" i="3"/>
  <c r="T98" i="3"/>
  <c r="R98" i="3"/>
  <c r="Q98" i="3"/>
  <c r="O98" i="3"/>
  <c r="N98" i="3"/>
  <c r="L98" i="3"/>
  <c r="K98" i="3"/>
  <c r="I98" i="3"/>
  <c r="H98" i="3"/>
  <c r="F98" i="3"/>
  <c r="G98" i="3" s="1"/>
  <c r="AO97" i="3"/>
  <c r="AO100" i="3" s="1"/>
  <c r="AM97" i="3"/>
  <c r="AL97" i="3"/>
  <c r="AL100" i="3" s="1"/>
  <c r="AJ97" i="3"/>
  <c r="AI97" i="3"/>
  <c r="AI100" i="3" s="1"/>
  <c r="AG97" i="3"/>
  <c r="AG100" i="3" s="1"/>
  <c r="AG111" i="3" s="1"/>
  <c r="AF97" i="3"/>
  <c r="AD97" i="3"/>
  <c r="AC97" i="3"/>
  <c r="AC100" i="3" s="1"/>
  <c r="AA97" i="3"/>
  <c r="Z97" i="3"/>
  <c r="Z100" i="3" s="1"/>
  <c r="X97" i="3"/>
  <c r="Y97" i="3" s="1"/>
  <c r="W97" i="3"/>
  <c r="W100" i="3" s="1"/>
  <c r="U97" i="3"/>
  <c r="T97" i="3"/>
  <c r="T100" i="3" s="1"/>
  <c r="R97" i="3"/>
  <c r="Q97" i="3"/>
  <c r="O97" i="3"/>
  <c r="N97" i="3"/>
  <c r="L97" i="3"/>
  <c r="K97" i="3"/>
  <c r="K100" i="3" s="1"/>
  <c r="I97" i="3"/>
  <c r="H97" i="3"/>
  <c r="F97" i="3"/>
  <c r="AO96" i="3"/>
  <c r="AL96" i="3"/>
  <c r="AI96" i="3"/>
  <c r="AF96" i="3"/>
  <c r="AC96" i="3"/>
  <c r="Z96" i="3"/>
  <c r="W96" i="3"/>
  <c r="T96" i="3"/>
  <c r="Q96" i="3"/>
  <c r="N96" i="3"/>
  <c r="K96" i="3"/>
  <c r="H96" i="3"/>
  <c r="B92" i="3"/>
  <c r="AO85" i="3"/>
  <c r="AL85" i="3"/>
  <c r="AL483" i="3" s="1"/>
  <c r="AI85" i="3"/>
  <c r="AF85" i="3"/>
  <c r="AC85" i="3"/>
  <c r="AC483" i="3" s="1"/>
  <c r="Z85" i="3"/>
  <c r="W85" i="3"/>
  <c r="T85" i="3"/>
  <c r="Q85" i="3"/>
  <c r="N85" i="3"/>
  <c r="K85" i="3"/>
  <c r="H85" i="3"/>
  <c r="E84" i="3"/>
  <c r="E83" i="3"/>
  <c r="E82" i="3"/>
  <c r="AO81" i="3"/>
  <c r="AO473" i="3" s="1"/>
  <c r="AL81" i="3"/>
  <c r="AL473" i="3" s="1"/>
  <c r="AI81" i="3"/>
  <c r="AI473" i="3" s="1"/>
  <c r="AF81" i="3"/>
  <c r="AF473" i="3" s="1"/>
  <c r="AC81" i="3"/>
  <c r="AC473" i="3" s="1"/>
  <c r="Z81" i="3"/>
  <c r="Z473" i="3" s="1"/>
  <c r="W81" i="3"/>
  <c r="W473" i="3" s="1"/>
  <c r="T81" i="3"/>
  <c r="T473" i="3" s="1"/>
  <c r="Q81" i="3"/>
  <c r="Q473" i="3" s="1"/>
  <c r="N81" i="3"/>
  <c r="N473" i="3" s="1"/>
  <c r="K81" i="3"/>
  <c r="K473" i="3" s="1"/>
  <c r="H81" i="3"/>
  <c r="E80" i="3"/>
  <c r="E79" i="3"/>
  <c r="AO78" i="3"/>
  <c r="AO474" i="3" s="1"/>
  <c r="AL78" i="3"/>
  <c r="AL474" i="3" s="1"/>
  <c r="AI78" i="3"/>
  <c r="AI474" i="3" s="1"/>
  <c r="AF78" i="3"/>
  <c r="AF474" i="3" s="1"/>
  <c r="AC78" i="3"/>
  <c r="AC474" i="3" s="1"/>
  <c r="Z78" i="3"/>
  <c r="W78" i="3"/>
  <c r="T78" i="3"/>
  <c r="Q78" i="3"/>
  <c r="N78" i="3"/>
  <c r="N474" i="3" s="1"/>
  <c r="K78" i="3"/>
  <c r="K474" i="3" s="1"/>
  <c r="H78" i="3"/>
  <c r="H474" i="3" s="1"/>
  <c r="E74" i="3"/>
  <c r="E73" i="3"/>
  <c r="E72" i="3"/>
  <c r="AO71" i="3"/>
  <c r="AO451" i="3" s="1"/>
  <c r="AL71" i="3"/>
  <c r="AI71" i="3"/>
  <c r="AF71" i="3"/>
  <c r="AC71" i="3"/>
  <c r="Z71" i="3"/>
  <c r="W71" i="3"/>
  <c r="T71" i="3"/>
  <c r="Q71" i="3"/>
  <c r="N71" i="3"/>
  <c r="K71" i="3"/>
  <c r="K451" i="3" s="1"/>
  <c r="H71" i="3"/>
  <c r="AO70" i="3"/>
  <c r="AO450" i="3" s="1"/>
  <c r="AL70" i="3"/>
  <c r="AI70" i="3"/>
  <c r="AF70" i="3"/>
  <c r="AC70" i="3"/>
  <c r="Z70" i="3"/>
  <c r="W70" i="3"/>
  <c r="T70" i="3"/>
  <c r="Q70" i="3"/>
  <c r="N70" i="3"/>
  <c r="K70" i="3"/>
  <c r="K450" i="3" s="1"/>
  <c r="H70" i="3"/>
  <c r="AO69" i="3"/>
  <c r="AO449" i="3" s="1"/>
  <c r="AL69" i="3"/>
  <c r="AI69" i="3"/>
  <c r="AF69" i="3"/>
  <c r="AC69" i="3"/>
  <c r="Z69" i="3"/>
  <c r="W69" i="3"/>
  <c r="T69" i="3"/>
  <c r="Q69" i="3"/>
  <c r="N69" i="3"/>
  <c r="N449" i="3" s="1"/>
  <c r="K69" i="3"/>
  <c r="K449" i="3" s="1"/>
  <c r="H69" i="3"/>
  <c r="H449" i="3" s="1"/>
  <c r="AO68" i="3"/>
  <c r="AO448" i="3" s="1"/>
  <c r="AL68" i="3"/>
  <c r="AI68" i="3"/>
  <c r="AF68" i="3"/>
  <c r="AC68" i="3"/>
  <c r="Z68" i="3"/>
  <c r="W68" i="3"/>
  <c r="T68" i="3"/>
  <c r="Q68" i="3"/>
  <c r="N68" i="3"/>
  <c r="N448" i="3" s="1"/>
  <c r="K68" i="3"/>
  <c r="K448" i="3" s="1"/>
  <c r="H68" i="3"/>
  <c r="H448" i="3" s="1"/>
  <c r="AO67" i="3"/>
  <c r="AO447" i="3" s="1"/>
  <c r="AL67" i="3"/>
  <c r="AI67" i="3"/>
  <c r="AF67" i="3"/>
  <c r="AC67" i="3"/>
  <c r="Z67" i="3"/>
  <c r="W67" i="3"/>
  <c r="T67" i="3"/>
  <c r="Q67" i="3"/>
  <c r="N67" i="3"/>
  <c r="N447" i="3" s="1"/>
  <c r="K67" i="3"/>
  <c r="K447" i="3" s="1"/>
  <c r="H67" i="3"/>
  <c r="H447" i="3" s="1"/>
  <c r="AO66" i="3"/>
  <c r="AL66" i="3"/>
  <c r="AI66" i="3"/>
  <c r="AF66" i="3"/>
  <c r="AC66" i="3"/>
  <c r="Z66" i="3"/>
  <c r="W66" i="3"/>
  <c r="T66" i="3"/>
  <c r="Q66" i="3"/>
  <c r="N66" i="3"/>
  <c r="N446" i="3" s="1"/>
  <c r="K66" i="3"/>
  <c r="K446" i="3" s="1"/>
  <c r="H66" i="3"/>
  <c r="H446" i="3" s="1"/>
  <c r="AO65" i="3"/>
  <c r="AO445" i="3" s="1"/>
  <c r="AL65" i="3"/>
  <c r="AI65" i="3"/>
  <c r="AF65" i="3"/>
  <c r="AC65" i="3"/>
  <c r="Z65" i="3"/>
  <c r="W65" i="3"/>
  <c r="T65" i="3"/>
  <c r="Q65" i="3"/>
  <c r="N65" i="3"/>
  <c r="N445" i="3" s="1"/>
  <c r="K65" i="3"/>
  <c r="K445" i="3" s="1"/>
  <c r="H65" i="3"/>
  <c r="AO64" i="3"/>
  <c r="AL64" i="3"/>
  <c r="AI64" i="3"/>
  <c r="AF64" i="3"/>
  <c r="AC64" i="3"/>
  <c r="Z64" i="3"/>
  <c r="W64" i="3"/>
  <c r="T64" i="3"/>
  <c r="Q64" i="3"/>
  <c r="N64" i="3"/>
  <c r="N444" i="3" s="1"/>
  <c r="K64" i="3"/>
  <c r="H64" i="3"/>
  <c r="H444" i="3" s="1"/>
  <c r="AO63" i="3"/>
  <c r="AL63" i="3"/>
  <c r="AI63" i="3"/>
  <c r="AF63" i="3"/>
  <c r="AC63" i="3"/>
  <c r="Z63" i="3"/>
  <c r="W63" i="3"/>
  <c r="T63" i="3"/>
  <c r="Q63" i="3"/>
  <c r="N63" i="3"/>
  <c r="N442" i="3" s="1"/>
  <c r="K63" i="3"/>
  <c r="H63" i="3"/>
  <c r="H442" i="3" s="1"/>
  <c r="AO62" i="3"/>
  <c r="AL62" i="3"/>
  <c r="AI62" i="3"/>
  <c r="AF62" i="3"/>
  <c r="AC62" i="3"/>
  <c r="Z62" i="3"/>
  <c r="W62" i="3"/>
  <c r="T62" i="3"/>
  <c r="Q62" i="3"/>
  <c r="N62" i="3"/>
  <c r="K62" i="3"/>
  <c r="K441" i="3" s="1"/>
  <c r="H62" i="3"/>
  <c r="H441" i="3" s="1"/>
  <c r="AO61" i="3"/>
  <c r="AL61" i="3"/>
  <c r="AI61" i="3"/>
  <c r="AF61" i="3"/>
  <c r="AC61" i="3"/>
  <c r="Z61" i="3"/>
  <c r="W61" i="3"/>
  <c r="T61" i="3"/>
  <c r="Q61" i="3"/>
  <c r="N61" i="3"/>
  <c r="N440" i="3" s="1"/>
  <c r="K61" i="3"/>
  <c r="K440" i="3" s="1"/>
  <c r="H61" i="3"/>
  <c r="H440" i="3" s="1"/>
  <c r="AO60" i="3"/>
  <c r="AL60" i="3"/>
  <c r="AI60" i="3"/>
  <c r="AF60" i="3"/>
  <c r="AC60" i="3"/>
  <c r="Z60" i="3"/>
  <c r="W60" i="3"/>
  <c r="T60" i="3"/>
  <c r="Q60" i="3"/>
  <c r="N60" i="3"/>
  <c r="N439" i="3" s="1"/>
  <c r="K60" i="3"/>
  <c r="K439" i="3" s="1"/>
  <c r="H60" i="3"/>
  <c r="H439" i="3" s="1"/>
  <c r="AO59" i="3"/>
  <c r="AL59" i="3"/>
  <c r="AI59" i="3"/>
  <c r="AF59" i="3"/>
  <c r="AC59" i="3"/>
  <c r="Z59" i="3"/>
  <c r="W59" i="3"/>
  <c r="T59" i="3"/>
  <c r="Q59" i="3"/>
  <c r="N59" i="3"/>
  <c r="N438" i="3" s="1"/>
  <c r="K59" i="3"/>
  <c r="K438" i="3" s="1"/>
  <c r="H59" i="3"/>
  <c r="H438" i="3" s="1"/>
  <c r="AO58" i="3"/>
  <c r="AL58" i="3"/>
  <c r="AI58" i="3"/>
  <c r="AI75" i="3" s="1"/>
  <c r="AF58" i="3"/>
  <c r="AC58" i="3"/>
  <c r="Z58" i="3"/>
  <c r="W58" i="3"/>
  <c r="T58" i="3"/>
  <c r="Q58" i="3"/>
  <c r="N58" i="3"/>
  <c r="K58" i="3"/>
  <c r="H58" i="3"/>
  <c r="H437" i="3" s="1"/>
  <c r="E56" i="3"/>
  <c r="AO55" i="3"/>
  <c r="AL55" i="3"/>
  <c r="AI55" i="3"/>
  <c r="AF55" i="3"/>
  <c r="AC55" i="3"/>
  <c r="Z55" i="3"/>
  <c r="W55" i="3"/>
  <c r="T55" i="3"/>
  <c r="Q55" i="3"/>
  <c r="N55" i="3"/>
  <c r="N434" i="3" s="1"/>
  <c r="K55" i="3"/>
  <c r="K434" i="3" s="1"/>
  <c r="H55" i="3"/>
  <c r="AO54" i="3"/>
  <c r="AL54" i="3"/>
  <c r="AI54" i="3"/>
  <c r="AF54" i="3"/>
  <c r="AC54" i="3"/>
  <c r="Z54" i="3"/>
  <c r="W54" i="3"/>
  <c r="T54" i="3"/>
  <c r="Q54" i="3"/>
  <c r="Q433" i="3" s="1"/>
  <c r="N54" i="3"/>
  <c r="K54" i="3"/>
  <c r="K433" i="3" s="1"/>
  <c r="H54" i="3"/>
  <c r="AO53" i="3"/>
  <c r="AL53" i="3"/>
  <c r="AI53" i="3"/>
  <c r="AF53" i="3"/>
  <c r="AC53" i="3"/>
  <c r="Z53" i="3"/>
  <c r="W53" i="3"/>
  <c r="T53" i="3"/>
  <c r="Q53" i="3"/>
  <c r="N53" i="3"/>
  <c r="N432" i="3" s="1"/>
  <c r="K53" i="3"/>
  <c r="K432" i="3" s="1"/>
  <c r="H53" i="3"/>
  <c r="AO52" i="3"/>
  <c r="AL52" i="3"/>
  <c r="AI52" i="3"/>
  <c r="AF52" i="3"/>
  <c r="AC52" i="3"/>
  <c r="Z52" i="3"/>
  <c r="W52" i="3"/>
  <c r="T52" i="3"/>
  <c r="Q52" i="3"/>
  <c r="N52" i="3"/>
  <c r="N431" i="3" s="1"/>
  <c r="K52" i="3"/>
  <c r="K431" i="3" s="1"/>
  <c r="H52" i="3"/>
  <c r="E51" i="3"/>
  <c r="E50" i="3"/>
  <c r="E49" i="3"/>
  <c r="E48" i="3"/>
  <c r="AO47" i="3"/>
  <c r="AL47" i="3"/>
  <c r="AI47" i="3"/>
  <c r="AF47" i="3"/>
  <c r="AF426" i="3" s="1"/>
  <c r="AC47" i="3"/>
  <c r="Z47" i="3"/>
  <c r="Z426" i="3" s="1"/>
  <c r="W47" i="3"/>
  <c r="W426" i="3" s="1"/>
  <c r="T47" i="3"/>
  <c r="Q47" i="3"/>
  <c r="N47" i="3"/>
  <c r="K47" i="3"/>
  <c r="H47" i="3"/>
  <c r="AO46" i="3"/>
  <c r="AL46" i="3"/>
  <c r="AI46" i="3"/>
  <c r="AF46" i="3"/>
  <c r="AF425" i="3" s="1"/>
  <c r="AC46" i="3"/>
  <c r="Z46" i="3"/>
  <c r="Z425" i="3" s="1"/>
  <c r="W46" i="3"/>
  <c r="W425" i="3" s="1"/>
  <c r="T46" i="3"/>
  <c r="Q46" i="3"/>
  <c r="N46" i="3"/>
  <c r="K46" i="3"/>
  <c r="H46" i="3"/>
  <c r="AO45" i="3"/>
  <c r="AL45" i="3"/>
  <c r="AI45" i="3"/>
  <c r="AF45" i="3"/>
  <c r="AF424" i="3" s="1"/>
  <c r="AC45" i="3"/>
  <c r="Z45" i="3"/>
  <c r="Z424" i="3" s="1"/>
  <c r="W45" i="3"/>
  <c r="W424" i="3" s="1"/>
  <c r="T45" i="3"/>
  <c r="Q45" i="3"/>
  <c r="N45" i="3"/>
  <c r="K45" i="3"/>
  <c r="H45" i="3"/>
  <c r="AN43" i="3"/>
  <c r="AK43" i="3"/>
  <c r="AH43" i="3"/>
  <c r="AE43" i="3"/>
  <c r="AB43" i="3"/>
  <c r="Y43" i="3"/>
  <c r="V43" i="3"/>
  <c r="S43" i="3"/>
  <c r="P43" i="3"/>
  <c r="M43" i="3"/>
  <c r="J43" i="3"/>
  <c r="G43" i="3"/>
  <c r="E43" i="3"/>
  <c r="D43" i="3" s="1"/>
  <c r="AN42" i="3"/>
  <c r="AK42" i="3"/>
  <c r="AH42" i="3"/>
  <c r="AE42" i="3"/>
  <c r="AB42" i="3"/>
  <c r="Y42" i="3"/>
  <c r="V42" i="3"/>
  <c r="S42" i="3"/>
  <c r="P42" i="3"/>
  <c r="M42" i="3"/>
  <c r="J42" i="3"/>
  <c r="G42" i="3"/>
  <c r="E42" i="3"/>
  <c r="D42" i="3" s="1"/>
  <c r="AN41" i="3"/>
  <c r="AK41" i="3"/>
  <c r="AH41" i="3"/>
  <c r="AE41" i="3"/>
  <c r="AB41" i="3"/>
  <c r="Y41" i="3"/>
  <c r="V41" i="3"/>
  <c r="S41" i="3"/>
  <c r="P41" i="3"/>
  <c r="M41" i="3"/>
  <c r="J41" i="3"/>
  <c r="G41" i="3"/>
  <c r="E41" i="3"/>
  <c r="D41" i="3" s="1"/>
  <c r="AO40" i="3"/>
  <c r="AO418" i="3" s="1"/>
  <c r="AL40" i="3"/>
  <c r="AL418" i="3" s="1"/>
  <c r="AI40" i="3"/>
  <c r="AI418" i="3" s="1"/>
  <c r="AF40" i="3"/>
  <c r="AF418" i="3" s="1"/>
  <c r="AC40" i="3"/>
  <c r="AC418" i="3" s="1"/>
  <c r="Z40" i="3"/>
  <c r="W40" i="3"/>
  <c r="T40" i="3"/>
  <c r="Q40" i="3"/>
  <c r="Q418" i="3" s="1"/>
  <c r="N40" i="3"/>
  <c r="K40" i="3"/>
  <c r="K418" i="3" s="1"/>
  <c r="H40" i="3"/>
  <c r="H418" i="3" s="1"/>
  <c r="AO39" i="3"/>
  <c r="AO417" i="3" s="1"/>
  <c r="AL39" i="3"/>
  <c r="AL417" i="3" s="1"/>
  <c r="AI39" i="3"/>
  <c r="AI417" i="3" s="1"/>
  <c r="AF39" i="3"/>
  <c r="AF417" i="3" s="1"/>
  <c r="AC39" i="3"/>
  <c r="AC417" i="3" s="1"/>
  <c r="Z39" i="3"/>
  <c r="W39" i="3"/>
  <c r="T39" i="3"/>
  <c r="Q39" i="3"/>
  <c r="Q417" i="3" s="1"/>
  <c r="N39" i="3"/>
  <c r="K39" i="3"/>
  <c r="K417" i="3" s="1"/>
  <c r="H39" i="3"/>
  <c r="AO38" i="3"/>
  <c r="AO416" i="3" s="1"/>
  <c r="AL38" i="3"/>
  <c r="AL416" i="3" s="1"/>
  <c r="AI38" i="3"/>
  <c r="AI416" i="3" s="1"/>
  <c r="AF38" i="3"/>
  <c r="AF416" i="3" s="1"/>
  <c r="AC38" i="3"/>
  <c r="AC416" i="3" s="1"/>
  <c r="Z38" i="3"/>
  <c r="W38" i="3"/>
  <c r="T38" i="3"/>
  <c r="Q38" i="3"/>
  <c r="Q416" i="3" s="1"/>
  <c r="N38" i="3"/>
  <c r="K38" i="3"/>
  <c r="K416" i="3" s="1"/>
  <c r="H38" i="3"/>
  <c r="H416" i="3" s="1"/>
  <c r="AO37" i="3"/>
  <c r="AO415" i="3" s="1"/>
  <c r="AL37" i="3"/>
  <c r="AL415" i="3" s="1"/>
  <c r="AI37" i="3"/>
  <c r="AI415" i="3" s="1"/>
  <c r="AF37" i="3"/>
  <c r="AF415" i="3" s="1"/>
  <c r="AC37" i="3"/>
  <c r="AC415" i="3" s="1"/>
  <c r="Z37" i="3"/>
  <c r="W37" i="3"/>
  <c r="T37" i="3"/>
  <c r="Q37" i="3"/>
  <c r="Q415" i="3" s="1"/>
  <c r="N37" i="3"/>
  <c r="K37" i="3"/>
  <c r="K415" i="3" s="1"/>
  <c r="H37" i="3"/>
  <c r="H415" i="3" s="1"/>
  <c r="AO36" i="3"/>
  <c r="AO414" i="3" s="1"/>
  <c r="AL36" i="3"/>
  <c r="AL414" i="3" s="1"/>
  <c r="AI36" i="3"/>
  <c r="AI414" i="3" s="1"/>
  <c r="AF36" i="3"/>
  <c r="AF414" i="3" s="1"/>
  <c r="AC36" i="3"/>
  <c r="AC414" i="3" s="1"/>
  <c r="Z36" i="3"/>
  <c r="W36" i="3"/>
  <c r="T36" i="3"/>
  <c r="Q36" i="3"/>
  <c r="Q414" i="3" s="1"/>
  <c r="N36" i="3"/>
  <c r="K36" i="3"/>
  <c r="K414" i="3" s="1"/>
  <c r="H36" i="3"/>
  <c r="H414" i="3" s="1"/>
  <c r="AO35" i="3"/>
  <c r="AO413" i="3" s="1"/>
  <c r="AL35" i="3"/>
  <c r="AI35" i="3"/>
  <c r="AI413" i="3" s="1"/>
  <c r="AF35" i="3"/>
  <c r="AF413" i="3" s="1"/>
  <c r="AC35" i="3"/>
  <c r="AC413" i="3" s="1"/>
  <c r="Z35" i="3"/>
  <c r="W35" i="3"/>
  <c r="T35" i="3"/>
  <c r="Q35" i="3"/>
  <c r="Q413" i="3" s="1"/>
  <c r="N35" i="3"/>
  <c r="K35" i="3"/>
  <c r="K413" i="3" s="1"/>
  <c r="H35" i="3"/>
  <c r="H413" i="3" s="1"/>
  <c r="AO34" i="3"/>
  <c r="AO412" i="3" s="1"/>
  <c r="AL34" i="3"/>
  <c r="AL412" i="3" s="1"/>
  <c r="AI34" i="3"/>
  <c r="AI412" i="3" s="1"/>
  <c r="AF34" i="3"/>
  <c r="AF412" i="3" s="1"/>
  <c r="AC34" i="3"/>
  <c r="AC412" i="3" s="1"/>
  <c r="Z34" i="3"/>
  <c r="W34" i="3"/>
  <c r="T34" i="3"/>
  <c r="Q34" i="3"/>
  <c r="Q412" i="3" s="1"/>
  <c r="N34" i="3"/>
  <c r="K34" i="3"/>
  <c r="K412" i="3" s="1"/>
  <c r="H34" i="3"/>
  <c r="H412" i="3" s="1"/>
  <c r="AO26" i="3"/>
  <c r="AL26" i="3"/>
  <c r="AI26" i="3"/>
  <c r="AF26" i="3"/>
  <c r="AC26" i="3"/>
  <c r="Z26" i="3"/>
  <c r="W26" i="3"/>
  <c r="T26" i="3"/>
  <c r="Q26" i="3"/>
  <c r="N26" i="3"/>
  <c r="K26" i="3"/>
  <c r="H26" i="3"/>
  <c r="AO25" i="3"/>
  <c r="AL25" i="3"/>
  <c r="AI25" i="3"/>
  <c r="AF25" i="3"/>
  <c r="AC25" i="3"/>
  <c r="Z25" i="3"/>
  <c r="W25" i="3"/>
  <c r="T25" i="3"/>
  <c r="Q25" i="3"/>
  <c r="N25" i="3"/>
  <c r="K25" i="3"/>
  <c r="H25" i="3"/>
  <c r="AO24" i="3"/>
  <c r="AL24" i="3"/>
  <c r="AL27" i="3" s="1"/>
  <c r="AI24" i="3"/>
  <c r="AF24" i="3"/>
  <c r="AF27" i="3" s="1"/>
  <c r="AC24" i="3"/>
  <c r="Z24" i="3"/>
  <c r="W24" i="3"/>
  <c r="W27" i="3" s="1"/>
  <c r="T24" i="3"/>
  <c r="T27" i="3" s="1"/>
  <c r="Q24" i="3"/>
  <c r="Q27" i="3" s="1"/>
  <c r="N24" i="3"/>
  <c r="N27" i="3" s="1"/>
  <c r="K24" i="3"/>
  <c r="K27" i="3" s="1"/>
  <c r="H24" i="3"/>
  <c r="AO22" i="3"/>
  <c r="AL22" i="3"/>
  <c r="AI22" i="3"/>
  <c r="AF22" i="3"/>
  <c r="AC22" i="3"/>
  <c r="Z22" i="3"/>
  <c r="W22" i="3"/>
  <c r="T22" i="3"/>
  <c r="Q22" i="3"/>
  <c r="N22" i="3"/>
  <c r="K22" i="3"/>
  <c r="H22" i="3"/>
  <c r="AO20" i="3"/>
  <c r="AM20" i="3"/>
  <c r="AL20" i="3"/>
  <c r="AJ20" i="3"/>
  <c r="AI20" i="3"/>
  <c r="AG20" i="3"/>
  <c r="AF20" i="3"/>
  <c r="AD20" i="3"/>
  <c r="AC20" i="3"/>
  <c r="AA20" i="3"/>
  <c r="Z20" i="3"/>
  <c r="X20" i="3"/>
  <c r="W20" i="3"/>
  <c r="U20" i="3"/>
  <c r="T20" i="3"/>
  <c r="R20" i="3"/>
  <c r="Q20" i="3"/>
  <c r="O20" i="3"/>
  <c r="N20" i="3"/>
  <c r="L20" i="3"/>
  <c r="K20" i="3"/>
  <c r="I20" i="3"/>
  <c r="H20" i="3"/>
  <c r="F20" i="3"/>
  <c r="AO18" i="3"/>
  <c r="AM18" i="3"/>
  <c r="AL18" i="3"/>
  <c r="AJ18" i="3"/>
  <c r="AI18" i="3"/>
  <c r="AG18" i="3"/>
  <c r="AF18" i="3"/>
  <c r="AD18" i="3"/>
  <c r="AC18" i="3"/>
  <c r="AA18" i="3"/>
  <c r="Z18" i="3"/>
  <c r="X18" i="3"/>
  <c r="W18" i="3"/>
  <c r="U18" i="3"/>
  <c r="T18" i="3"/>
  <c r="R18" i="3"/>
  <c r="Q18" i="3"/>
  <c r="O18" i="3"/>
  <c r="N18" i="3"/>
  <c r="L18" i="3"/>
  <c r="K18" i="3"/>
  <c r="I18" i="3"/>
  <c r="H18" i="3"/>
  <c r="F18" i="3"/>
  <c r="AN15" i="3"/>
  <c r="AK15" i="3"/>
  <c r="AH15" i="3"/>
  <c r="AE15" i="3"/>
  <c r="AB15" i="3"/>
  <c r="Y15" i="3"/>
  <c r="V15" i="3"/>
  <c r="S15" i="3"/>
  <c r="P15" i="3"/>
  <c r="M15" i="3"/>
  <c r="J15" i="3"/>
  <c r="G15" i="3"/>
  <c r="E15" i="3"/>
  <c r="C15" i="3"/>
  <c r="D15" i="3" s="1"/>
  <c r="AN14" i="3"/>
  <c r="AK14" i="3"/>
  <c r="AH14" i="3"/>
  <c r="AE14" i="3"/>
  <c r="AB14" i="3"/>
  <c r="Y14" i="3"/>
  <c r="V14" i="3"/>
  <c r="S14" i="3"/>
  <c r="P14" i="3"/>
  <c r="M14" i="3"/>
  <c r="J14" i="3"/>
  <c r="G14" i="3"/>
  <c r="E14" i="3"/>
  <c r="D14" i="3"/>
  <c r="C14" i="3"/>
  <c r="AN13" i="3"/>
  <c r="AK13" i="3"/>
  <c r="AH13" i="3"/>
  <c r="AE13" i="3"/>
  <c r="AB13" i="3"/>
  <c r="Y13" i="3"/>
  <c r="V13" i="3"/>
  <c r="S13" i="3"/>
  <c r="P13" i="3"/>
  <c r="M13" i="3"/>
  <c r="J13" i="3"/>
  <c r="G13" i="3"/>
  <c r="E13" i="3"/>
  <c r="C13" i="3"/>
  <c r="D13" i="3" s="1"/>
  <c r="AN12" i="3"/>
  <c r="AK12" i="3"/>
  <c r="AH12" i="3"/>
  <c r="AE12" i="3"/>
  <c r="AB12" i="3"/>
  <c r="Y12" i="3"/>
  <c r="V12" i="3"/>
  <c r="S12" i="3"/>
  <c r="P12" i="3"/>
  <c r="M12" i="3"/>
  <c r="J12" i="3"/>
  <c r="G12" i="3"/>
  <c r="E12" i="3"/>
  <c r="D12" i="3"/>
  <c r="C12" i="3"/>
  <c r="AN11" i="3"/>
  <c r="AK11" i="3"/>
  <c r="AH11" i="3"/>
  <c r="AE11" i="3"/>
  <c r="AB11" i="3"/>
  <c r="Y11" i="3"/>
  <c r="V11" i="3"/>
  <c r="S11" i="3"/>
  <c r="P11" i="3"/>
  <c r="M11" i="3"/>
  <c r="J11" i="3"/>
  <c r="G11" i="3"/>
  <c r="E11" i="3"/>
  <c r="C11" i="3"/>
  <c r="D11" i="3" s="1"/>
  <c r="AO10" i="3"/>
  <c r="AM10" i="3"/>
  <c r="AN10" i="3" s="1"/>
  <c r="AL10" i="3"/>
  <c r="AJ10" i="3"/>
  <c r="AI10" i="3"/>
  <c r="AG10" i="3"/>
  <c r="AF10" i="3"/>
  <c r="AD10" i="3"/>
  <c r="AC10" i="3"/>
  <c r="AA10" i="3"/>
  <c r="Z10" i="3"/>
  <c r="X10" i="3"/>
  <c r="W10" i="3"/>
  <c r="U10" i="3"/>
  <c r="V10" i="3" s="1"/>
  <c r="T10" i="3"/>
  <c r="R10" i="3"/>
  <c r="Q10" i="3"/>
  <c r="O10" i="3"/>
  <c r="N10" i="3"/>
  <c r="L10" i="3"/>
  <c r="K10" i="3"/>
  <c r="I10" i="3"/>
  <c r="J10" i="3" s="1"/>
  <c r="H10" i="3"/>
  <c r="F10" i="3"/>
  <c r="AO9" i="3"/>
  <c r="AO16" i="3" s="1"/>
  <c r="AM9" i="3"/>
  <c r="AL9" i="3"/>
  <c r="AJ9" i="3"/>
  <c r="AI9" i="3"/>
  <c r="AI16" i="3" s="1"/>
  <c r="AG9" i="3"/>
  <c r="AF9" i="3"/>
  <c r="AF16" i="3" s="1"/>
  <c r="AD9" i="3"/>
  <c r="AC9" i="3"/>
  <c r="AA9" i="3"/>
  <c r="AA16" i="3" s="1"/>
  <c r="Z9" i="3"/>
  <c r="X9" i="3"/>
  <c r="W9" i="3"/>
  <c r="U9" i="3"/>
  <c r="V9" i="3" s="1"/>
  <c r="T9" i="3"/>
  <c r="T16" i="3" s="1"/>
  <c r="T30" i="3" s="1"/>
  <c r="R9" i="3"/>
  <c r="Q9" i="3"/>
  <c r="Q16" i="3" s="1"/>
  <c r="O9" i="3"/>
  <c r="N9" i="3"/>
  <c r="L9" i="3"/>
  <c r="K9" i="3"/>
  <c r="K16" i="3" s="1"/>
  <c r="I9" i="3"/>
  <c r="J9" i="3" s="1"/>
  <c r="H9" i="3"/>
  <c r="F9" i="3"/>
  <c r="AO8" i="3"/>
  <c r="AL8" i="3"/>
  <c r="AI8" i="3"/>
  <c r="AF8" i="3"/>
  <c r="AC8" i="3"/>
  <c r="Z8" i="3"/>
  <c r="W8" i="3"/>
  <c r="T8" i="3"/>
  <c r="Q8" i="3"/>
  <c r="N8" i="3"/>
  <c r="K8" i="3"/>
  <c r="H8" i="3"/>
  <c r="H37" i="21"/>
  <c r="Q437" i="3" l="1"/>
  <c r="Q441" i="3"/>
  <c r="Q449" i="3"/>
  <c r="E458" i="3"/>
  <c r="W288" i="3"/>
  <c r="V288" i="3" s="1"/>
  <c r="T433" i="3"/>
  <c r="Q442" i="3"/>
  <c r="Q448" i="3"/>
  <c r="Z108" i="3"/>
  <c r="N413" i="3"/>
  <c r="N417" i="3"/>
  <c r="V97" i="3"/>
  <c r="AN97" i="3"/>
  <c r="V98" i="3"/>
  <c r="AN98" i="3"/>
  <c r="V99" i="3"/>
  <c r="AN99" i="3"/>
  <c r="M310" i="3"/>
  <c r="AE310" i="3"/>
  <c r="AE311" i="3"/>
  <c r="T431" i="3"/>
  <c r="T434" i="3"/>
  <c r="Q440" i="3"/>
  <c r="Q447" i="3"/>
  <c r="N415" i="3"/>
  <c r="N418" i="3"/>
  <c r="K232" i="3"/>
  <c r="K483" i="3"/>
  <c r="T432" i="3"/>
  <c r="Q439" i="3"/>
  <c r="Q445" i="3"/>
  <c r="Q446" i="3"/>
  <c r="N412" i="3"/>
  <c r="N414" i="3"/>
  <c r="N416" i="3"/>
  <c r="N422" i="3" s="1"/>
  <c r="T269" i="3"/>
  <c r="T290" i="3" s="1"/>
  <c r="S290" i="3" s="1"/>
  <c r="Q192" i="3"/>
  <c r="Q195" i="3"/>
  <c r="E264" i="3"/>
  <c r="G298" i="3"/>
  <c r="Y299" i="3"/>
  <c r="G300" i="3"/>
  <c r="Y300" i="3"/>
  <c r="G301" i="3"/>
  <c r="G302" i="3"/>
  <c r="Y303" i="3"/>
  <c r="Z333" i="3"/>
  <c r="AC333" i="3"/>
  <c r="AC354" i="3" s="1"/>
  <c r="AC426" i="3"/>
  <c r="N450" i="3"/>
  <c r="N451" i="3"/>
  <c r="AC424" i="3"/>
  <c r="Q438" i="3"/>
  <c r="Q444" i="3"/>
  <c r="Q450" i="3"/>
  <c r="I188" i="3"/>
  <c r="AG188" i="3"/>
  <c r="Y9" i="3"/>
  <c r="G10" i="3"/>
  <c r="G18" i="3"/>
  <c r="Y18" i="3"/>
  <c r="G20" i="3"/>
  <c r="Y20" i="3"/>
  <c r="AF483" i="3"/>
  <c r="AO469" i="3"/>
  <c r="AO333" i="3"/>
  <c r="AO424" i="3"/>
  <c r="Z438" i="3"/>
  <c r="Z444" i="3"/>
  <c r="Z447" i="3"/>
  <c r="Z451" i="3"/>
  <c r="H424" i="3"/>
  <c r="H426" i="3"/>
  <c r="AF433" i="3"/>
  <c r="AC440" i="3"/>
  <c r="AC446" i="3"/>
  <c r="AC449" i="3"/>
  <c r="M183" i="3"/>
  <c r="M18" i="3"/>
  <c r="AE18" i="3"/>
  <c r="AE20" i="3"/>
  <c r="T412" i="3"/>
  <c r="E412" i="3" s="1"/>
  <c r="T413" i="3"/>
  <c r="T414" i="3"/>
  <c r="T415" i="3"/>
  <c r="T416" i="3"/>
  <c r="T417" i="3"/>
  <c r="T418" i="3"/>
  <c r="K424" i="3"/>
  <c r="K425" i="3"/>
  <c r="K426" i="3"/>
  <c r="AI431" i="3"/>
  <c r="AI432" i="3"/>
  <c r="AI433" i="3"/>
  <c r="AI434" i="3"/>
  <c r="AF442" i="3"/>
  <c r="AF444" i="3"/>
  <c r="AF445" i="3"/>
  <c r="N195" i="3"/>
  <c r="Z195" i="3"/>
  <c r="AL195" i="3"/>
  <c r="AI424" i="3"/>
  <c r="AO425" i="3"/>
  <c r="Z441" i="3"/>
  <c r="Z445" i="3"/>
  <c r="Z446" i="3"/>
  <c r="Z450" i="3"/>
  <c r="AF431" i="3"/>
  <c r="AF434" i="3"/>
  <c r="AC444" i="3"/>
  <c r="AC445" i="3"/>
  <c r="AC448" i="3"/>
  <c r="Y183" i="3"/>
  <c r="W412" i="3"/>
  <c r="W413" i="3"/>
  <c r="W414" i="3"/>
  <c r="W415" i="3"/>
  <c r="W416" i="3"/>
  <c r="W417" i="3"/>
  <c r="N424" i="3"/>
  <c r="N425" i="3"/>
  <c r="N426" i="3"/>
  <c r="AL431" i="3"/>
  <c r="AL432" i="3"/>
  <c r="AL433" i="3"/>
  <c r="AI446" i="3"/>
  <c r="AI447" i="3"/>
  <c r="AI448" i="3"/>
  <c r="AI449" i="3"/>
  <c r="Q469" i="3"/>
  <c r="AO426" i="3"/>
  <c r="Z442" i="3"/>
  <c r="Z448" i="3"/>
  <c r="Z449" i="3"/>
  <c r="R115" i="3"/>
  <c r="H425" i="3"/>
  <c r="AF432" i="3"/>
  <c r="AC438" i="3"/>
  <c r="AC447" i="3"/>
  <c r="AC450" i="3"/>
  <c r="E259" i="3"/>
  <c r="P20" i="3"/>
  <c r="AH20" i="3"/>
  <c r="Z412" i="3"/>
  <c r="Z413" i="3"/>
  <c r="Z414" i="3"/>
  <c r="Z415" i="3"/>
  <c r="Z416" i="3"/>
  <c r="Z417" i="3"/>
  <c r="Z418" i="3"/>
  <c r="AO434" i="3"/>
  <c r="AL437" i="3"/>
  <c r="AL440" i="3"/>
  <c r="AL441" i="3"/>
  <c r="AL442" i="3"/>
  <c r="AL444" i="3"/>
  <c r="N483" i="3"/>
  <c r="AN177" i="3"/>
  <c r="Q182" i="3"/>
  <c r="S9" i="3"/>
  <c r="AK9" i="3"/>
  <c r="AK10" i="3"/>
  <c r="H450" i="3"/>
  <c r="H451" i="3"/>
  <c r="AC469" i="3"/>
  <c r="AF469" i="3"/>
  <c r="V310" i="3"/>
  <c r="AN310" i="3"/>
  <c r="V311" i="3"/>
  <c r="AI469" i="3"/>
  <c r="AE103" i="3"/>
  <c r="AI425" i="3"/>
  <c r="W431" i="3"/>
  <c r="W434" i="3"/>
  <c r="T437" i="3"/>
  <c r="T438" i="3"/>
  <c r="J180" i="3"/>
  <c r="V180" i="3"/>
  <c r="AH180" i="3"/>
  <c r="V183" i="3"/>
  <c r="AH183" i="3"/>
  <c r="V186" i="3"/>
  <c r="Z431" i="3"/>
  <c r="Z432" i="3"/>
  <c r="Z433" i="3"/>
  <c r="Z434" i="3"/>
  <c r="K176" i="3"/>
  <c r="W195" i="3"/>
  <c r="AE298" i="3"/>
  <c r="M299" i="3"/>
  <c r="H483" i="3"/>
  <c r="AO111" i="3"/>
  <c r="AN156" i="3" s="1"/>
  <c r="AC138" i="3"/>
  <c r="M177" i="3"/>
  <c r="Y177" i="3"/>
  <c r="AK177" i="3"/>
  <c r="K192" i="3"/>
  <c r="W192" i="3"/>
  <c r="AI192" i="3"/>
  <c r="AH9" i="3"/>
  <c r="P10" i="3"/>
  <c r="E463" i="3"/>
  <c r="E115" i="3"/>
  <c r="N179" i="3"/>
  <c r="Z179" i="3"/>
  <c r="AL179" i="3"/>
  <c r="Z185" i="3"/>
  <c r="AL185" i="3"/>
  <c r="W245" i="3"/>
  <c r="Q483" i="3"/>
  <c r="P177" i="3"/>
  <c r="E279" i="3"/>
  <c r="AK303" i="3"/>
  <c r="T483" i="3"/>
  <c r="K111" i="3"/>
  <c r="AC111" i="3"/>
  <c r="AB138" i="3" s="1"/>
  <c r="AO138" i="3"/>
  <c r="P183" i="3"/>
  <c r="AB183" i="3"/>
  <c r="AN183" i="3"/>
  <c r="AB186" i="3"/>
  <c r="W483" i="3"/>
  <c r="M97" i="3"/>
  <c r="M98" i="3"/>
  <c r="AE98" i="3"/>
  <c r="AL213" i="3"/>
  <c r="V20" i="3"/>
  <c r="AN20" i="3"/>
  <c r="E127" i="3"/>
  <c r="G188" i="3"/>
  <c r="C181" i="3"/>
  <c r="AO213" i="3"/>
  <c r="AO234" i="3" s="1"/>
  <c r="K245" i="3"/>
  <c r="AF269" i="3"/>
  <c r="C191" i="3"/>
  <c r="C194" i="3"/>
  <c r="AK311" i="3"/>
  <c r="E98" i="3"/>
  <c r="H185" i="3"/>
  <c r="T185" i="3"/>
  <c r="D191" i="3"/>
  <c r="K213" i="3"/>
  <c r="K234" i="3" s="1"/>
  <c r="AK97" i="3"/>
  <c r="S98" i="3"/>
  <c r="AK98" i="3"/>
  <c r="AK99" i="3"/>
  <c r="T138" i="3"/>
  <c r="J188" i="3"/>
  <c r="J189" i="3" s="1"/>
  <c r="AH177" i="3"/>
  <c r="H195" i="3"/>
  <c r="T195" i="3"/>
  <c r="AF195" i="3"/>
  <c r="AN311" i="3"/>
  <c r="D184" i="3"/>
  <c r="D186" i="3" s="1"/>
  <c r="E300" i="3"/>
  <c r="AE10" i="3"/>
  <c r="AB20" i="3"/>
  <c r="Z138" i="3"/>
  <c r="K179" i="3"/>
  <c r="W179" i="3"/>
  <c r="AI179" i="3"/>
  <c r="K185" i="3"/>
  <c r="W185" i="3"/>
  <c r="AI185" i="3"/>
  <c r="G310" i="3"/>
  <c r="E61" i="3"/>
  <c r="N185" i="3"/>
  <c r="E9" i="3"/>
  <c r="W176" i="3"/>
  <c r="AF179" i="3"/>
  <c r="S183" i="3"/>
  <c r="AE183" i="3"/>
  <c r="C18" i="3"/>
  <c r="AH310" i="3"/>
  <c r="P311" i="3"/>
  <c r="AH311" i="3"/>
  <c r="X16" i="3"/>
  <c r="X27" i="3" s="1"/>
  <c r="I16" i="3"/>
  <c r="J24" i="3" s="1"/>
  <c r="AJ100" i="3"/>
  <c r="AK116" i="3" s="1"/>
  <c r="AN103" i="3"/>
  <c r="J253" i="3"/>
  <c r="K254" i="3" s="1"/>
  <c r="E310" i="3"/>
  <c r="E342" i="3"/>
  <c r="H16" i="3"/>
  <c r="F34" i="3" s="1"/>
  <c r="C9" i="3"/>
  <c r="E26" i="3"/>
  <c r="M9" i="3"/>
  <c r="AD16" i="3"/>
  <c r="AE26" i="3" s="1"/>
  <c r="AB10" i="3"/>
  <c r="R16" i="3"/>
  <c r="S26" i="3" s="1"/>
  <c r="S18" i="3"/>
  <c r="C184" i="3"/>
  <c r="AE9" i="3"/>
  <c r="AK18" i="3"/>
  <c r="S20" i="3"/>
  <c r="AD35" i="3"/>
  <c r="F116" i="3"/>
  <c r="AF185" i="3"/>
  <c r="AK183" i="3"/>
  <c r="Z213" i="3"/>
  <c r="Z234" i="3" s="1"/>
  <c r="E218" i="3"/>
  <c r="N182" i="3"/>
  <c r="AC245" i="3"/>
  <c r="AE299" i="3"/>
  <c r="AL333" i="3"/>
  <c r="AI27" i="3"/>
  <c r="AH10" i="3"/>
  <c r="E18" i="3"/>
  <c r="AB180" i="3"/>
  <c r="F16" i="3"/>
  <c r="G24" i="3" s="1"/>
  <c r="U115" i="3"/>
  <c r="AF192" i="3"/>
  <c r="AF484" i="3"/>
  <c r="AO27" i="3"/>
  <c r="AM35" i="3" s="1"/>
  <c r="G9" i="3"/>
  <c r="W16" i="3"/>
  <c r="W30" i="3" s="1"/>
  <c r="AL16" i="3"/>
  <c r="AJ34" i="3" s="1"/>
  <c r="J20" i="3"/>
  <c r="AC182" i="3"/>
  <c r="AO182" i="3"/>
  <c r="Y186" i="3"/>
  <c r="E267" i="3"/>
  <c r="N469" i="3"/>
  <c r="AC254" i="3"/>
  <c r="Q269" i="3"/>
  <c r="P269" i="3" s="1"/>
  <c r="AO352" i="3"/>
  <c r="AL434" i="3"/>
  <c r="AO483" i="3"/>
  <c r="S99" i="3"/>
  <c r="Y103" i="3"/>
  <c r="E121" i="3"/>
  <c r="E165" i="3"/>
  <c r="W166" i="3"/>
  <c r="Z176" i="3"/>
  <c r="G180" i="3"/>
  <c r="T179" i="3"/>
  <c r="AE180" i="3"/>
  <c r="P186" i="3"/>
  <c r="AN186" i="3"/>
  <c r="E201" i="3"/>
  <c r="E266" i="3"/>
  <c r="AF307" i="3"/>
  <c r="AF312" i="3" s="1"/>
  <c r="AF317" i="3" s="1"/>
  <c r="M300" i="3"/>
  <c r="AE300" i="3"/>
  <c r="M301" i="3"/>
  <c r="AE301" i="3"/>
  <c r="M302" i="3"/>
  <c r="AE302" i="3"/>
  <c r="M303" i="3"/>
  <c r="AE303" i="3"/>
  <c r="AD307" i="3"/>
  <c r="AD312" i="3" s="1"/>
  <c r="W333" i="3"/>
  <c r="E330" i="3"/>
  <c r="E339" i="3"/>
  <c r="E341" i="3"/>
  <c r="E462" i="3"/>
  <c r="AM16" i="3"/>
  <c r="AN25" i="3" s="1"/>
  <c r="S10" i="3"/>
  <c r="C20" i="3"/>
  <c r="Q424" i="3"/>
  <c r="Q425" i="3"/>
  <c r="Q426" i="3"/>
  <c r="AO431" i="3"/>
  <c r="AO432" i="3"/>
  <c r="AO433" i="3"/>
  <c r="AI438" i="3"/>
  <c r="AI439" i="3"/>
  <c r="AF446" i="3"/>
  <c r="AF447" i="3"/>
  <c r="AF448" i="3"/>
  <c r="AF449" i="3"/>
  <c r="AF450" i="3"/>
  <c r="AC86" i="3"/>
  <c r="X116" i="3"/>
  <c r="Z125" i="3"/>
  <c r="AC156" i="3"/>
  <c r="AC166" i="3"/>
  <c r="D194" i="3"/>
  <c r="E203" i="3"/>
  <c r="AC232" i="3"/>
  <c r="Z245" i="3"/>
  <c r="V253" i="3"/>
  <c r="W254" i="3" s="1"/>
  <c r="AG307" i="3"/>
  <c r="E344" i="3"/>
  <c r="E20" i="3"/>
  <c r="E25" i="3"/>
  <c r="T424" i="3"/>
  <c r="T425" i="3"/>
  <c r="T426" i="3"/>
  <c r="H431" i="3"/>
  <c r="H432" i="3"/>
  <c r="H433" i="3"/>
  <c r="H434" i="3"/>
  <c r="AI440" i="3"/>
  <c r="AI441" i="3"/>
  <c r="AI442" i="3"/>
  <c r="AI444" i="3"/>
  <c r="AI445" i="3"/>
  <c r="AI86" i="3"/>
  <c r="J103" i="3"/>
  <c r="AB103" i="3"/>
  <c r="AJ111" i="3"/>
  <c r="E134" i="3"/>
  <c r="E140" i="3"/>
  <c r="E152" i="3"/>
  <c r="AF166" i="3"/>
  <c r="AB177" i="3"/>
  <c r="AL182" i="3"/>
  <c r="N192" i="3"/>
  <c r="Z192" i="3"/>
  <c r="AL192" i="3"/>
  <c r="E215" i="3"/>
  <c r="E228" i="3"/>
  <c r="H245" i="3"/>
  <c r="Z269" i="3"/>
  <c r="Z290" i="3" s="1"/>
  <c r="Y290" i="3" s="1"/>
  <c r="N269" i="3"/>
  <c r="M269" i="3" s="1"/>
  <c r="E278" i="3"/>
  <c r="AI307" i="3"/>
  <c r="AI312" i="3" s="1"/>
  <c r="AI317" i="3" s="1"/>
  <c r="AH352" i="3" s="1"/>
  <c r="Q307" i="3"/>
  <c r="Q312" i="3" s="1"/>
  <c r="Q317" i="3" s="1"/>
  <c r="C310" i="3"/>
  <c r="D310" i="3" s="1"/>
  <c r="Q333" i="3"/>
  <c r="E464" i="3"/>
  <c r="K57" i="3"/>
  <c r="AO438" i="3"/>
  <c r="AO439" i="3"/>
  <c r="AL445" i="3"/>
  <c r="AL446" i="3"/>
  <c r="AL447" i="3"/>
  <c r="AL448" i="3"/>
  <c r="AL450" i="3"/>
  <c r="E151" i="3"/>
  <c r="S180" i="3"/>
  <c r="E187" i="3"/>
  <c r="AF245" i="3"/>
  <c r="AC269" i="3"/>
  <c r="E275" i="3"/>
  <c r="E281" i="3"/>
  <c r="S298" i="3"/>
  <c r="AK299" i="3"/>
  <c r="Y310" i="3"/>
  <c r="G311" i="3"/>
  <c r="Y311" i="3"/>
  <c r="AF333" i="3"/>
  <c r="AF354" i="3" s="1"/>
  <c r="T333" i="3"/>
  <c r="S333" i="3" s="1"/>
  <c r="Q352" i="3"/>
  <c r="E346" i="3"/>
  <c r="T469" i="3"/>
  <c r="U16" i="3"/>
  <c r="U27" i="3" s="1"/>
  <c r="AO440" i="3"/>
  <c r="AO441" i="3"/>
  <c r="AO442" i="3"/>
  <c r="AO444" i="3"/>
  <c r="E96" i="3"/>
  <c r="M103" i="3"/>
  <c r="C175" i="3"/>
  <c r="R188" i="3"/>
  <c r="AD188" i="3"/>
  <c r="N288" i="3"/>
  <c r="M288" i="3" s="1"/>
  <c r="T307" i="3"/>
  <c r="T312" i="3" s="1"/>
  <c r="T317" i="3" s="1"/>
  <c r="AI333" i="3"/>
  <c r="AI354" i="3" s="1"/>
  <c r="W469" i="3"/>
  <c r="O16" i="3"/>
  <c r="O27" i="3" s="1"/>
  <c r="P34" i="3" s="1"/>
  <c r="AJ35" i="3"/>
  <c r="E65" i="3"/>
  <c r="Z111" i="3"/>
  <c r="E106" i="3"/>
  <c r="AM115" i="3"/>
  <c r="D175" i="3"/>
  <c r="S177" i="3"/>
  <c r="AE177" i="3"/>
  <c r="AL176" i="3"/>
  <c r="C178" i="3"/>
  <c r="Y180" i="3"/>
  <c r="AC192" i="3"/>
  <c r="AO192" i="3"/>
  <c r="AI269" i="3"/>
  <c r="AH269" i="3" s="1"/>
  <c r="V298" i="3"/>
  <c r="V299" i="3"/>
  <c r="AN299" i="3"/>
  <c r="E461" i="3"/>
  <c r="E499" i="3"/>
  <c r="AC16" i="3"/>
  <c r="E35" i="3"/>
  <c r="E64" i="3"/>
  <c r="J97" i="3"/>
  <c r="AB97" i="3"/>
  <c r="J98" i="3"/>
  <c r="AB98" i="3"/>
  <c r="J99" i="3"/>
  <c r="I100" i="3"/>
  <c r="J118" i="3" s="1"/>
  <c r="P103" i="3"/>
  <c r="W108" i="3"/>
  <c r="W111" i="3" s="1"/>
  <c r="E145" i="3"/>
  <c r="E150" i="3"/>
  <c r="Z166" i="3"/>
  <c r="H188" i="3"/>
  <c r="H197" i="3" s="1"/>
  <c r="H236" i="3" s="1"/>
  <c r="G177" i="3"/>
  <c r="Y188" i="3"/>
  <c r="AK188" i="3"/>
  <c r="AK197" i="3" s="1"/>
  <c r="J186" i="3"/>
  <c r="AH186" i="3"/>
  <c r="E227" i="3"/>
  <c r="T288" i="3"/>
  <c r="S288" i="3" s="1"/>
  <c r="V300" i="3"/>
  <c r="V301" i="3"/>
  <c r="AN301" i="3"/>
  <c r="V302" i="3"/>
  <c r="AN302" i="3"/>
  <c r="V303" i="3"/>
  <c r="AN303" i="3"/>
  <c r="Z352" i="3"/>
  <c r="E460" i="3"/>
  <c r="Q125" i="3"/>
  <c r="E118" i="3"/>
  <c r="H125" i="3"/>
  <c r="E120" i="3"/>
  <c r="AI138" i="3"/>
  <c r="W138" i="3"/>
  <c r="K156" i="3"/>
  <c r="E149" i="3"/>
  <c r="E225" i="3"/>
  <c r="H333" i="3"/>
  <c r="AL469" i="3"/>
  <c r="Q30" i="3"/>
  <c r="R35" i="3"/>
  <c r="L16" i="3"/>
  <c r="L30" i="3" s="1"/>
  <c r="AL424" i="3"/>
  <c r="AL426" i="3"/>
  <c r="C99" i="3"/>
  <c r="S103" i="3"/>
  <c r="K125" i="3"/>
  <c r="N156" i="3"/>
  <c r="J177" i="3"/>
  <c r="V177" i="3"/>
  <c r="E181" i="3"/>
  <c r="H192" i="3"/>
  <c r="T192" i="3"/>
  <c r="AC195" i="3"/>
  <c r="AO195" i="3"/>
  <c r="AC213" i="3"/>
  <c r="AC234" i="3" s="1"/>
  <c r="E282" i="3"/>
  <c r="E298" i="3"/>
  <c r="Z307" i="3"/>
  <c r="Z312" i="3" s="1"/>
  <c r="Z317" i="3" s="1"/>
  <c r="E299" i="3"/>
  <c r="Y301" i="3"/>
  <c r="Y302" i="3"/>
  <c r="E494" i="3"/>
  <c r="E8" i="3"/>
  <c r="Z16" i="3"/>
  <c r="X34" i="3" s="1"/>
  <c r="E22" i="3"/>
  <c r="Z27" i="3"/>
  <c r="X35" i="3" s="1"/>
  <c r="E10" i="3"/>
  <c r="AG16" i="3"/>
  <c r="AH415" i="3" s="1"/>
  <c r="AK20" i="3"/>
  <c r="AC27" i="3"/>
  <c r="AA35" i="3" s="1"/>
  <c r="AC431" i="3"/>
  <c r="AC432" i="3"/>
  <c r="AC433" i="3"/>
  <c r="AC434" i="3"/>
  <c r="W438" i="3"/>
  <c r="W439" i="3"/>
  <c r="T440" i="3"/>
  <c r="T441" i="3"/>
  <c r="T442" i="3"/>
  <c r="T444" i="3"/>
  <c r="T445" i="3"/>
  <c r="T446" i="3"/>
  <c r="T447" i="3"/>
  <c r="T448" i="3"/>
  <c r="T449" i="3"/>
  <c r="T450" i="3"/>
  <c r="AF100" i="3"/>
  <c r="AF111" i="3" s="1"/>
  <c r="AE99" i="3"/>
  <c r="AK103" i="3"/>
  <c r="T125" i="3"/>
  <c r="K188" i="3"/>
  <c r="K189" i="3" s="1"/>
  <c r="AI188" i="3"/>
  <c r="M186" i="3"/>
  <c r="AK186" i="3"/>
  <c r="E204" i="3"/>
  <c r="W213" i="3"/>
  <c r="AC288" i="3"/>
  <c r="AB288" i="3" s="1"/>
  <c r="J299" i="3"/>
  <c r="AB299" i="3"/>
  <c r="E301" i="3"/>
  <c r="E302" i="3"/>
  <c r="E303" i="3"/>
  <c r="E345" i="3"/>
  <c r="H469" i="3"/>
  <c r="E472" i="3"/>
  <c r="W440" i="3"/>
  <c r="W442" i="3"/>
  <c r="W446" i="3"/>
  <c r="W447" i="3"/>
  <c r="W448" i="3"/>
  <c r="W449" i="3"/>
  <c r="W450" i="3"/>
  <c r="P97" i="3"/>
  <c r="AH97" i="3"/>
  <c r="O100" i="3"/>
  <c r="P117" i="3" s="1"/>
  <c r="AH98" i="3"/>
  <c r="P99" i="3"/>
  <c r="V103" i="3"/>
  <c r="AI108" i="3"/>
  <c r="AI111" i="3" s="1"/>
  <c r="E126" i="3"/>
  <c r="E128" i="3"/>
  <c r="AF138" i="3"/>
  <c r="K182" i="3"/>
  <c r="AF288" i="3"/>
  <c r="AE288" i="3" s="1"/>
  <c r="K307" i="3"/>
  <c r="K312" i="3" s="1"/>
  <c r="K317" i="3" s="1"/>
  <c r="J352" i="3" s="1"/>
  <c r="AC307" i="3"/>
  <c r="AC312" i="3" s="1"/>
  <c r="AC317" i="3" s="1"/>
  <c r="J300" i="3"/>
  <c r="AB300" i="3"/>
  <c r="J301" i="3"/>
  <c r="AB301" i="3"/>
  <c r="AB302" i="3"/>
  <c r="J303" i="3"/>
  <c r="AB303" i="3"/>
  <c r="K469" i="3"/>
  <c r="AG35" i="3"/>
  <c r="AI30" i="3"/>
  <c r="E400" i="3"/>
  <c r="D400" i="3" s="1"/>
  <c r="D380" i="3"/>
  <c r="AB125" i="3"/>
  <c r="AA30" i="3"/>
  <c r="AB26" i="3"/>
  <c r="AB25" i="3"/>
  <c r="AB24" i="3"/>
  <c r="I35" i="3"/>
  <c r="K30" i="3"/>
  <c r="J57" i="3" s="1"/>
  <c r="AE269" i="3"/>
  <c r="O30" i="3"/>
  <c r="P26" i="3"/>
  <c r="P24" i="3"/>
  <c r="G234" i="3"/>
  <c r="AM30" i="3"/>
  <c r="AN16" i="3"/>
  <c r="AM27" i="3"/>
  <c r="AN35" i="3" s="1"/>
  <c r="U35" i="3"/>
  <c r="AF30" i="3"/>
  <c r="AA27" i="3"/>
  <c r="AB39" i="3" s="1"/>
  <c r="N44" i="3"/>
  <c r="AF44" i="3"/>
  <c r="AJ16" i="3"/>
  <c r="AK417" i="3" s="1"/>
  <c r="H27" i="3"/>
  <c r="F35" i="3" s="1"/>
  <c r="K437" i="3"/>
  <c r="K75" i="3"/>
  <c r="E60" i="3"/>
  <c r="N86" i="3"/>
  <c r="AA100" i="3"/>
  <c r="AB412" i="3" s="1"/>
  <c r="Q158" i="3"/>
  <c r="N138" i="3"/>
  <c r="H479" i="3"/>
  <c r="E479" i="3" s="1"/>
  <c r="E161" i="3"/>
  <c r="W232" i="3"/>
  <c r="E219" i="3"/>
  <c r="T232" i="3"/>
  <c r="AI245" i="3"/>
  <c r="K288" i="3"/>
  <c r="J288" i="3" s="1"/>
  <c r="E272" i="3"/>
  <c r="E277" i="3"/>
  <c r="X307" i="3"/>
  <c r="Y298" i="3"/>
  <c r="C299" i="3"/>
  <c r="D299" i="3" s="1"/>
  <c r="G299" i="3"/>
  <c r="C300" i="3"/>
  <c r="D300" i="3" s="1"/>
  <c r="AN300" i="3"/>
  <c r="U307" i="3"/>
  <c r="P310" i="3"/>
  <c r="W352" i="3"/>
  <c r="AC57" i="3"/>
  <c r="N437" i="3"/>
  <c r="N75" i="3"/>
  <c r="F100" i="3"/>
  <c r="C97" i="3"/>
  <c r="AH121" i="3"/>
  <c r="AH116" i="3"/>
  <c r="AH106" i="3"/>
  <c r="AH120" i="3"/>
  <c r="AH105" i="3"/>
  <c r="AH124" i="3"/>
  <c r="AH115" i="3"/>
  <c r="AH119" i="3"/>
  <c r="AH123" i="3"/>
  <c r="AH118" i="3"/>
  <c r="N477" i="3"/>
  <c r="N166" i="3"/>
  <c r="T176" i="3"/>
  <c r="T188" i="3"/>
  <c r="AF176" i="3"/>
  <c r="AF188" i="3"/>
  <c r="D9" i="3"/>
  <c r="P9" i="3"/>
  <c r="AB9" i="3"/>
  <c r="AN9" i="3"/>
  <c r="M10" i="3"/>
  <c r="Y10" i="3"/>
  <c r="G16" i="3"/>
  <c r="D18" i="3"/>
  <c r="P18" i="3"/>
  <c r="AB18" i="3"/>
  <c r="AN18" i="3"/>
  <c r="M20" i="3"/>
  <c r="I34" i="3"/>
  <c r="AG34" i="3"/>
  <c r="E62" i="3"/>
  <c r="AL75" i="3"/>
  <c r="AF86" i="3"/>
  <c r="G97" i="3"/>
  <c r="P98" i="3"/>
  <c r="E99" i="3"/>
  <c r="AH100" i="3"/>
  <c r="AL108" i="3"/>
  <c r="AJ116" i="3" s="1"/>
  <c r="E107" i="3"/>
  <c r="AH107" i="3"/>
  <c r="AH122" i="3"/>
  <c r="AL156" i="3"/>
  <c r="Q477" i="3"/>
  <c r="Q166" i="3"/>
  <c r="AI213" i="3"/>
  <c r="AF213" i="3"/>
  <c r="E208" i="3"/>
  <c r="N254" i="3"/>
  <c r="AF254" i="3"/>
  <c r="E265" i="3"/>
  <c r="E280" i="3"/>
  <c r="E284" i="3"/>
  <c r="C298" i="3"/>
  <c r="J298" i="3"/>
  <c r="AA307" i="3"/>
  <c r="C301" i="3"/>
  <c r="Q44" i="3"/>
  <c r="AI44" i="3"/>
  <c r="E63" i="3"/>
  <c r="H100" i="3"/>
  <c r="E97" i="3"/>
  <c r="E139" i="3"/>
  <c r="AF156" i="3"/>
  <c r="W269" i="3"/>
  <c r="E258" i="3"/>
  <c r="C303" i="3"/>
  <c r="G303" i="3"/>
  <c r="AL484" i="3"/>
  <c r="E36" i="3"/>
  <c r="N57" i="3"/>
  <c r="C10" i="3"/>
  <c r="AH24" i="3"/>
  <c r="K422" i="3"/>
  <c r="AI422" i="3"/>
  <c r="AH412" i="3"/>
  <c r="E53" i="3"/>
  <c r="W437" i="3"/>
  <c r="W75" i="3"/>
  <c r="H75" i="3"/>
  <c r="AL86" i="3"/>
  <c r="C98" i="3"/>
  <c r="D98" i="3" s="1"/>
  <c r="M99" i="3"/>
  <c r="AK120" i="3"/>
  <c r="AK115" i="3"/>
  <c r="AK105" i="3"/>
  <c r="AK124" i="3"/>
  <c r="AK119" i="3"/>
  <c r="AK123" i="3"/>
  <c r="AK118" i="3"/>
  <c r="AK122" i="3"/>
  <c r="AK117" i="3"/>
  <c r="AK100" i="3"/>
  <c r="Q108" i="3"/>
  <c r="O116" i="3" s="1"/>
  <c r="AK107" i="3"/>
  <c r="W125" i="3"/>
  <c r="AO125" i="3"/>
  <c r="E136" i="3"/>
  <c r="AI197" i="3"/>
  <c r="M180" i="3"/>
  <c r="Y197" i="3"/>
  <c r="E184" i="3"/>
  <c r="Q185" i="3"/>
  <c r="AC185" i="3"/>
  <c r="AO185" i="3"/>
  <c r="Q245" i="3"/>
  <c r="Q253" i="3"/>
  <c r="L307" i="3"/>
  <c r="M298" i="3"/>
  <c r="AH417" i="3"/>
  <c r="T44" i="3"/>
  <c r="AL44" i="3"/>
  <c r="AC425" i="3"/>
  <c r="E54" i="3"/>
  <c r="Q57" i="3"/>
  <c r="P57" i="3" s="1"/>
  <c r="AI57" i="3"/>
  <c r="Z437" i="3"/>
  <c r="T439" i="3"/>
  <c r="N441" i="3"/>
  <c r="K442" i="3"/>
  <c r="W451" i="3"/>
  <c r="AM100" i="3"/>
  <c r="AN413" i="3" s="1"/>
  <c r="T108" i="3"/>
  <c r="X115" i="3"/>
  <c r="E135" i="3"/>
  <c r="E142" i="3"/>
  <c r="E146" i="3"/>
  <c r="E147" i="3"/>
  <c r="E148" i="3"/>
  <c r="L188" i="3"/>
  <c r="X188" i="3"/>
  <c r="Y189" i="3" s="1"/>
  <c r="AJ188" i="3"/>
  <c r="E202" i="3"/>
  <c r="AL232" i="3"/>
  <c r="AB269" i="3"/>
  <c r="E283" i="3"/>
  <c r="N307" i="3"/>
  <c r="N312" i="3" s="1"/>
  <c r="N317" i="3" s="1"/>
  <c r="M352" i="3" s="1"/>
  <c r="C302" i="3"/>
  <c r="D302" i="3" s="1"/>
  <c r="J302" i="3"/>
  <c r="E321" i="3"/>
  <c r="AO354" i="3"/>
  <c r="AL352" i="3"/>
  <c r="Y380" i="3"/>
  <c r="Z400" i="3"/>
  <c r="Y400" i="3" s="1"/>
  <c r="AF57" i="3"/>
  <c r="AC437" i="3"/>
  <c r="AC75" i="3"/>
  <c r="K444" i="3"/>
  <c r="H445" i="3"/>
  <c r="E66" i="3"/>
  <c r="AO446" i="3"/>
  <c r="Q75" i="3"/>
  <c r="L100" i="3"/>
  <c r="C103" i="3"/>
  <c r="AG108" i="3"/>
  <c r="AA115" i="3"/>
  <c r="AK121" i="3"/>
  <c r="E141" i="3"/>
  <c r="D181" i="3"/>
  <c r="D183" i="3" s="1"/>
  <c r="G183" i="3"/>
  <c r="S188" i="3"/>
  <c r="E214" i="3"/>
  <c r="AF232" i="3"/>
  <c r="T245" i="3"/>
  <c r="T253" i="3"/>
  <c r="AL245" i="3"/>
  <c r="AL253" i="3"/>
  <c r="AO254" i="3"/>
  <c r="O312" i="3"/>
  <c r="C311" i="3"/>
  <c r="E323" i="3"/>
  <c r="E52" i="3"/>
  <c r="AH413" i="3"/>
  <c r="AB414" i="3"/>
  <c r="E38" i="3"/>
  <c r="AH418" i="3"/>
  <c r="W44" i="3"/>
  <c r="AO44" i="3"/>
  <c r="Q431" i="3"/>
  <c r="T57" i="3"/>
  <c r="S57" i="3" s="1"/>
  <c r="AL57" i="3"/>
  <c r="AF437" i="3"/>
  <c r="AF75" i="3"/>
  <c r="Z439" i="3"/>
  <c r="E67" i="3"/>
  <c r="H473" i="3"/>
  <c r="E473" i="3" s="1"/>
  <c r="E81" i="3"/>
  <c r="N100" i="3"/>
  <c r="N111" i="3" s="1"/>
  <c r="M156" i="3" s="1"/>
  <c r="AD100" i="3"/>
  <c r="G103" i="3"/>
  <c r="I115" i="3"/>
  <c r="E119" i="3"/>
  <c r="N188" i="3"/>
  <c r="AL188" i="3"/>
  <c r="T182" i="3"/>
  <c r="AF182" i="3"/>
  <c r="N213" i="3"/>
  <c r="S269" i="3"/>
  <c r="H288" i="3"/>
  <c r="G288" i="3" s="1"/>
  <c r="E305" i="3"/>
  <c r="F307" i="3"/>
  <c r="K333" i="3"/>
  <c r="E322" i="3"/>
  <c r="E335" i="3"/>
  <c r="E338" i="3"/>
  <c r="AE380" i="3"/>
  <c r="AF400" i="3"/>
  <c r="AE400" i="3" s="1"/>
  <c r="E415" i="3"/>
  <c r="J18" i="3"/>
  <c r="V18" i="3"/>
  <c r="AH18" i="3"/>
  <c r="S25" i="3"/>
  <c r="AH26" i="3"/>
  <c r="O34" i="3"/>
  <c r="AA34" i="3"/>
  <c r="AM34" i="3"/>
  <c r="L35" i="3"/>
  <c r="E45" i="3"/>
  <c r="AL425" i="3"/>
  <c r="AI426" i="3"/>
  <c r="Q432" i="3"/>
  <c r="N433" i="3"/>
  <c r="AI437" i="3"/>
  <c r="AF438" i="3"/>
  <c r="AC439" i="3"/>
  <c r="Z440" i="3"/>
  <c r="W441" i="3"/>
  <c r="E68" i="3"/>
  <c r="AL449" i="3"/>
  <c r="AI450" i="3"/>
  <c r="T75" i="3"/>
  <c r="S75" i="3" s="1"/>
  <c r="Q474" i="3"/>
  <c r="Q484" i="3" s="1"/>
  <c r="Q86" i="3"/>
  <c r="AI483" i="3"/>
  <c r="AE97" i="3"/>
  <c r="U100" i="3"/>
  <c r="V415" i="3" s="1"/>
  <c r="E103" i="3"/>
  <c r="I116" i="3"/>
  <c r="AH117" i="3"/>
  <c r="AL138" i="3"/>
  <c r="E133" i="3"/>
  <c r="H138" i="3"/>
  <c r="O188" i="3"/>
  <c r="AA188" i="3"/>
  <c r="AM188" i="3"/>
  <c r="V188" i="3"/>
  <c r="K195" i="3"/>
  <c r="AI195" i="3"/>
  <c r="Q213" i="3"/>
  <c r="E217" i="3"/>
  <c r="E221" i="3"/>
  <c r="E223" i="3"/>
  <c r="E224" i="3"/>
  <c r="D244" i="3"/>
  <c r="D253" i="3" s="1"/>
  <c r="AO245" i="3"/>
  <c r="AI254" i="3"/>
  <c r="AL269" i="3"/>
  <c r="AI288" i="3"/>
  <c r="AH288" i="3" s="1"/>
  <c r="AJ307" i="3"/>
  <c r="AK298" i="3"/>
  <c r="S299" i="3"/>
  <c r="P300" i="3"/>
  <c r="H307" i="3"/>
  <c r="H312" i="3" s="1"/>
  <c r="H317" i="3" s="1"/>
  <c r="AB310" i="3"/>
  <c r="N333" i="3"/>
  <c r="E334" i="3"/>
  <c r="E343" i="3"/>
  <c r="E402" i="3"/>
  <c r="E37" i="3"/>
  <c r="E55" i="3"/>
  <c r="N16" i="3"/>
  <c r="E24" i="3"/>
  <c r="E39" i="3"/>
  <c r="H44" i="3"/>
  <c r="Z44" i="3"/>
  <c r="E46" i="3"/>
  <c r="W57" i="3"/>
  <c r="AO57" i="3"/>
  <c r="AF439" i="3"/>
  <c r="E69" i="3"/>
  <c r="T474" i="3"/>
  <c r="T86" i="3"/>
  <c r="Q100" i="3"/>
  <c r="AK106" i="3"/>
  <c r="AJ108" i="3"/>
  <c r="E144" i="3"/>
  <c r="T156" i="3"/>
  <c r="P188" i="3"/>
  <c r="AN188" i="3"/>
  <c r="AE188" i="3"/>
  <c r="E191" i="3"/>
  <c r="T213" i="3"/>
  <c r="E216" i="3"/>
  <c r="E222" i="3"/>
  <c r="E226" i="3"/>
  <c r="AO269" i="3"/>
  <c r="AL288" i="3"/>
  <c r="AK288" i="3" s="1"/>
  <c r="AL307" i="3"/>
  <c r="AL312" i="3" s="1"/>
  <c r="AL317" i="3" s="1"/>
  <c r="AH302" i="3"/>
  <c r="I307" i="3"/>
  <c r="E337" i="3"/>
  <c r="V25" i="3"/>
  <c r="E34" i="3"/>
  <c r="Q422" i="3"/>
  <c r="AC422" i="3"/>
  <c r="AO422" i="3"/>
  <c r="AL413" i="3"/>
  <c r="E47" i="3"/>
  <c r="W432" i="3"/>
  <c r="Q434" i="3"/>
  <c r="E58" i="3"/>
  <c r="AO437" i="3"/>
  <c r="AO75" i="3"/>
  <c r="AL438" i="3"/>
  <c r="AF440" i="3"/>
  <c r="AC441" i="3"/>
  <c r="W444" i="3"/>
  <c r="E70" i="3"/>
  <c r="Z75" i="3"/>
  <c r="W474" i="3"/>
  <c r="W484" i="3" s="1"/>
  <c r="W86" i="3"/>
  <c r="E85" i="3"/>
  <c r="R100" i="3"/>
  <c r="E105" i="3"/>
  <c r="AF125" i="3"/>
  <c r="E117" i="3"/>
  <c r="Y156" i="3"/>
  <c r="E143" i="3"/>
  <c r="E175" i="3"/>
  <c r="Q188" i="3"/>
  <c r="Q176" i="3"/>
  <c r="AC188" i="3"/>
  <c r="AC176" i="3"/>
  <c r="AO188" i="3"/>
  <c r="AO176" i="3"/>
  <c r="W182" i="3"/>
  <c r="AI182" i="3"/>
  <c r="E209" i="3"/>
  <c r="E211" i="3"/>
  <c r="Z254" i="3"/>
  <c r="H269" i="3"/>
  <c r="E260" i="3"/>
  <c r="AM307" i="3"/>
  <c r="E306" i="3"/>
  <c r="R307" i="3"/>
  <c r="E311" i="3"/>
  <c r="E328" i="3"/>
  <c r="E329" i="3"/>
  <c r="E348" i="3"/>
  <c r="H400" i="3"/>
  <c r="G400" i="3" s="1"/>
  <c r="G380" i="3"/>
  <c r="AF422" i="3"/>
  <c r="R34" i="3"/>
  <c r="AD34" i="3"/>
  <c r="O35" i="3"/>
  <c r="AH414" i="3"/>
  <c r="AB416" i="3"/>
  <c r="H417" i="3"/>
  <c r="H422" i="3" s="1"/>
  <c r="E40" i="3"/>
  <c r="W418" i="3"/>
  <c r="K44" i="3"/>
  <c r="AC44" i="3"/>
  <c r="W433" i="3"/>
  <c r="H57" i="3"/>
  <c r="Z57" i="3"/>
  <c r="E59" i="3"/>
  <c r="AL439" i="3"/>
  <c r="AF441" i="3"/>
  <c r="AC442" i="3"/>
  <c r="W445" i="3"/>
  <c r="E71" i="3"/>
  <c r="Z474" i="3"/>
  <c r="Z86" i="3"/>
  <c r="K86" i="3"/>
  <c r="S97" i="3"/>
  <c r="X100" i="3"/>
  <c r="AG115" i="3"/>
  <c r="K138" i="3"/>
  <c r="H477" i="3"/>
  <c r="H166" i="3"/>
  <c r="E159" i="3"/>
  <c r="E160" i="3"/>
  <c r="AO478" i="3"/>
  <c r="AO166" i="3"/>
  <c r="H176" i="3"/>
  <c r="E178" i="3"/>
  <c r="J183" i="3"/>
  <c r="AH188" i="3"/>
  <c r="E210" i="3"/>
  <c r="K269" i="3"/>
  <c r="E271" i="3"/>
  <c r="E273" i="3"/>
  <c r="E274" i="3"/>
  <c r="AO288" i="3"/>
  <c r="AN288" i="3" s="1"/>
  <c r="W307" i="3"/>
  <c r="W312" i="3" s="1"/>
  <c r="W317" i="3" s="1"/>
  <c r="AO307" i="3"/>
  <c r="AO312" i="3" s="1"/>
  <c r="AO317" i="3" s="1"/>
  <c r="AN352" i="3" s="1"/>
  <c r="AK301" i="3"/>
  <c r="S303" i="3"/>
  <c r="M311" i="3"/>
  <c r="E331" i="3"/>
  <c r="S352" i="3"/>
  <c r="E347" i="3"/>
  <c r="AL451" i="3"/>
  <c r="T166" i="3"/>
  <c r="AI176" i="3"/>
  <c r="F188" i="3"/>
  <c r="G189" i="3" s="1"/>
  <c r="AC484" i="3"/>
  <c r="E478" i="3"/>
  <c r="H352" i="3"/>
  <c r="AF402" i="3"/>
  <c r="AB380" i="3"/>
  <c r="AC400" i="3"/>
  <c r="AB400" i="3" s="1"/>
  <c r="Q451" i="3"/>
  <c r="T484" i="3"/>
  <c r="AO86" i="3"/>
  <c r="AI166" i="3"/>
  <c r="N176" i="3"/>
  <c r="D178" i="3"/>
  <c r="D180" i="3" s="1"/>
  <c r="W188" i="3"/>
  <c r="E244" i="3"/>
  <c r="W402" i="3"/>
  <c r="T451" i="3"/>
  <c r="H86" i="3"/>
  <c r="E116" i="3"/>
  <c r="N125" i="3"/>
  <c r="AL166" i="3"/>
  <c r="H253" i="3"/>
  <c r="E257" i="3"/>
  <c r="M380" i="3"/>
  <c r="N400" i="3"/>
  <c r="M400" i="3" s="1"/>
  <c r="K484" i="3"/>
  <c r="AK180" i="3"/>
  <c r="Z182" i="3"/>
  <c r="M188" i="3"/>
  <c r="D363" i="3"/>
  <c r="P380" i="3"/>
  <c r="AF454" i="3"/>
  <c r="AI453" i="3"/>
  <c r="AL452" i="3"/>
  <c r="AC443" i="3"/>
  <c r="T435" i="3"/>
  <c r="K430" i="3"/>
  <c r="N429" i="3"/>
  <c r="Q428" i="3"/>
  <c r="T427" i="3"/>
  <c r="H421" i="3"/>
  <c r="K420" i="3"/>
  <c r="N419" i="3"/>
  <c r="AC454" i="3"/>
  <c r="AF453" i="3"/>
  <c r="AI452" i="3"/>
  <c r="Z443" i="3"/>
  <c r="Q435" i="3"/>
  <c r="H430" i="3"/>
  <c r="K429" i="3"/>
  <c r="N428" i="3"/>
  <c r="Q427" i="3"/>
  <c r="AO421" i="3"/>
  <c r="H420" i="3"/>
  <c r="K419" i="3"/>
  <c r="Z454" i="3"/>
  <c r="AC453" i="3"/>
  <c r="AF452" i="3"/>
  <c r="W443" i="3"/>
  <c r="N435" i="3"/>
  <c r="AO430" i="3"/>
  <c r="H429" i="3"/>
  <c r="K428" i="3"/>
  <c r="N427" i="3"/>
  <c r="AL421" i="3"/>
  <c r="AO420" i="3"/>
  <c r="H419" i="3"/>
  <c r="W454" i="3"/>
  <c r="Z453" i="3"/>
  <c r="AC452" i="3"/>
  <c r="T443" i="3"/>
  <c r="K435" i="3"/>
  <c r="AL430" i="3"/>
  <c r="AO429" i="3"/>
  <c r="H428" i="3"/>
  <c r="K427" i="3"/>
  <c r="AI421" i="3"/>
  <c r="AL420" i="3"/>
  <c r="AO419" i="3"/>
  <c r="T454" i="3"/>
  <c r="W453" i="3"/>
  <c r="Z452" i="3"/>
  <c r="Q443" i="3"/>
  <c r="H435" i="3"/>
  <c r="AI430" i="3"/>
  <c r="AL429" i="3"/>
  <c r="AO428" i="3"/>
  <c r="H427" i="3"/>
  <c r="AF421" i="3"/>
  <c r="AI420" i="3"/>
  <c r="AL419" i="3"/>
  <c r="Q454" i="3"/>
  <c r="T453" i="3"/>
  <c r="W452" i="3"/>
  <c r="N443" i="3"/>
  <c r="AO435" i="3"/>
  <c r="AF430" i="3"/>
  <c r="AI429" i="3"/>
  <c r="AL428" i="3"/>
  <c r="AO427" i="3"/>
  <c r="AC421" i="3"/>
  <c r="AF420" i="3"/>
  <c r="AI419" i="3"/>
  <c r="N454" i="3"/>
  <c r="Q453" i="3"/>
  <c r="T452" i="3"/>
  <c r="K443" i="3"/>
  <c r="AL435" i="3"/>
  <c r="AC430" i="3"/>
  <c r="AF429" i="3"/>
  <c r="AI428" i="3"/>
  <c r="AL427" i="3"/>
  <c r="Z421" i="3"/>
  <c r="AC420" i="3"/>
  <c r="AF419" i="3"/>
  <c r="K454" i="3"/>
  <c r="N453" i="3"/>
  <c r="Q452" i="3"/>
  <c r="H443" i="3"/>
  <c r="AI435" i="3"/>
  <c r="Z430" i="3"/>
  <c r="AC429" i="3"/>
  <c r="AF428" i="3"/>
  <c r="AI427" i="3"/>
  <c r="W421" i="3"/>
  <c r="Z420" i="3"/>
  <c r="AC419" i="3"/>
  <c r="H454" i="3"/>
  <c r="K453" i="3"/>
  <c r="N452" i="3"/>
  <c r="AO443" i="3"/>
  <c r="AF435" i="3"/>
  <c r="W430" i="3"/>
  <c r="Z429" i="3"/>
  <c r="AC428" i="3"/>
  <c r="AF427" i="3"/>
  <c r="T421" i="3"/>
  <c r="W420" i="3"/>
  <c r="Z419" i="3"/>
  <c r="AO454" i="3"/>
  <c r="H453" i="3"/>
  <c r="K452" i="3"/>
  <c r="AL443" i="3"/>
  <c r="AC435" i="3"/>
  <c r="T430" i="3"/>
  <c r="W429" i="3"/>
  <c r="Z428" i="3"/>
  <c r="AC427" i="3"/>
  <c r="Q421" i="3"/>
  <c r="T420" i="3"/>
  <c r="W419" i="3"/>
  <c r="AL454" i="3"/>
  <c r="AO453" i="3"/>
  <c r="H452" i="3"/>
  <c r="AI443" i="3"/>
  <c r="Z435" i="3"/>
  <c r="Q430" i="3"/>
  <c r="T429" i="3"/>
  <c r="W428" i="3"/>
  <c r="Z427" i="3"/>
  <c r="N421" i="3"/>
  <c r="Q420" i="3"/>
  <c r="T419" i="3"/>
  <c r="AI454" i="3"/>
  <c r="AL453" i="3"/>
  <c r="AO452" i="3"/>
  <c r="AF443" i="3"/>
  <c r="W435" i="3"/>
  <c r="N430" i="3"/>
  <c r="Q429" i="3"/>
  <c r="T428" i="3"/>
  <c r="W427" i="3"/>
  <c r="K421" i="3"/>
  <c r="N420" i="3"/>
  <c r="Q419" i="3"/>
  <c r="AI125" i="3"/>
  <c r="H179" i="3"/>
  <c r="Z188" i="3"/>
  <c r="E194" i="3"/>
  <c r="E195" i="3" s="1"/>
  <c r="E270" i="3"/>
  <c r="P298" i="3"/>
  <c r="AB298" i="3"/>
  <c r="AN298" i="3"/>
  <c r="E336" i="3"/>
  <c r="N402" i="3"/>
  <c r="AO400" i="3"/>
  <c r="AN400" i="3" s="1"/>
  <c r="AN380" i="3"/>
  <c r="AC451" i="3"/>
  <c r="E78" i="3"/>
  <c r="E86" i="3" s="1"/>
  <c r="K166" i="3"/>
  <c r="N245" i="3"/>
  <c r="S380" i="3"/>
  <c r="AF451" i="3"/>
  <c r="AI484" i="3"/>
  <c r="AJ115" i="3"/>
  <c r="AB188" i="3"/>
  <c r="AI451" i="3"/>
  <c r="Z483" i="3"/>
  <c r="Q402" i="3"/>
  <c r="AC402" i="3"/>
  <c r="AO402" i="3"/>
  <c r="V380" i="3"/>
  <c r="E423" i="3"/>
  <c r="E456" i="3"/>
  <c r="E457" i="3"/>
  <c r="Z469" i="3"/>
  <c r="A496" i="9"/>
  <c r="AD27" i="3" l="1"/>
  <c r="AE39" i="3" s="1"/>
  <c r="AB413" i="3"/>
  <c r="G414" i="3"/>
  <c r="H158" i="3"/>
  <c r="Z354" i="3"/>
  <c r="Y354" i="3" s="1"/>
  <c r="E447" i="3"/>
  <c r="AB333" i="3"/>
  <c r="AB415" i="3"/>
  <c r="AD30" i="3"/>
  <c r="J197" i="3"/>
  <c r="T354" i="3"/>
  <c r="S354" i="3" s="1"/>
  <c r="AB417" i="3"/>
  <c r="AB156" i="3"/>
  <c r="AE415" i="3"/>
  <c r="G25" i="3"/>
  <c r="Y333" i="3"/>
  <c r="Y125" i="3"/>
  <c r="E245" i="3"/>
  <c r="V418" i="3"/>
  <c r="P25" i="3"/>
  <c r="H189" i="3"/>
  <c r="E414" i="3"/>
  <c r="T422" i="3"/>
  <c r="E474" i="3"/>
  <c r="P75" i="3"/>
  <c r="Y269" i="3"/>
  <c r="P16" i="3"/>
  <c r="AN138" i="3"/>
  <c r="AC158" i="3"/>
  <c r="AB158" i="3" s="1"/>
  <c r="N484" i="3"/>
  <c r="Z422" i="3"/>
  <c r="E448" i="3"/>
  <c r="AE30" i="3"/>
  <c r="J123" i="3"/>
  <c r="U34" i="3"/>
  <c r="AH333" i="3"/>
  <c r="E16" i="3"/>
  <c r="W354" i="3"/>
  <c r="W356" i="3" s="1"/>
  <c r="R27" i="3"/>
  <c r="S36" i="3" s="1"/>
  <c r="R30" i="3"/>
  <c r="S30" i="3" s="1"/>
  <c r="Q290" i="3"/>
  <c r="P290" i="3" s="1"/>
  <c r="D177" i="3"/>
  <c r="Q354" i="3"/>
  <c r="Q356" i="3" s="1"/>
  <c r="AE417" i="3"/>
  <c r="J25" i="3"/>
  <c r="P416" i="3"/>
  <c r="AO30" i="3"/>
  <c r="AN57" i="3" s="1"/>
  <c r="J16" i="3"/>
  <c r="P307" i="3"/>
  <c r="E185" i="3"/>
  <c r="I30" i="3"/>
  <c r="J30" i="3" s="1"/>
  <c r="J138" i="3"/>
  <c r="S413" i="3"/>
  <c r="Q111" i="3"/>
  <c r="E449" i="3"/>
  <c r="AB37" i="3"/>
  <c r="AH108" i="3"/>
  <c r="D301" i="3"/>
  <c r="M24" i="3"/>
  <c r="I27" i="3"/>
  <c r="E416" i="3"/>
  <c r="J119" i="3"/>
  <c r="G197" i="3"/>
  <c r="H198" i="3" s="1"/>
  <c r="S16" i="3"/>
  <c r="AB35" i="3"/>
  <c r="S24" i="3"/>
  <c r="AN415" i="3"/>
  <c r="C188" i="3"/>
  <c r="J26" i="3"/>
  <c r="J125" i="3"/>
  <c r="J156" i="3"/>
  <c r="AH354" i="3"/>
  <c r="AB38" i="3"/>
  <c r="E192" i="3"/>
  <c r="P30" i="3"/>
  <c r="N290" i="3"/>
  <c r="M290" i="3" s="1"/>
  <c r="AN418" i="3"/>
  <c r="AE307" i="3"/>
  <c r="Z158" i="3"/>
  <c r="Y158" i="3" s="1"/>
  <c r="AO484" i="3"/>
  <c r="E426" i="3"/>
  <c r="D10" i="3"/>
  <c r="Z30" i="3"/>
  <c r="Y57" i="3" s="1"/>
  <c r="Y75" i="3"/>
  <c r="AN40" i="3"/>
  <c r="G416" i="3"/>
  <c r="AN417" i="3"/>
  <c r="F30" i="3"/>
  <c r="G232" i="3"/>
  <c r="AK189" i="3"/>
  <c r="AN36" i="3"/>
  <c r="AE16" i="3"/>
  <c r="G412" i="3"/>
  <c r="P415" i="3"/>
  <c r="O108" i="3"/>
  <c r="P108" i="3" s="1"/>
  <c r="AN39" i="3"/>
  <c r="E483" i="3"/>
  <c r="E477" i="3"/>
  <c r="E27" i="3"/>
  <c r="C35" i="3" s="1"/>
  <c r="V24" i="3"/>
  <c r="AE75" i="3"/>
  <c r="AN37" i="3"/>
  <c r="AN26" i="3"/>
  <c r="P107" i="3"/>
  <c r="AN414" i="3"/>
  <c r="G413" i="3"/>
  <c r="G26" i="3"/>
  <c r="G418" i="3"/>
  <c r="AN24" i="3"/>
  <c r="AL30" i="3"/>
  <c r="AK57" i="3" s="1"/>
  <c r="P123" i="3"/>
  <c r="K197" i="3"/>
  <c r="K236" i="3" s="1"/>
  <c r="U116" i="3"/>
  <c r="D99" i="3"/>
  <c r="P413" i="3"/>
  <c r="P116" i="3"/>
  <c r="Y138" i="3"/>
  <c r="AE24" i="3"/>
  <c r="P119" i="3"/>
  <c r="AE138" i="3"/>
  <c r="G352" i="3"/>
  <c r="P412" i="3"/>
  <c r="V414" i="3"/>
  <c r="P418" i="3"/>
  <c r="G213" i="3"/>
  <c r="V26" i="3"/>
  <c r="P122" i="3"/>
  <c r="P106" i="3"/>
  <c r="AD115" i="3"/>
  <c r="G415" i="3"/>
  <c r="AE413" i="3"/>
  <c r="F27" i="3"/>
  <c r="G40" i="3" s="1"/>
  <c r="AE25" i="3"/>
  <c r="AE156" i="3"/>
  <c r="AB354" i="3"/>
  <c r="Y36" i="3"/>
  <c r="Y38" i="3"/>
  <c r="Y39" i="3"/>
  <c r="E438" i="3"/>
  <c r="AC30" i="3"/>
  <c r="AB57" i="3" s="1"/>
  <c r="V57" i="3"/>
  <c r="AF290" i="3"/>
  <c r="AE333" i="3"/>
  <c r="E469" i="3"/>
  <c r="V416" i="3"/>
  <c r="E431" i="3"/>
  <c r="E424" i="3"/>
  <c r="E288" i="3"/>
  <c r="D288" i="3" s="1"/>
  <c r="T455" i="3"/>
  <c r="J234" i="3"/>
  <c r="E425" i="3"/>
  <c r="Y25" i="3"/>
  <c r="Z292" i="3"/>
  <c r="W234" i="3"/>
  <c r="Y26" i="3"/>
  <c r="H30" i="3"/>
  <c r="G44" i="3" s="1"/>
  <c r="X30" i="3"/>
  <c r="E450" i="3"/>
  <c r="Y16" i="3"/>
  <c r="Y24" i="3"/>
  <c r="Y417" i="3"/>
  <c r="E108" i="3"/>
  <c r="C116" i="3" s="1"/>
  <c r="W436" i="3"/>
  <c r="Z436" i="3"/>
  <c r="AC436" i="3"/>
  <c r="AF436" i="3"/>
  <c r="AO436" i="3"/>
  <c r="H436" i="3"/>
  <c r="K436" i="3"/>
  <c r="N436" i="3"/>
  <c r="T436" i="3"/>
  <c r="E440" i="3"/>
  <c r="E446" i="3"/>
  <c r="AG116" i="3"/>
  <c r="V36" i="3"/>
  <c r="V34" i="3"/>
  <c r="V27" i="3"/>
  <c r="V40" i="3"/>
  <c r="V38" i="3"/>
  <c r="V35" i="3"/>
  <c r="V37" i="3"/>
  <c r="V39" i="3"/>
  <c r="AH111" i="3"/>
  <c r="AH138" i="3"/>
  <c r="AH156" i="3"/>
  <c r="AL436" i="3"/>
  <c r="V417" i="3"/>
  <c r="J413" i="3"/>
  <c r="J117" i="3"/>
  <c r="Z356" i="3"/>
  <c r="M25" i="3"/>
  <c r="P118" i="3"/>
  <c r="Q436" i="3"/>
  <c r="O115" i="3"/>
  <c r="I108" i="3"/>
  <c r="J108" i="3" s="1"/>
  <c r="J414" i="3"/>
  <c r="M412" i="3"/>
  <c r="P37" i="3"/>
  <c r="M26" i="3"/>
  <c r="Y352" i="3"/>
  <c r="E433" i="3"/>
  <c r="E213" i="3"/>
  <c r="AL455" i="3"/>
  <c r="L115" i="3"/>
  <c r="J106" i="3"/>
  <c r="V413" i="3"/>
  <c r="AC168" i="3"/>
  <c r="P417" i="3"/>
  <c r="J100" i="3"/>
  <c r="L27" i="3"/>
  <c r="M38" i="3" s="1"/>
  <c r="P105" i="3"/>
  <c r="P39" i="3"/>
  <c r="J116" i="3"/>
  <c r="Z484" i="3"/>
  <c r="Q455" i="3"/>
  <c r="J415" i="3"/>
  <c r="P36" i="3"/>
  <c r="AK412" i="3"/>
  <c r="E307" i="3"/>
  <c r="E312" i="3" s="1"/>
  <c r="E317" i="3" s="1"/>
  <c r="E442" i="3"/>
  <c r="AK416" i="3"/>
  <c r="J124" i="3"/>
  <c r="P35" i="3"/>
  <c r="P120" i="3"/>
  <c r="AH307" i="3"/>
  <c r="AG312" i="3"/>
  <c r="AK413" i="3"/>
  <c r="E441" i="3"/>
  <c r="J105" i="3"/>
  <c r="I111" i="3"/>
  <c r="J111" i="3" s="1"/>
  <c r="O111" i="3"/>
  <c r="P111" i="3" s="1"/>
  <c r="AG30" i="3"/>
  <c r="AH30" i="3" s="1"/>
  <c r="AH25" i="3"/>
  <c r="AH16" i="3"/>
  <c r="D20" i="3"/>
  <c r="S415" i="3"/>
  <c r="E439" i="3"/>
  <c r="AE352" i="3"/>
  <c r="J120" i="3"/>
  <c r="P40" i="3"/>
  <c r="AG27" i="3"/>
  <c r="AB352" i="3"/>
  <c r="E451" i="3"/>
  <c r="E434" i="3"/>
  <c r="AK414" i="3"/>
  <c r="AK418" i="3"/>
  <c r="AK415" i="3"/>
  <c r="E445" i="3"/>
  <c r="J121" i="3"/>
  <c r="AE354" i="3"/>
  <c r="P38" i="3"/>
  <c r="P27" i="3"/>
  <c r="E444" i="3"/>
  <c r="V75" i="3"/>
  <c r="D303" i="3"/>
  <c r="J115" i="3"/>
  <c r="J416" i="3"/>
  <c r="P124" i="3"/>
  <c r="P121" i="3"/>
  <c r="AH416" i="3"/>
  <c r="AE412" i="3"/>
  <c r="E138" i="3"/>
  <c r="E432" i="3"/>
  <c r="W455" i="3"/>
  <c r="J412" i="3"/>
  <c r="J122" i="3"/>
  <c r="P414" i="3"/>
  <c r="P115" i="3"/>
  <c r="J418" i="3"/>
  <c r="U30" i="3"/>
  <c r="V30" i="3" s="1"/>
  <c r="V16" i="3"/>
  <c r="Y415" i="3"/>
  <c r="AC290" i="3"/>
  <c r="AC292" i="3" s="1"/>
  <c r="J107" i="3"/>
  <c r="AB16" i="3"/>
  <c r="J417" i="3"/>
  <c r="E428" i="3"/>
  <c r="M189" i="3"/>
  <c r="M197" i="3"/>
  <c r="H254" i="3"/>
  <c r="AF158" i="3"/>
  <c r="AE125" i="3"/>
  <c r="AE27" i="3"/>
  <c r="AE35" i="3"/>
  <c r="AE36" i="3"/>
  <c r="AL422" i="3"/>
  <c r="AL189" i="3"/>
  <c r="AL197" i="3"/>
  <c r="AK232" i="3" s="1"/>
  <c r="D103" i="3"/>
  <c r="S414" i="3"/>
  <c r="F115" i="3"/>
  <c r="H111" i="3"/>
  <c r="G158" i="3" s="1"/>
  <c r="AF234" i="3"/>
  <c r="T189" i="3"/>
  <c r="T197" i="3"/>
  <c r="S232" i="3" s="1"/>
  <c r="AE416" i="3"/>
  <c r="AB117" i="3"/>
  <c r="AA111" i="3"/>
  <c r="AB111" i="3" s="1"/>
  <c r="AB107" i="3"/>
  <c r="AB100" i="3"/>
  <c r="AB121" i="3"/>
  <c r="AB124" i="3"/>
  <c r="AB120" i="3"/>
  <c r="AB116" i="3"/>
  <c r="AB105" i="3"/>
  <c r="AB118" i="3"/>
  <c r="AB123" i="3"/>
  <c r="AB115" i="3"/>
  <c r="AA108" i="3"/>
  <c r="AB108" i="3" s="1"/>
  <c r="AB106" i="3"/>
  <c r="AB119" i="3"/>
  <c r="AB122" i="3"/>
  <c r="AF77" i="3"/>
  <c r="AE77" i="3" s="1"/>
  <c r="AE44" i="3"/>
  <c r="Y37" i="3"/>
  <c r="Y35" i="3"/>
  <c r="Y34" i="3"/>
  <c r="Y27" i="3"/>
  <c r="AI290" i="3"/>
  <c r="E429" i="3"/>
  <c r="V269" i="3"/>
  <c r="W290" i="3"/>
  <c r="E430" i="3"/>
  <c r="N158" i="3"/>
  <c r="M158" i="3" s="1"/>
  <c r="M125" i="3"/>
  <c r="M417" i="3"/>
  <c r="AK108" i="3"/>
  <c r="L34" i="3"/>
  <c r="N30" i="3"/>
  <c r="M75" i="3" s="1"/>
  <c r="F312" i="3"/>
  <c r="G307" i="3"/>
  <c r="AF455" i="3"/>
  <c r="T111" i="3"/>
  <c r="S156" i="3" s="1"/>
  <c r="R116" i="3"/>
  <c r="E418" i="3"/>
  <c r="E435" i="3"/>
  <c r="AH189" i="3"/>
  <c r="AH197" i="3"/>
  <c r="AI198" i="3" s="1"/>
  <c r="R312" i="3"/>
  <c r="S307" i="3"/>
  <c r="AO197" i="3"/>
  <c r="AO189" i="3"/>
  <c r="AE37" i="3"/>
  <c r="Q234" i="3"/>
  <c r="E57" i="3"/>
  <c r="G333" i="3"/>
  <c r="E232" i="3"/>
  <c r="AK352" i="3"/>
  <c r="AN119" i="3"/>
  <c r="AN124" i="3"/>
  <c r="AM111" i="3"/>
  <c r="AN111" i="3" s="1"/>
  <c r="AN118" i="3"/>
  <c r="AN123" i="3"/>
  <c r="AN100" i="3"/>
  <c r="AN122" i="3"/>
  <c r="AN116" i="3"/>
  <c r="AN107" i="3"/>
  <c r="AN117" i="3"/>
  <c r="AN106" i="3"/>
  <c r="AM108" i="3"/>
  <c r="AN108" i="3" s="1"/>
  <c r="AN121" i="3"/>
  <c r="AN115" i="3"/>
  <c r="AN105" i="3"/>
  <c r="AN120" i="3"/>
  <c r="AO158" i="3"/>
  <c r="AN125" i="3"/>
  <c r="AI77" i="3"/>
  <c r="AH77" i="3" s="1"/>
  <c r="AH44" i="3"/>
  <c r="AE312" i="3"/>
  <c r="AD317" i="3"/>
  <c r="AF356" i="3"/>
  <c r="M123" i="3"/>
  <c r="M115" i="3"/>
  <c r="M107" i="3"/>
  <c r="M122" i="3"/>
  <c r="M121" i="3"/>
  <c r="M106" i="3"/>
  <c r="M120" i="3"/>
  <c r="M119" i="3"/>
  <c r="M100" i="3"/>
  <c r="L108" i="3"/>
  <c r="M108" i="3" s="1"/>
  <c r="M116" i="3"/>
  <c r="M124" i="3"/>
  <c r="M117" i="3"/>
  <c r="M118" i="3"/>
  <c r="L111" i="3"/>
  <c r="M111" i="3" s="1"/>
  <c r="M105" i="3"/>
  <c r="C307" i="3"/>
  <c r="D298" i="3"/>
  <c r="N77" i="3"/>
  <c r="AI410" i="3"/>
  <c r="AG422" i="3" s="1"/>
  <c r="AB197" i="3"/>
  <c r="AB189" i="3"/>
  <c r="E443" i="3"/>
  <c r="Y118" i="3"/>
  <c r="Y115" i="3"/>
  <c r="Y117" i="3"/>
  <c r="Y124" i="3"/>
  <c r="Y121" i="3"/>
  <c r="Y106" i="3"/>
  <c r="Y100" i="3"/>
  <c r="Y122" i="3"/>
  <c r="Y107" i="3"/>
  <c r="Y120" i="3"/>
  <c r="X111" i="3"/>
  <c r="Y111" i="3" s="1"/>
  <c r="Y105" i="3"/>
  <c r="Y123" i="3"/>
  <c r="Y116" i="3"/>
  <c r="X108" i="3"/>
  <c r="Y108" i="3" s="1"/>
  <c r="Y119" i="3"/>
  <c r="H455" i="3"/>
  <c r="H471" i="3" s="1"/>
  <c r="G417" i="3"/>
  <c r="E417" i="3"/>
  <c r="S122" i="3"/>
  <c r="S120" i="3"/>
  <c r="S105" i="3"/>
  <c r="S100" i="3"/>
  <c r="R108" i="3"/>
  <c r="S108" i="3" s="1"/>
  <c r="S119" i="3"/>
  <c r="S116" i="3"/>
  <c r="S117" i="3"/>
  <c r="S115" i="3"/>
  <c r="S124" i="3"/>
  <c r="S121" i="3"/>
  <c r="S118" i="3"/>
  <c r="S107" i="3"/>
  <c r="S123" i="3"/>
  <c r="R111" i="3"/>
  <c r="S106" i="3"/>
  <c r="C34" i="3"/>
  <c r="E44" i="3"/>
  <c r="H354" i="3"/>
  <c r="G354" i="3" s="1"/>
  <c r="T234" i="3"/>
  <c r="Q168" i="3"/>
  <c r="P156" i="3"/>
  <c r="AK307" i="3"/>
  <c r="AJ312" i="3"/>
  <c r="K198" i="3"/>
  <c r="D311" i="3"/>
  <c r="AN354" i="3"/>
  <c r="AL77" i="3"/>
  <c r="AK77" i="3" s="1"/>
  <c r="AK44" i="3"/>
  <c r="W158" i="3"/>
  <c r="V158" i="3" s="1"/>
  <c r="V125" i="3"/>
  <c r="AE40" i="3"/>
  <c r="E413" i="3"/>
  <c r="AL234" i="3"/>
  <c r="Q77" i="3"/>
  <c r="P44" i="3"/>
  <c r="P138" i="3"/>
  <c r="D188" i="3"/>
  <c r="M415" i="3"/>
  <c r="K158" i="3"/>
  <c r="J269" i="3"/>
  <c r="K290" i="3"/>
  <c r="E452" i="3"/>
  <c r="E179" i="3"/>
  <c r="E437" i="3"/>
  <c r="AN307" i="3"/>
  <c r="AM312" i="3"/>
  <c r="AC189" i="3"/>
  <c r="AC197" i="3"/>
  <c r="AO455" i="3"/>
  <c r="Z77" i="3"/>
  <c r="Y77" i="3" s="1"/>
  <c r="Y44" i="3"/>
  <c r="S39" i="3"/>
  <c r="S35" i="3"/>
  <c r="S27" i="3"/>
  <c r="S40" i="3"/>
  <c r="S417" i="3"/>
  <c r="P312" i="3"/>
  <c r="O317" i="3"/>
  <c r="S189" i="3"/>
  <c r="S197" i="3"/>
  <c r="E333" i="3"/>
  <c r="T77" i="3"/>
  <c r="S44" i="3"/>
  <c r="E125" i="3"/>
  <c r="AB418" i="3"/>
  <c r="Y307" i="3"/>
  <c r="X312" i="3"/>
  <c r="J75" i="3"/>
  <c r="J333" i="3"/>
  <c r="K354" i="3"/>
  <c r="AI436" i="3"/>
  <c r="E453" i="3"/>
  <c r="H484" i="3"/>
  <c r="E75" i="3"/>
  <c r="AE189" i="3"/>
  <c r="AE197" i="3"/>
  <c r="H77" i="3"/>
  <c r="AL290" i="3"/>
  <c r="AK290" i="3" s="1"/>
  <c r="AK269" i="3"/>
  <c r="S412" i="3"/>
  <c r="AE107" i="3"/>
  <c r="AE100" i="3"/>
  <c r="AD108" i="3"/>
  <c r="AE108" i="3" s="1"/>
  <c r="AE121" i="3"/>
  <c r="AE106" i="3"/>
  <c r="AE116" i="3"/>
  <c r="AE124" i="3"/>
  <c r="AE120" i="3"/>
  <c r="AE123" i="3"/>
  <c r="AE119" i="3"/>
  <c r="AE115" i="3"/>
  <c r="AE105" i="3"/>
  <c r="AD111" i="3"/>
  <c r="AE111" i="3" s="1"/>
  <c r="AE117" i="3"/>
  <c r="AE122" i="3"/>
  <c r="AE118" i="3"/>
  <c r="Y412" i="3"/>
  <c r="AE418" i="3"/>
  <c r="M307" i="3"/>
  <c r="L312" i="3"/>
  <c r="S37" i="3"/>
  <c r="AL158" i="3"/>
  <c r="AL111" i="3"/>
  <c r="AK138" i="3" s="1"/>
  <c r="K455" i="3"/>
  <c r="AE414" i="3"/>
  <c r="AB34" i="3"/>
  <c r="AB36" i="3"/>
  <c r="AB27" i="3"/>
  <c r="AN34" i="3"/>
  <c r="AN27" i="3"/>
  <c r="AN38" i="3"/>
  <c r="N189" i="3"/>
  <c r="N197" i="3"/>
  <c r="M213" i="3" s="1"/>
  <c r="Z197" i="3"/>
  <c r="Y234" i="3" s="1"/>
  <c r="Z189" i="3"/>
  <c r="E454" i="3"/>
  <c r="AO356" i="3"/>
  <c r="AN333" i="3"/>
  <c r="G269" i="3"/>
  <c r="H290" i="3"/>
  <c r="G290" i="3" s="1"/>
  <c r="Q189" i="3"/>
  <c r="Q197" i="3"/>
  <c r="Q410" i="3" s="1"/>
  <c r="J307" i="3"/>
  <c r="I312" i="3"/>
  <c r="AN197" i="3"/>
  <c r="AN189" i="3"/>
  <c r="V197" i="3"/>
  <c r="V189" i="3"/>
  <c r="AO77" i="3"/>
  <c r="Y414" i="3"/>
  <c r="M418" i="3"/>
  <c r="M416" i="3"/>
  <c r="D97" i="3"/>
  <c r="C100" i="3"/>
  <c r="Y40" i="3"/>
  <c r="E419" i="3"/>
  <c r="V333" i="3"/>
  <c r="E188" i="3"/>
  <c r="E176" i="3"/>
  <c r="Y413" i="3"/>
  <c r="P189" i="3"/>
  <c r="P197" i="3"/>
  <c r="S418" i="3"/>
  <c r="E253" i="3"/>
  <c r="V119" i="3"/>
  <c r="V116" i="3"/>
  <c r="V118" i="3"/>
  <c r="V115" i="3"/>
  <c r="V107" i="3"/>
  <c r="V122" i="3"/>
  <c r="V100" i="3"/>
  <c r="U111" i="3"/>
  <c r="V111" i="3" s="1"/>
  <c r="V120" i="3"/>
  <c r="V105" i="3"/>
  <c r="V123" i="3"/>
  <c r="V117" i="3"/>
  <c r="V106" i="3"/>
  <c r="U108" i="3"/>
  <c r="V108" i="3" s="1"/>
  <c r="V124" i="3"/>
  <c r="V121" i="3"/>
  <c r="N234" i="3"/>
  <c r="V44" i="3"/>
  <c r="W77" i="3"/>
  <c r="V77" i="3" s="1"/>
  <c r="W422" i="3"/>
  <c r="G124" i="3"/>
  <c r="G118" i="3"/>
  <c r="G100" i="3"/>
  <c r="F108" i="3"/>
  <c r="G108" i="3" s="1"/>
  <c r="G123" i="3"/>
  <c r="G117" i="3"/>
  <c r="G116" i="3"/>
  <c r="G122" i="3"/>
  <c r="G121" i="3"/>
  <c r="G115" i="3"/>
  <c r="G106" i="3"/>
  <c r="F111" i="3"/>
  <c r="G105" i="3"/>
  <c r="G119" i="3"/>
  <c r="G107" i="3"/>
  <c r="G120" i="3"/>
  <c r="V352" i="3"/>
  <c r="M138" i="3"/>
  <c r="AJ27" i="3"/>
  <c r="AK26" i="3"/>
  <c r="AK25" i="3"/>
  <c r="AK16" i="3"/>
  <c r="AK24" i="3"/>
  <c r="AJ30" i="3"/>
  <c r="AK30" i="3" s="1"/>
  <c r="P333" i="3"/>
  <c r="AH213" i="3"/>
  <c r="AI234" i="3"/>
  <c r="AH234" i="3" s="1"/>
  <c r="Z402" i="3"/>
  <c r="E420" i="3"/>
  <c r="M413" i="3"/>
  <c r="M414" i="3"/>
  <c r="E352" i="3"/>
  <c r="AL254" i="3"/>
  <c r="AC455" i="3"/>
  <c r="Q254" i="3"/>
  <c r="S38" i="3"/>
  <c r="V412" i="3"/>
  <c r="T158" i="3"/>
  <c r="AE34" i="3"/>
  <c r="P354" i="3"/>
  <c r="AI158" i="3"/>
  <c r="AH158" i="3" s="1"/>
  <c r="AH125" i="3"/>
  <c r="E421" i="3"/>
  <c r="W197" i="3"/>
  <c r="W189" i="3"/>
  <c r="AC77" i="3"/>
  <c r="M333" i="3"/>
  <c r="N354" i="3"/>
  <c r="M354" i="3" s="1"/>
  <c r="AI455" i="3"/>
  <c r="Z455" i="3"/>
  <c r="E156" i="3"/>
  <c r="AF189" i="3"/>
  <c r="AF197" i="3"/>
  <c r="AE213" i="3" s="1"/>
  <c r="N455" i="3"/>
  <c r="AB234" i="3"/>
  <c r="P125" i="3"/>
  <c r="S34" i="3"/>
  <c r="C16" i="3"/>
  <c r="V138" i="3"/>
  <c r="AL354" i="3"/>
  <c r="AK354" i="3" s="1"/>
  <c r="AI356" i="3"/>
  <c r="P100" i="3"/>
  <c r="AH75" i="3"/>
  <c r="E427" i="3"/>
  <c r="E269" i="3"/>
  <c r="H402" i="3"/>
  <c r="E166" i="3"/>
  <c r="K77" i="3"/>
  <c r="J77" i="3" s="1"/>
  <c r="J44" i="3"/>
  <c r="P352" i="3"/>
  <c r="AN412" i="3"/>
  <c r="AN269" i="3"/>
  <c r="AO290" i="3"/>
  <c r="V156" i="3"/>
  <c r="Y416" i="3"/>
  <c r="E182" i="3"/>
  <c r="AN416" i="3"/>
  <c r="Y418" i="3"/>
  <c r="T292" i="3"/>
  <c r="T254" i="3"/>
  <c r="AE57" i="3"/>
  <c r="AH57" i="3"/>
  <c r="S416" i="3"/>
  <c r="AI189" i="3"/>
  <c r="E100" i="3"/>
  <c r="AB307" i="3"/>
  <c r="AA312" i="3"/>
  <c r="AB40" i="3"/>
  <c r="AC356" i="3"/>
  <c r="V307" i="3"/>
  <c r="U312" i="3"/>
  <c r="P158" i="3"/>
  <c r="AE38" i="3"/>
  <c r="M16" i="3"/>
  <c r="AK333" i="3"/>
  <c r="AH232" i="3"/>
  <c r="S223" i="15"/>
  <c r="R223" i="15"/>
  <c r="Q223" i="15"/>
  <c r="P223" i="15" s="1"/>
  <c r="M223" i="15"/>
  <c r="L223" i="15"/>
  <c r="V223" i="15" s="1"/>
  <c r="S225" i="15"/>
  <c r="R225" i="15"/>
  <c r="Q225" i="15"/>
  <c r="O225" i="15" s="1"/>
  <c r="M225" i="15"/>
  <c r="L225" i="15"/>
  <c r="V225" i="15" s="1"/>
  <c r="S224" i="15"/>
  <c r="R224" i="15"/>
  <c r="Q224" i="15"/>
  <c r="P224" i="15" s="1"/>
  <c r="M224" i="15"/>
  <c r="L224" i="15"/>
  <c r="T224" i="15" s="1"/>
  <c r="E484" i="3" l="1"/>
  <c r="J232" i="3"/>
  <c r="J213" i="3"/>
  <c r="T356" i="3"/>
  <c r="Q471" i="3"/>
  <c r="O471" i="3" s="1"/>
  <c r="AL88" i="3"/>
  <c r="Z168" i="3"/>
  <c r="AN75" i="3"/>
  <c r="K410" i="3"/>
  <c r="I422" i="3" s="1"/>
  <c r="AN44" i="3"/>
  <c r="E30" i="3"/>
  <c r="D57" i="3" s="1"/>
  <c r="J37" i="3"/>
  <c r="J40" i="3"/>
  <c r="J27" i="3"/>
  <c r="J39" i="3"/>
  <c r="J34" i="3"/>
  <c r="J38" i="3"/>
  <c r="J35" i="3"/>
  <c r="G111" i="3"/>
  <c r="AO471" i="3"/>
  <c r="AM471" i="3" s="1"/>
  <c r="C412" i="3"/>
  <c r="G37" i="3"/>
  <c r="AL356" i="3"/>
  <c r="N168" i="3"/>
  <c r="P234" i="3"/>
  <c r="T471" i="3"/>
  <c r="AN30" i="3"/>
  <c r="Q292" i="3"/>
  <c r="G36" i="3"/>
  <c r="AC471" i="3"/>
  <c r="J36" i="3"/>
  <c r="G27" i="3"/>
  <c r="Y30" i="3"/>
  <c r="I455" i="3"/>
  <c r="V354" i="3"/>
  <c r="G38" i="3"/>
  <c r="G39" i="3"/>
  <c r="N292" i="3"/>
  <c r="V234" i="3"/>
  <c r="G34" i="3"/>
  <c r="G35" i="3"/>
  <c r="G77" i="3"/>
  <c r="AL292" i="3"/>
  <c r="M40" i="3"/>
  <c r="Z410" i="3"/>
  <c r="X484" i="3" s="1"/>
  <c r="AB75" i="3"/>
  <c r="AK75" i="3"/>
  <c r="G30" i="3"/>
  <c r="M34" i="3"/>
  <c r="S158" i="3"/>
  <c r="M37" i="3"/>
  <c r="N471" i="3"/>
  <c r="AB44" i="3"/>
  <c r="AB30" i="3"/>
  <c r="N356" i="3"/>
  <c r="P213" i="3"/>
  <c r="AE290" i="3"/>
  <c r="AF292" i="3"/>
  <c r="G57" i="3"/>
  <c r="E436" i="3"/>
  <c r="AF410" i="3"/>
  <c r="AD469" i="3" s="1"/>
  <c r="S111" i="3"/>
  <c r="G75" i="3"/>
  <c r="E234" i="3"/>
  <c r="M27" i="3"/>
  <c r="M35" i="3"/>
  <c r="O484" i="3"/>
  <c r="O422" i="3"/>
  <c r="S234" i="3"/>
  <c r="S213" i="3"/>
  <c r="AB290" i="3"/>
  <c r="I484" i="3"/>
  <c r="AG317" i="3"/>
  <c r="AH312" i="3"/>
  <c r="AK158" i="3"/>
  <c r="AG484" i="3"/>
  <c r="AH38" i="3"/>
  <c r="AH27" i="3"/>
  <c r="AH36" i="3"/>
  <c r="AH40" i="3"/>
  <c r="AH35" i="3"/>
  <c r="AH37" i="3"/>
  <c r="AH34" i="3"/>
  <c r="AH39" i="3"/>
  <c r="K471" i="3"/>
  <c r="AK156" i="3"/>
  <c r="AK234" i="3"/>
  <c r="D352" i="3"/>
  <c r="M234" i="3"/>
  <c r="AG455" i="3"/>
  <c r="AI168" i="3"/>
  <c r="D412" i="3"/>
  <c r="AI236" i="3"/>
  <c r="AI88" i="3"/>
  <c r="M39" i="3"/>
  <c r="M36" i="3"/>
  <c r="W471" i="3"/>
  <c r="H410" i="3"/>
  <c r="F471" i="3" s="1"/>
  <c r="L317" i="3"/>
  <c r="M312" i="3"/>
  <c r="E354" i="3"/>
  <c r="D333" i="3"/>
  <c r="D413" i="3"/>
  <c r="C413" i="3"/>
  <c r="T168" i="3"/>
  <c r="T410" i="3"/>
  <c r="R471" i="3" s="1"/>
  <c r="S125" i="3"/>
  <c r="S138" i="3"/>
  <c r="AB312" i="3"/>
  <c r="AA317" i="3"/>
  <c r="D269" i="3"/>
  <c r="E290" i="3"/>
  <c r="D290" i="3" s="1"/>
  <c r="AB77" i="3"/>
  <c r="AC88" i="3"/>
  <c r="D119" i="3"/>
  <c r="C111" i="3"/>
  <c r="D124" i="3"/>
  <c r="D118" i="3"/>
  <c r="D100" i="3"/>
  <c r="D123" i="3"/>
  <c r="D122" i="3"/>
  <c r="D116" i="3"/>
  <c r="D107" i="3"/>
  <c r="D120" i="3"/>
  <c r="D105" i="3"/>
  <c r="C108" i="3"/>
  <c r="D108" i="3" s="1"/>
  <c r="D117" i="3"/>
  <c r="D106" i="3"/>
  <c r="D121" i="3"/>
  <c r="D115" i="3"/>
  <c r="X317" i="3"/>
  <c r="Y312" i="3"/>
  <c r="J158" i="3"/>
  <c r="K168" i="3"/>
  <c r="D307" i="3"/>
  <c r="C312" i="3"/>
  <c r="G312" i="3"/>
  <c r="F317" i="3"/>
  <c r="Q486" i="3"/>
  <c r="O469" i="3"/>
  <c r="AC236" i="3"/>
  <c r="AC198" i="3"/>
  <c r="AB232" i="3"/>
  <c r="AB213" i="3"/>
  <c r="AC410" i="3"/>
  <c r="AA455" i="3" s="1"/>
  <c r="AN158" i="3"/>
  <c r="AO168" i="3"/>
  <c r="N410" i="3"/>
  <c r="N88" i="3"/>
  <c r="P317" i="3"/>
  <c r="Q409" i="3"/>
  <c r="E197" i="3"/>
  <c r="E189" i="3"/>
  <c r="AF471" i="3"/>
  <c r="AD471" i="3" s="1"/>
  <c r="D197" i="3"/>
  <c r="D189" i="3"/>
  <c r="AG469" i="3"/>
  <c r="W88" i="3"/>
  <c r="AE158" i="3"/>
  <c r="AF168" i="3"/>
  <c r="H168" i="3"/>
  <c r="G125" i="3"/>
  <c r="G156" i="3"/>
  <c r="AN290" i="3"/>
  <c r="AO292" i="3"/>
  <c r="AK35" i="3"/>
  <c r="AK39" i="3"/>
  <c r="AK27" i="3"/>
  <c r="AK34" i="3"/>
  <c r="AK38" i="3"/>
  <c r="AK37" i="3"/>
  <c r="AK40" i="3"/>
  <c r="AK36" i="3"/>
  <c r="AI471" i="3"/>
  <c r="AG471" i="3" s="1"/>
  <c r="AD422" i="3"/>
  <c r="Z471" i="3"/>
  <c r="AN312" i="3"/>
  <c r="AM317" i="3"/>
  <c r="W168" i="3"/>
  <c r="W410" i="3"/>
  <c r="U422" i="3" s="1"/>
  <c r="AF236" i="3"/>
  <c r="AF198" i="3"/>
  <c r="Z236" i="3"/>
  <c r="Z198" i="3"/>
  <c r="Y232" i="3"/>
  <c r="Y213" i="3"/>
  <c r="E77" i="3"/>
  <c r="D44" i="3"/>
  <c r="AL198" i="3"/>
  <c r="AL236" i="3"/>
  <c r="AK213" i="3"/>
  <c r="H292" i="3"/>
  <c r="O455" i="3"/>
  <c r="O436" i="3"/>
  <c r="I317" i="3"/>
  <c r="J312" i="3"/>
  <c r="AE232" i="3"/>
  <c r="E455" i="3"/>
  <c r="AO198" i="3"/>
  <c r="AO236" i="3"/>
  <c r="AN234" i="3"/>
  <c r="AN213" i="3"/>
  <c r="AO410" i="3"/>
  <c r="AM455" i="3" s="1"/>
  <c r="AN232" i="3"/>
  <c r="E422" i="3"/>
  <c r="AH290" i="3"/>
  <c r="AI292" i="3"/>
  <c r="G138" i="3"/>
  <c r="N236" i="3"/>
  <c r="N198" i="3"/>
  <c r="M232" i="3"/>
  <c r="AL168" i="3"/>
  <c r="AK111" i="3"/>
  <c r="AK125" i="3"/>
  <c r="AG436" i="3"/>
  <c r="E158" i="3"/>
  <c r="P77" i="3"/>
  <c r="Q88" i="3"/>
  <c r="M44" i="3"/>
  <c r="K88" i="3"/>
  <c r="T236" i="3"/>
  <c r="T198" i="3"/>
  <c r="AL471" i="3"/>
  <c r="Z88" i="3"/>
  <c r="V290" i="3"/>
  <c r="W292" i="3"/>
  <c r="E111" i="3"/>
  <c r="C115" i="3"/>
  <c r="W236" i="3"/>
  <c r="W198" i="3"/>
  <c r="V213" i="3"/>
  <c r="J354" i="3"/>
  <c r="K356" i="3"/>
  <c r="M77" i="3"/>
  <c r="I469" i="3"/>
  <c r="D232" i="3"/>
  <c r="S312" i="3"/>
  <c r="R317" i="3"/>
  <c r="U317" i="3"/>
  <c r="V312" i="3"/>
  <c r="D16" i="3"/>
  <c r="D25" i="3"/>
  <c r="C30" i="3"/>
  <c r="D24" i="3"/>
  <c r="D26" i="3"/>
  <c r="C27" i="3"/>
  <c r="D417" i="3" s="1"/>
  <c r="M30" i="3"/>
  <c r="AL410" i="3"/>
  <c r="AJ422" i="3" s="1"/>
  <c r="E254" i="3"/>
  <c r="AF88" i="3"/>
  <c r="AN77" i="3"/>
  <c r="AO88" i="3"/>
  <c r="Q236" i="3"/>
  <c r="P232" i="3"/>
  <c r="Q198" i="3"/>
  <c r="H88" i="3"/>
  <c r="S77" i="3"/>
  <c r="T88" i="3"/>
  <c r="K292" i="3"/>
  <c r="J290" i="3"/>
  <c r="M57" i="3"/>
  <c r="AJ317" i="3"/>
  <c r="AK312" i="3"/>
  <c r="V232" i="3"/>
  <c r="AE317" i="3"/>
  <c r="AF409" i="3"/>
  <c r="AE234" i="3"/>
  <c r="H356" i="3"/>
  <c r="I436" i="3"/>
  <c r="N223" i="15"/>
  <c r="W224" i="15"/>
  <c r="U224" i="15"/>
  <c r="X224" i="15"/>
  <c r="O223" i="15"/>
  <c r="V224" i="15"/>
  <c r="W223" i="15"/>
  <c r="X223" i="15"/>
  <c r="P225" i="15"/>
  <c r="N225" i="15"/>
  <c r="T225" i="15"/>
  <c r="U225" i="15"/>
  <c r="W225" i="15"/>
  <c r="X225" i="15"/>
  <c r="N224" i="15"/>
  <c r="T223" i="15"/>
  <c r="O224" i="15"/>
  <c r="U223" i="15"/>
  <c r="D75" i="3" l="1"/>
  <c r="X436" i="3"/>
  <c r="I471" i="3"/>
  <c r="D77" i="3"/>
  <c r="D30" i="3"/>
  <c r="X422" i="3"/>
  <c r="X469" i="3"/>
  <c r="X455" i="3"/>
  <c r="X471" i="3"/>
  <c r="F484" i="3"/>
  <c r="D111" i="3"/>
  <c r="E410" i="3"/>
  <c r="C455" i="3" s="1"/>
  <c r="AI486" i="3"/>
  <c r="AI492" i="3" s="1"/>
  <c r="D418" i="3"/>
  <c r="F455" i="3"/>
  <c r="AD484" i="3"/>
  <c r="AD455" i="3"/>
  <c r="D234" i="3"/>
  <c r="AD436" i="3"/>
  <c r="AH317" i="3"/>
  <c r="AI409" i="3"/>
  <c r="E292" i="3"/>
  <c r="Z486" i="3"/>
  <c r="Z492" i="3" s="1"/>
  <c r="AF486" i="3"/>
  <c r="AE486" i="3" s="1"/>
  <c r="K486" i="3"/>
  <c r="K492" i="3" s="1"/>
  <c r="E88" i="3"/>
  <c r="D88" i="3" s="1"/>
  <c r="AN317" i="3"/>
  <c r="AO409" i="3"/>
  <c r="S317" i="3"/>
  <c r="T409" i="3"/>
  <c r="E168" i="3"/>
  <c r="D168" i="3" s="1"/>
  <c r="D138" i="3"/>
  <c r="AC486" i="3"/>
  <c r="AA469" i="3"/>
  <c r="AA484" i="3"/>
  <c r="AA436" i="3"/>
  <c r="AA422" i="3"/>
  <c r="U471" i="3"/>
  <c r="D432" i="3"/>
  <c r="D431" i="3"/>
  <c r="D433" i="3"/>
  <c r="D434" i="3"/>
  <c r="D354" i="3"/>
  <c r="E356" i="3"/>
  <c r="D356" i="3" s="1"/>
  <c r="G317" i="3"/>
  <c r="H409" i="3"/>
  <c r="V317" i="3"/>
  <c r="W409" i="3"/>
  <c r="AA471" i="3"/>
  <c r="P486" i="3"/>
  <c r="Q492" i="3"/>
  <c r="N486" i="3"/>
  <c r="L469" i="3"/>
  <c r="L422" i="3"/>
  <c r="L484" i="3"/>
  <c r="L436" i="3"/>
  <c r="D156" i="3"/>
  <c r="AB317" i="3"/>
  <c r="AC409" i="3"/>
  <c r="N409" i="3"/>
  <c r="M317" i="3"/>
  <c r="L471" i="3"/>
  <c r="W486" i="3"/>
  <c r="U469" i="3"/>
  <c r="U436" i="3"/>
  <c r="U455" i="3"/>
  <c r="U484" i="3"/>
  <c r="D312" i="3"/>
  <c r="C317" i="3"/>
  <c r="D317" i="3" s="1"/>
  <c r="D125" i="3"/>
  <c r="J317" i="3"/>
  <c r="K409" i="3"/>
  <c r="AL486" i="3"/>
  <c r="AJ469" i="3"/>
  <c r="AJ455" i="3"/>
  <c r="AJ484" i="3"/>
  <c r="AJ436" i="3"/>
  <c r="D158" i="3"/>
  <c r="E471" i="3"/>
  <c r="D27" i="3"/>
  <c r="D35" i="3"/>
  <c r="D39" i="3"/>
  <c r="D416" i="3"/>
  <c r="D34" i="3"/>
  <c r="D40" i="3"/>
  <c r="D36" i="3"/>
  <c r="D415" i="3"/>
  <c r="D38" i="3"/>
  <c r="D414" i="3"/>
  <c r="D37" i="3"/>
  <c r="L455" i="3"/>
  <c r="Y317" i="3"/>
  <c r="Z409" i="3"/>
  <c r="H486" i="3"/>
  <c r="F469" i="3"/>
  <c r="F436" i="3"/>
  <c r="F422" i="3"/>
  <c r="T486" i="3"/>
  <c r="R469" i="3"/>
  <c r="R484" i="3"/>
  <c r="R436" i="3"/>
  <c r="R422" i="3"/>
  <c r="R455" i="3"/>
  <c r="AK317" i="3"/>
  <c r="AL409" i="3"/>
  <c r="AJ471" i="3"/>
  <c r="AO486" i="3"/>
  <c r="AM469" i="3"/>
  <c r="AM422" i="3"/>
  <c r="AM484" i="3"/>
  <c r="AM436" i="3"/>
  <c r="E198" i="3"/>
  <c r="E236" i="3"/>
  <c r="D236" i="3" s="1"/>
  <c r="D213" i="3"/>
  <c r="A48" i="2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C436" i="3" l="1"/>
  <c r="C484" i="3"/>
  <c r="C469" i="3"/>
  <c r="C422" i="3"/>
  <c r="AF492" i="3"/>
  <c r="C471" i="3"/>
  <c r="AH486" i="3"/>
  <c r="D422" i="3"/>
  <c r="J486" i="3"/>
  <c r="Y486" i="3"/>
  <c r="AO492" i="3"/>
  <c r="AN486" i="3"/>
  <c r="H492" i="3"/>
  <c r="G486" i="3"/>
  <c r="W492" i="3"/>
  <c r="V486" i="3"/>
  <c r="AK486" i="3"/>
  <c r="AL492" i="3"/>
  <c r="AH492" i="3"/>
  <c r="AI501" i="3"/>
  <c r="AH501" i="3" s="1"/>
  <c r="Y492" i="3"/>
  <c r="Z501" i="3"/>
  <c r="Y501" i="3" s="1"/>
  <c r="P492" i="3"/>
  <c r="Q501" i="3"/>
  <c r="P501" i="3" s="1"/>
  <c r="J492" i="3"/>
  <c r="K501" i="3"/>
  <c r="J501" i="3" s="1"/>
  <c r="E486" i="3"/>
  <c r="E409" i="3"/>
  <c r="AC492" i="3"/>
  <c r="AB486" i="3"/>
  <c r="N492" i="3"/>
  <c r="M486" i="3"/>
  <c r="S486" i="3"/>
  <c r="T492" i="3"/>
  <c r="AE492" i="3"/>
  <c r="AF501" i="3"/>
  <c r="AE501" i="3" s="1"/>
  <c r="F11" i="21"/>
  <c r="E6" i="21"/>
  <c r="F14" i="21"/>
  <c r="F6" i="21"/>
  <c r="AB492" i="3" l="1"/>
  <c r="AC501" i="3"/>
  <c r="AB501" i="3" s="1"/>
  <c r="G492" i="3"/>
  <c r="H501" i="3"/>
  <c r="G501" i="3" s="1"/>
  <c r="T501" i="3"/>
  <c r="S501" i="3" s="1"/>
  <c r="S492" i="3"/>
  <c r="M492" i="3"/>
  <c r="N501" i="3"/>
  <c r="M501" i="3" s="1"/>
  <c r="AL501" i="3"/>
  <c r="AK501" i="3" s="1"/>
  <c r="AK492" i="3"/>
  <c r="E492" i="3"/>
  <c r="D486" i="3"/>
  <c r="W501" i="3"/>
  <c r="V501" i="3" s="1"/>
  <c r="V492" i="3"/>
  <c r="AO501" i="3"/>
  <c r="AN501" i="3" s="1"/>
  <c r="AN492" i="3"/>
  <c r="F23" i="21"/>
  <c r="G6" i="21"/>
  <c r="H6" i="21" s="1"/>
  <c r="F25" i="21"/>
  <c r="E501" i="3" l="1"/>
  <c r="D501" i="3" s="1"/>
  <c r="D492" i="3"/>
  <c r="B1" i="20"/>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Q12" i="9" l="1"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Q387" i="9" a="1"/>
  <c r="Q387" i="9" s="1"/>
  <c r="Q175" i="9" a="1"/>
  <c r="Q175" i="9" s="1"/>
  <c r="Q209" i="9" a="1"/>
  <c r="Q209" i="9" s="1"/>
  <c r="Q227" i="9" a="1"/>
  <c r="Q227" i="9" s="1"/>
  <c r="Q263" i="9" a="1"/>
  <c r="Q263" i="9" s="1"/>
  <c r="Q295" i="9" a="1"/>
  <c r="Q295" i="9" s="1"/>
  <c r="O308" i="9" a="1"/>
  <c r="O308" i="9" s="1"/>
  <c r="Q337" i="9"/>
  <c r="Q374" i="9" a="1"/>
  <c r="Q374" i="9" s="1"/>
  <c r="Q391" i="9" a="1"/>
  <c r="Q391" i="9" s="1"/>
  <c r="AL497" i="9"/>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96" i="9" l="1"/>
  <c r="P183" i="9"/>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P155" i="9" l="1"/>
  <c r="P135" i="9"/>
  <c r="P153" i="9"/>
  <c r="P108" i="9"/>
  <c r="AL407" i="9"/>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O363" i="15"/>
  <c r="N270" i="15"/>
  <c r="O267" i="15"/>
  <c r="N235" i="15"/>
  <c r="N232" i="15"/>
  <c r="N190" i="15"/>
  <c r="P176" i="15"/>
  <c r="N169" i="15"/>
  <c r="N166" i="15"/>
  <c r="O105" i="15"/>
  <c r="O102" i="15"/>
  <c r="N76" i="15"/>
  <c r="N70" i="15"/>
  <c r="P56" i="15"/>
  <c r="N28" i="15"/>
  <c r="N360" i="15"/>
  <c r="N277" i="15"/>
  <c r="N267" i="15"/>
  <c r="N238" i="15"/>
  <c r="P130" i="15"/>
  <c r="O56" i="15"/>
  <c r="O24" i="15"/>
  <c r="P343" i="15"/>
  <c r="O329" i="15"/>
  <c r="P214" i="15"/>
  <c r="P147" i="15"/>
  <c r="P112" i="15"/>
  <c r="P59" i="15"/>
  <c r="O38" i="15"/>
  <c r="N24" i="15"/>
  <c r="P327" i="15"/>
  <c r="P352" i="15"/>
  <c r="O349" i="15"/>
  <c r="O312" i="15"/>
  <c r="P119" i="15"/>
  <c r="P98" i="15"/>
  <c r="N38" i="15"/>
  <c r="P6" i="15"/>
  <c r="P363" i="15"/>
  <c r="N288" i="15"/>
  <c r="O229" i="15"/>
  <c r="P359" i="15"/>
  <c r="O352" i="15"/>
  <c r="P326" i="15"/>
  <c r="P301" i="15"/>
  <c r="P294" i="15"/>
  <c r="P283" i="15"/>
  <c r="O256" i="15"/>
  <c r="P362" i="15"/>
  <c r="N326" i="15"/>
  <c r="P269" i="15"/>
  <c r="P234" i="15"/>
  <c r="P231" i="15"/>
  <c r="O203" i="15"/>
  <c r="O180" i="15"/>
  <c r="P168" i="15"/>
  <c r="P165" i="15"/>
  <c r="N122" i="15"/>
  <c r="P101" i="15"/>
  <c r="P69" i="15"/>
  <c r="N62" i="15"/>
  <c r="P16"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N358" i="15"/>
  <c r="N262" i="15"/>
  <c r="N150" i="15"/>
  <c r="O103" i="15"/>
  <c r="N57" i="15"/>
  <c r="P265" i="15"/>
  <c r="O265" i="15"/>
  <c r="N265" i="15"/>
  <c r="N184" i="15"/>
  <c r="O184" i="15"/>
  <c r="P184" i="15"/>
  <c r="O291" i="15"/>
  <c r="N291" i="15"/>
  <c r="P313" i="15"/>
  <c r="O313" i="15"/>
  <c r="N313" i="15"/>
  <c r="P296" i="15"/>
  <c r="N296" i="15"/>
  <c r="O296" i="15"/>
  <c r="P233" i="15"/>
  <c r="N233" i="15"/>
  <c r="O233" i="15"/>
  <c r="P304" i="15"/>
  <c r="P299" i="15"/>
  <c r="P258" i="15"/>
  <c r="O248" i="15"/>
  <c r="P248" i="15"/>
  <c r="N155" i="15"/>
  <c r="P155" i="15"/>
  <c r="P342" i="15"/>
  <c r="P333" i="15"/>
  <c r="O304" i="15"/>
  <c r="O299" i="15"/>
  <c r="P277" i="15"/>
  <c r="O258" i="15"/>
  <c r="P256" i="15"/>
  <c r="O254" i="15"/>
  <c r="N254" i="15"/>
  <c r="N248" i="15"/>
  <c r="P201" i="15"/>
  <c r="N201" i="15"/>
  <c r="O155" i="15"/>
  <c r="N21" i="15"/>
  <c r="O21" i="15"/>
  <c r="P21" i="15"/>
  <c r="N132" i="15"/>
  <c r="P132"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60" i="15"/>
  <c r="P288" i="15"/>
  <c r="N259" i="15"/>
  <c r="N86" i="15"/>
  <c r="O86" i="15"/>
  <c r="P86" i="15"/>
  <c r="O253" i="15"/>
  <c r="P253" i="15"/>
  <c r="O172" i="15"/>
  <c r="N172" i="15"/>
  <c r="P346" i="15"/>
  <c r="P320" i="15"/>
  <c r="P315" i="15"/>
  <c r="N286" i="15"/>
  <c r="N281" i="15"/>
  <c r="N253" i="15"/>
  <c r="P251" i="15"/>
  <c r="P106" i="15"/>
  <c r="N106" i="15"/>
  <c r="O106"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37" i="15"/>
  <c r="O337" i="15"/>
  <c r="P337" i="15"/>
  <c r="N351" i="15"/>
  <c r="O351" i="15"/>
  <c r="N335" i="15"/>
  <c r="O335" i="15"/>
  <c r="N319" i="15"/>
  <c r="O319" i="15"/>
  <c r="N303" i="15"/>
  <c r="O303" i="15"/>
  <c r="N287" i="15"/>
  <c r="O287" i="15"/>
  <c r="N276" i="15"/>
  <c r="O276" i="15"/>
  <c r="P271" i="15"/>
  <c r="P266" i="15"/>
  <c r="P263" i="15"/>
  <c r="P260" i="15"/>
  <c r="O250" i="15"/>
  <c r="O247"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O362" i="15"/>
  <c r="O359" i="15"/>
  <c r="O346" i="15"/>
  <c r="O343" i="15"/>
  <c r="O330" i="15"/>
  <c r="O327" i="15"/>
  <c r="O314" i="15"/>
  <c r="O311" i="15"/>
  <c r="O298" i="15"/>
  <c r="O295" i="15"/>
  <c r="P274" i="15"/>
  <c r="N353" i="15"/>
  <c r="O353" i="15"/>
  <c r="P353" i="15"/>
  <c r="O332" i="15"/>
  <c r="P332" i="15"/>
  <c r="P354" i="15"/>
  <c r="P338" i="15"/>
  <c r="P322" i="15"/>
  <c r="P306" i="15"/>
  <c r="P290" i="15"/>
  <c r="O274" i="15"/>
  <c r="P245"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55" i="15"/>
  <c r="N339" i="15"/>
  <c r="N323" i="15"/>
  <c r="N307" i="15"/>
  <c r="N257" i="15"/>
  <c r="O257" i="15"/>
  <c r="P257" i="15"/>
  <c r="O252" i="15"/>
  <c r="P252" i="15"/>
  <c r="N252" i="15"/>
  <c r="P228" i="15"/>
  <c r="N364" i="15"/>
  <c r="N348"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AJ407" i="9" l="1"/>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2" i="15"/>
  <c r="T287" i="15" l="1"/>
  <c r="V287" i="15"/>
  <c r="W287" i="15"/>
  <c r="U287" i="15"/>
  <c r="W15" i="15"/>
  <c r="T15" i="15"/>
  <c r="U15" i="15"/>
  <c r="V15" i="15"/>
  <c r="T238" i="15"/>
  <c r="U238" i="15"/>
  <c r="V238" i="15"/>
  <c r="W238" i="15"/>
  <c r="T14" i="15"/>
  <c r="U14" i="15"/>
  <c r="V14" i="15"/>
  <c r="W14"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222" i="15"/>
  <c r="U222" i="15"/>
  <c r="V222" i="15"/>
  <c r="W222"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191" i="15"/>
  <c r="U191" i="15"/>
  <c r="V191" i="15"/>
  <c r="W191" i="15"/>
  <c r="T270" i="15"/>
  <c r="U270" i="15"/>
  <c r="V270" i="15"/>
  <c r="W270" i="15"/>
  <c r="T78" i="15"/>
  <c r="U78" i="15"/>
  <c r="V78" i="15"/>
  <c r="W78"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T175" i="15"/>
  <c r="U175" i="15"/>
  <c r="W175" i="15"/>
  <c r="V175" i="15"/>
  <c r="W158" i="15"/>
  <c r="U158" i="15"/>
  <c r="T158" i="15"/>
  <c r="V158"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302" i="9" l="1"/>
  <c r="L31" i="9"/>
  <c r="L113" i="9"/>
  <c r="L32" i="9"/>
  <c r="L300" i="9"/>
  <c r="AF496" i="9"/>
  <c r="L112" i="9"/>
  <c r="J15"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61" i="16"/>
  <c r="K159" i="16"/>
  <c r="K157" i="16"/>
  <c r="K155" i="16"/>
  <c r="K152" i="16"/>
  <c r="K150" i="16"/>
  <c r="K145" i="16"/>
  <c r="K143" i="16"/>
  <c r="K142" i="16"/>
  <c r="K141" i="16"/>
  <c r="K140" i="16"/>
  <c r="K139" i="16"/>
  <c r="K138" i="16"/>
  <c r="K137" i="16"/>
  <c r="K136" i="16"/>
  <c r="K135" i="16"/>
  <c r="K134" i="16"/>
  <c r="K132" i="16"/>
  <c r="K131" i="16"/>
  <c r="K130" i="16"/>
  <c r="K129" i="16"/>
  <c r="K128" i="16"/>
  <c r="K126" i="16"/>
  <c r="K116" i="16"/>
  <c r="K113" i="16"/>
  <c r="K112" i="16"/>
  <c r="K109" i="16"/>
  <c r="K107" i="16"/>
  <c r="K106" i="16"/>
  <c r="K105" i="16"/>
  <c r="K104" i="16"/>
  <c r="K101" i="16"/>
  <c r="K97" i="16"/>
  <c r="K96" i="16"/>
  <c r="K95" i="16"/>
  <c r="K94" i="16"/>
  <c r="K93" i="16"/>
  <c r="K92" i="16"/>
  <c r="K91" i="16"/>
  <c r="K90" i="16"/>
  <c r="K86" i="16"/>
  <c r="K84" i="16"/>
  <c r="K80" i="16"/>
  <c r="K76" i="16"/>
  <c r="K75" i="16"/>
  <c r="K74" i="16"/>
  <c r="K72" i="16"/>
  <c r="K70" i="16"/>
  <c r="K67" i="16"/>
  <c r="K66" i="16"/>
  <c r="K65" i="16"/>
  <c r="K62" i="16"/>
  <c r="K60" i="16"/>
  <c r="K59" i="16"/>
  <c r="K57" i="16"/>
  <c r="K56" i="16"/>
  <c r="K55" i="16"/>
  <c r="K50" i="16"/>
  <c r="K43" i="16"/>
  <c r="K40" i="16"/>
  <c r="K38" i="16"/>
  <c r="K34" i="16"/>
  <c r="K33" i="16"/>
  <c r="K32" i="16"/>
  <c r="K31" i="16"/>
  <c r="K25" i="16"/>
  <c r="K16" i="16"/>
  <c r="K14" i="16"/>
  <c r="K10" i="16"/>
  <c r="I8" i="16"/>
  <c r="K7" i="16"/>
  <c r="I7" i="16"/>
  <c r="I6" i="16"/>
  <c r="I5" i="16"/>
  <c r="K4" i="16"/>
  <c r="I4" i="16"/>
  <c r="I3" i="16"/>
  <c r="K2" i="16"/>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Z496" i="9" l="1"/>
  <c r="V402" i="9"/>
  <c r="F7" i="21"/>
  <c r="F20" i="21" s="1"/>
  <c r="F12" i="21"/>
  <c r="Q3" i="20"/>
  <c r="P3" i="20"/>
  <c r="O3" i="20"/>
  <c r="F75" i="9"/>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16" i="15"/>
  <c r="X46" i="15"/>
  <c r="X82" i="15"/>
  <c r="X146" i="15"/>
  <c r="X297" i="15"/>
  <c r="X274" i="15"/>
  <c r="X289" i="15"/>
  <c r="X215" i="15"/>
  <c r="X111"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5"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120" i="15"/>
  <c r="X138" i="15"/>
  <c r="X199" i="15"/>
  <c r="X206" i="15"/>
  <c r="X285" i="15"/>
  <c r="X294" i="15"/>
  <c r="X295" i="15"/>
  <c r="X301" i="15"/>
  <c r="W5" i="17"/>
  <c r="X5" i="17"/>
  <c r="X18" i="17"/>
  <c r="W18" i="17"/>
  <c r="P30" i="17"/>
  <c r="N30" i="17"/>
  <c r="X305" i="15"/>
  <c r="X311" i="15"/>
  <c r="X330" i="15"/>
  <c r="V28" i="17"/>
  <c r="X28" i="17"/>
  <c r="X354" i="15"/>
  <c r="T4" i="17"/>
  <c r="W4" i="17"/>
  <c r="X6" i="17"/>
  <c r="P42" i="17"/>
  <c r="N42" i="17"/>
  <c r="X343" i="15"/>
  <c r="N11" i="17"/>
  <c r="P11" i="17"/>
  <c r="W13" i="17"/>
  <c r="U13" i="17"/>
  <c r="T24" i="17"/>
  <c r="W24" i="17"/>
  <c r="X322" i="15"/>
  <c r="X338" i="15"/>
  <c r="X362"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6" i="16"/>
  <c r="G938" i="16"/>
  <c r="G930" i="16"/>
  <c r="G922" i="16"/>
  <c r="G914" i="16"/>
  <c r="G945" i="16"/>
  <c r="G937" i="16"/>
  <c r="G929" i="16"/>
  <c r="G921" i="16"/>
  <c r="G913" i="16"/>
  <c r="G944" i="16"/>
  <c r="G936" i="16"/>
  <c r="G928" i="16"/>
  <c r="G920" i="16"/>
  <c r="G951" i="16"/>
  <c r="G943" i="16"/>
  <c r="G935" i="16"/>
  <c r="G927" i="16"/>
  <c r="G919" i="16"/>
  <c r="G949" i="16"/>
  <c r="G941" i="16"/>
  <c r="G933" i="16"/>
  <c r="G925" i="16"/>
  <c r="G917" i="16"/>
  <c r="G948" i="16"/>
  <c r="G940" i="16"/>
  <c r="G932" i="16"/>
  <c r="G924" i="16"/>
  <c r="G916" i="16"/>
  <c r="G934" i="16"/>
  <c r="G931" i="16"/>
  <c r="G926" i="16"/>
  <c r="G923" i="16"/>
  <c r="G950" i="16"/>
  <c r="G918" i="16"/>
  <c r="G942" i="16"/>
  <c r="G939" i="16"/>
  <c r="G947" i="16"/>
  <c r="X35" i="15"/>
  <c r="X97" i="15"/>
  <c r="X113" i="15"/>
  <c r="X122" i="15"/>
  <c r="X137" i="15"/>
  <c r="X143" i="15"/>
  <c r="X142" i="15"/>
  <c r="X195" i="15"/>
  <c r="X201" i="15"/>
  <c r="X23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251" i="15"/>
  <c r="X264" i="15"/>
  <c r="X310" i="15"/>
  <c r="X332" i="15"/>
  <c r="X35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W88" i="17"/>
  <c r="V88" i="17"/>
  <c r="U88" i="17"/>
  <c r="T88" i="17"/>
  <c r="X88" i="17"/>
  <c r="X267" i="15"/>
  <c r="X280" i="15"/>
  <c r="X318" i="15"/>
  <c r="X333" i="15"/>
  <c r="X348" i="15"/>
  <c r="X357" i="15"/>
  <c r="X275" i="15"/>
  <c r="X288" i="15"/>
  <c r="X296" i="15"/>
  <c r="X304" i="15"/>
  <c r="X321" i="15"/>
  <c r="X344" i="15"/>
  <c r="X216" i="15"/>
  <c r="X232" i="15"/>
  <c r="X240" i="15"/>
  <c r="X283" i="15"/>
  <c r="X291" i="15"/>
  <c r="X299" i="15"/>
  <c r="X326" i="15"/>
  <c r="X329" i="15"/>
  <c r="X349" i="15"/>
  <c r="X353" i="15"/>
  <c r="X308" i="15"/>
  <c r="X312" i="15"/>
  <c r="X340" i="15"/>
  <c r="X364" i="15"/>
  <c r="X334" i="15"/>
  <c r="X342" i="15"/>
  <c r="X350" i="15"/>
  <c r="X358" i="15"/>
  <c r="X307" i="15"/>
  <c r="X315" i="15"/>
  <c r="X323" i="15"/>
  <c r="X331" i="15"/>
  <c r="X339" i="15"/>
  <c r="X347" i="15"/>
  <c r="X355" i="15"/>
  <c r="X363"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N300" i="9"/>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N302" i="9"/>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G8" i="11"/>
  <c r="F6" i="11"/>
  <c r="G6" i="11" s="1"/>
  <c r="E5" i="5"/>
  <c r="D28" i="8"/>
  <c r="D53" i="8"/>
  <c r="D57" i="8"/>
  <c r="D51" i="8"/>
  <c r="AF474" i="12"/>
  <c r="L45" i="12"/>
  <c r="L7" i="12"/>
  <c r="H16" i="11"/>
  <c r="F7" i="11"/>
  <c r="G7" i="11" s="1"/>
  <c r="Y3" i="3"/>
  <c r="N3" i="5"/>
  <c r="Z3" i="3"/>
  <c r="X3" i="3"/>
  <c r="D24" i="8"/>
  <c r="D40" i="8"/>
  <c r="Q191" i="12" l="1" a="1"/>
  <c r="Q191" i="12" s="1"/>
  <c r="Q188" i="12" a="1"/>
  <c r="Q188" i="12" s="1"/>
  <c r="D26" i="8"/>
  <c r="D112" i="9"/>
  <c r="L13" i="9"/>
  <c r="L192" i="9"/>
  <c r="M191" i="9"/>
  <c r="K113" i="9"/>
  <c r="J113" i="9"/>
  <c r="K14" i="2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L14" i="21"/>
  <c r="M14" i="21" s="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S188" i="12"/>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R99" i="12"/>
  <c r="S344"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S274" i="12"/>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S371" i="12" l="1"/>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S185" i="12" l="1"/>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K351" i="9" l="1"/>
  <c r="L400" i="9"/>
  <c r="AL407" i="12"/>
  <c r="P54" i="12"/>
  <c r="AL468" i="12"/>
  <c r="AL483" i="12" s="1"/>
  <c r="AL489" i="12" s="1"/>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AJ433"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1"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L401" i="12" s="1"/>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H407" i="9" l="1"/>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9"/>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2" authorId="0" shapeId="0" xr:uid="{73A7D56A-4952-4B82-9D6C-F9225954A3E5}">
      <text>
        <r>
          <rPr>
            <sz val="9"/>
            <color indexed="81"/>
            <rFont val="Tahoma"/>
            <family val="2"/>
          </rPr>
          <t>Balance avec $ profit du réalisé</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<sst xmlns="http://schemas.openxmlformats.org/spreadsheetml/2006/main" count="18358" uniqueCount="3965">
  <si>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</si>
  <si>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</si>
  <si>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</si>
  <si>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</si>
  <si>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</si>
  <si>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</si>
  <si>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</si>
  <si>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</si>
  <si>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</si>
  <si>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</si>
  <si>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</si>
  <si>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</si>
  <si>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</si>
  <si>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</si>
  <si>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</si>
  <si>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</si>
  <si>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</si>
  <si>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</si>
  <si>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</si>
  <si>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</si>
  <si>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</si>
  <si>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</si>
  <si>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</si>
  <si>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</si>
  <si>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</si>
  <si>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</si>
  <si>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</si>
  <si>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</si>
  <si>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</si>
  <si>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</si>
  <si>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</si>
  <si>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</si>
  <si>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</si>
  <si>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</si>
  <si>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</si>
  <si>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</si>
  <si>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</si>
  <si>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</si>
  <si>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</si>
  <si>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</si>
  <si>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</si>
  <si>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</si>
  <si>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</si>
  <si>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</si>
  <si>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</si>
  <si>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</si>
  <si>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</si>
  <si>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</si>
  <si>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</si>
  <si>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</si>
  <si>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</si>
  <si>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</si>
  <si>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</si>
  <si>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</si>
  <si>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</si>
  <si>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</si>
  <si>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</si>
  <si>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</si>
  <si>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</si>
  <si>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</si>
  <si>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</si>
  <si>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</si>
  <si>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</si>
  <si>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</si>
  <si>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</si>
  <si>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</si>
  <si>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</si>
  <si>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</si>
  <si>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</si>
  <si>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</si>
  <si>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</si>
  <si>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</si>
  <si>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</si>
  <si>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</si>
  <si>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</si>
  <si>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</si>
  <si>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</si>
  <si>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</si>
  <si>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</si>
  <si>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</si>
  <si>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</si>
  <si>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</si>
  <si>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</si>
  <si>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</si>
  <si>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</si>
  <si>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</si>
  <si>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</si>
  <si>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</si>
  <si>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</si>
  <si>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</si>
  <si>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</si>
  <si>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</si>
  <si>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</si>
  <si>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</si>
  <si>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</si>
  <si>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</si>
  <si>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</si>
  <si>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</si>
  <si>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</si>
  <si>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</si>
  <si>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</si>
  <si>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</si>
  <si>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</si>
  <si>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</si>
  <si>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</si>
  <si>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</si>
  <si>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</si>
  <si>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</si>
  <si>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</si>
  <si>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</si>
  <si>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</si>
  <si>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</si>
  <si>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</si>
  <si>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</si>
  <si>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</si>
  <si>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</si>
  <si>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</si>
  <si>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</si>
  <si>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</si>
  <si>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</si>
  <si>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</si>
  <si>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</si>
  <si>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</si>
  <si>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</si>
  <si>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</si>
  <si>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</si>
  <si>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</si>
  <si>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</si>
  <si>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</si>
  <si>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</si>
  <si>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</si>
  <si>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</si>
  <si>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</si>
  <si>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</si>
  <si>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</si>
  <si>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</si>
  <si>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</si>
  <si>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</si>
  <si>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</si>
  <si>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</si>
  <si>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</si>
  <si>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</si>
  <si>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</si>
  <si>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</si>
  <si>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</si>
  <si>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</si>
  <si>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</si>
  <si>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</si>
  <si>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</si>
  <si>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</si>
  <si>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</si>
  <si>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</si>
  <si>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</si>
  <si>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</si>
  <si>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</si>
  <si>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</si>
  <si>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</si>
  <si>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</si>
  <si>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</si>
  <si>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</si>
  <si>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</si>
  <si>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</si>
  <si>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</si>
  <si>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</si>
  <si>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</si>
  <si>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</si>
  <si>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</si>
  <si>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</si>
  <si>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</si>
  <si>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</si>
  <si>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</si>
  <si>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</si>
  <si>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</si>
  <si>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</si>
  <si>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</si>
  <si>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</si>
  <si>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</si>
  <si>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</si>
  <si>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</si>
  <si>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</si>
  <si>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</si>
  <si>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</si>
  <si>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</si>
  <si>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</si>
  <si>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</si>
  <si>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</si>
  <si>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</si>
  <si>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</si>
  <si>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</si>
  <si>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</si>
  <si>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</si>
  <si>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</si>
  <si>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</si>
  <si>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</si>
  <si>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</si>
  <si>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</si>
  <si>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</si>
  <si>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</si>
  <si>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</si>
  <si>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</si>
  <si>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</si>
  <si>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</si>
  <si>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</si>
  <si>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</si>
  <si>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</si>
  <si>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</si>
  <si>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</si>
  <si>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</si>
  <si>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</si>
  <si>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</si>
  <si>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</si>
  <si>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</si>
  <si>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</si>
  <si>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</si>
  <si>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</si>
  <si>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</si>
  <si>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</si>
  <si>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</si>
  <si>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</si>
  <si>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</si>
  <si>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</si>
  <si>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</si>
  <si>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</si>
  <si>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</si>
  <si>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</si>
  <si>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</si>
  <si>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</si>
  <si>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</si>
  <si>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</si>
  <si>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</si>
  <si>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</si>
  <si>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</si>
  <si>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</si>
  <si>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</si>
  <si>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</si>
  <si>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</si>
  <si>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</si>
  <si>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</si>
  <si>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</si>
  <si>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</si>
  <si>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</si>
  <si>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</si>
  <si>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</si>
  <si>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</si>
  <si>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</si>
  <si>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</si>
  <si>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</si>
  <si>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</si>
  <si>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</si>
  <si>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</si>
  <si>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</si>
  <si>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</si>
  <si>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</si>
  <si>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</si>
  <si>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</si>
  <si>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</si>
  <si>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</si>
  <si>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</si>
  <si>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</si>
  <si>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</si>
  <si>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</si>
  <si>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</si>
  <si>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</si>
  <si>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</si>
  <si>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</si>
  <si>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</si>
  <si>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</si>
  <si>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</si>
  <si>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</si>
  <si>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</si>
  <si>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</si>
  <si>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</si>
  <si>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</si>
  <si>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</si>
  <si>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</si>
  <si>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</si>
  <si>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</si>
  <si>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</si>
  <si>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</si>
  <si>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</si>
  <si>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</si>
  <si>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</si>
  <si>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</si>
  <si>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</si>
  <si>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</si>
  <si>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</si>
  <si>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</si>
  <si>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</si>
  <si>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</si>
  <si>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</si>
  <si>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</si>
  <si>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</si>
  <si>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</si>
  <si>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</si>
  <si>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</si>
  <si>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</si>
  <si>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</si>
  <si>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</si>
  <si>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</si>
  <si>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</si>
  <si>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</si>
  <si>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</si>
  <si>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</si>
  <si>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</si>
  <si>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</si>
  <si>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</si>
  <si>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</si>
  <si>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</si>
  <si>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</si>
  <si>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</si>
  <si>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</si>
  <si>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</si>
  <si>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</si>
  <si>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</si>
  <si>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</si>
  <si>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</si>
  <si>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</si>
  <si>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</si>
  <si>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</si>
  <si>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</si>
  <si>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</si>
  <si>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</si>
  <si>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</si>
  <si>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</si>
  <si>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</si>
  <si>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</si>
  <si>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</si>
  <si>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</si>
  <si>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</si>
  <si>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</si>
  <si>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</si>
  <si>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</si>
  <si>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</si>
  <si>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</si>
  <si>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</si>
  <si>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</si>
  <si>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</si>
  <si>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</si>
  <si>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</si>
  <si>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</si>
  <si>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</si>
  <si>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</si>
  <si>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</si>
  <si>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</si>
  <si>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</si>
  <si>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</si>
  <si>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</si>
  <si>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</si>
  <si>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</si>
  <si>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</si>
  <si>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</si>
  <si>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</si>
  <si>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</si>
  <si>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</si>
  <si>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</si>
  <si>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</si>
  <si>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</si>
  <si>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</si>
  <si>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</si>
  <si>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</si>
  <si>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</si>
  <si>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</si>
  <si>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</si>
  <si>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</si>
  <si>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</si>
  <si>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</si>
  <si>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</si>
  <si>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</si>
  <si>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</si>
  <si>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</si>
  <si>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</si>
  <si>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</si>
  <si>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</si>
  <si>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</si>
  <si>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</si>
  <si>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</si>
  <si>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</si>
  <si>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</si>
  <si>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</si>
  <si>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</si>
  <si>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</si>
  <si>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</si>
  <si>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</si>
  <si>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</si>
  <si>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</si>
  <si>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</si>
  <si>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</si>
  <si>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</si>
  <si>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</si>
  <si>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</si>
  <si>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</si>
  <si>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</si>
  <si>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</si>
  <si>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</si>
  <si>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</si>
  <si>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</si>
  <si>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</si>
  <si>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</si>
  <si>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</si>
  <si>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</si>
  <si>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</si>
  <si>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</si>
  <si>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</si>
  <si>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</si>
  <si>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</si>
  <si>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</si>
  <si>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</si>
  <si>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</si>
  <si>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</si>
  <si>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</si>
  <si>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</si>
  <si>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</si>
  <si>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</si>
  <si>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</si>
  <si>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</si>
  <si>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</si>
  <si>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</si>
  <si>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</si>
  <si>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</si>
  <si>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</si>
  <si>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</si>
  <si>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</si>
  <si>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</si>
  <si>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</si>
  <si>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</si>
  <si>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</si>
  <si>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</si>
  <si>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</si>
  <si>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</si>
  <si>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</si>
  <si>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</si>
  <si>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</si>
  <si>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</si>
  <si>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</si>
  <si>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</si>
  <si>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</si>
  <si>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</si>
  <si>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</si>
  <si>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</si>
  <si>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</si>
  <si>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</si>
  <si>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</si>
  <si>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</si>
  <si>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</si>
  <si>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</si>
  <si>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</si>
  <si>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</si>
  <si>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</si>
  <si>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</si>
  <si>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</si>
  <si>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</si>
  <si>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</si>
  <si>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</si>
  <si>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</si>
  <si>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</si>
  <si>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</si>
  <si>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</si>
  <si>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</si>
  <si>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</si>
  <si>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</si>
  <si>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</si>
  <si>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</si>
  <si>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</si>
  <si>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</si>
  <si>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</si>
  <si>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</si>
  <si>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</si>
  <si>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</si>
  <si>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</si>
  <si>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</si>
  <si>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</si>
  <si>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</si>
  <si>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</si>
  <si>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</si>
  <si>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</si>
  <si>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</si>
  <si>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</si>
  <si>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</si>
  <si>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</si>
  <si>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</si>
  <si>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</si>
  <si>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</si>
  <si>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</si>
  <si>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</si>
  <si>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</si>
  <si>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</si>
  <si>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</si>
  <si>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</si>
  <si>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</si>
  <si>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</si>
  <si>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</si>
  <si>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</si>
  <si>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</si>
  <si>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</si>
  <si>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</si>
  <si>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</si>
  <si>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</si>
  <si>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</si>
  <si>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</si>
  <si>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</si>
  <si>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</si>
  <si>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</si>
  <si>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</si>
  <si>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</si>
  <si>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</si>
  <si>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</si>
  <si>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</si>
  <si>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</si>
  <si>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</si>
  <si>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</si>
  <si>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</si>
  <si>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</si>
  <si>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</si>
  <si>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</si>
  <si>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</si>
  <si>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</si>
  <si>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</si>
  <si>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</si>
  <si>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</si>
  <si>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</si>
  <si>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</si>
  <si>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</si>
  <si>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</si>
  <si>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</si>
  <si>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</si>
  <si>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</si>
  <si>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</si>
  <si>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</si>
  <si>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</si>
  <si>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</si>
  <si>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</si>
  <si>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</si>
  <si>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</si>
  <si>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</si>
  <si>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</si>
  <si>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</si>
  <si>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</si>
  <si>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</si>
  <si>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</si>
  <si>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</si>
  <si>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</si>
  <si>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</si>
  <si>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</si>
  <si>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</si>
  <si>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</si>
  <si>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</si>
  <si>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</si>
  <si>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</si>
  <si>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</si>
  <si>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</si>
  <si>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</si>
  <si>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</si>
  <si>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</si>
  <si>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</si>
  <si>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</si>
  <si>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</si>
  <si>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</si>
  <si>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</si>
  <si>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</si>
  <si>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</si>
  <si>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</si>
  <si>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</si>
  <si>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</si>
  <si>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</si>
  <si>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</si>
  <si>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</si>
  <si>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</si>
  <si>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</si>
  <si>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</si>
  <si>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</si>
  <si>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</si>
  <si>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</si>
  <si>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</si>
  <si>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</si>
  <si>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</si>
  <si>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</si>
  <si>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</si>
  <si>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</si>
  <si>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</si>
  <si>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</si>
  <si>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</si>
  <si>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</si>
  <si>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</si>
  <si>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</si>
  <si>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</si>
  <si>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</si>
  <si>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</si>
  <si>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</si>
  <si>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</si>
  <si>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</si>
  <si>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</si>
  <si>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</si>
  <si>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</si>
  <si>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</si>
  <si>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</si>
  <si>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</si>
  <si>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</si>
  <si>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</si>
  <si>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</si>
  <si>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</si>
  <si>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</si>
  <si>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</si>
  <si>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</si>
  <si>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</si>
  <si>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</si>
  <si>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</si>
  <si>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</si>
  <si>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</si>
  <si>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</si>
  <si>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</si>
  <si>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</si>
  <si>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</si>
  <si>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</si>
  <si>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</si>
  <si>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</si>
  <si>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</si>
  <si>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</si>
  <si>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</si>
  <si>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</si>
  <si>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</si>
  <si>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</si>
  <si>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</si>
  <si>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</si>
  <si>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</si>
  <si>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</si>
  <si>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</si>
  <si>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</si>
  <si>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</si>
  <si>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</si>
  <si>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</si>
  <si>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</si>
  <si>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</si>
  <si>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</si>
  <si>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</si>
  <si>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</si>
  <si>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</si>
  <si>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</si>
  <si>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</si>
  <si>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</si>
  <si>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</si>
  <si>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</si>
  <si>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</si>
  <si>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</si>
  <si>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</si>
  <si>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</si>
  <si>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</si>
  <si>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</si>
  <si>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</si>
  <si>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</si>
  <si>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</si>
  <si>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</si>
  <si>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</si>
  <si>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</si>
  <si>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</si>
  <si>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</si>
  <si>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</si>
  <si>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</si>
  <si>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</si>
  <si>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</si>
  <si>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</si>
  <si>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</si>
  <si>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</si>
  <si>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</si>
  <si>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</si>
  <si>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</si>
  <si>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</si>
  <si>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</si>
  <si>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</si>
  <si>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</si>
  <si>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</si>
  <si>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</si>
  <si>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</si>
  <si>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</si>
  <si>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</si>
  <si>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</si>
  <si>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</si>
  <si>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</si>
  <si>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</si>
  <si>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</si>
  <si>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</si>
  <si>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</si>
  <si>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</si>
  <si>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</si>
  <si>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</si>
  <si>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</si>
  <si>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</si>
  <si>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</si>
  <si>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</si>
  <si>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</si>
  <si>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</si>
  <si>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</si>
  <si>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</si>
  <si>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</si>
  <si>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</si>
  <si>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</si>
  <si>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</si>
  <si>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</si>
  <si>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</si>
  <si>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</si>
  <si>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</si>
  <si>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</si>
  <si>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</si>
  <si>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</si>
  <si>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</si>
  <si>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</si>
  <si>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</si>
  <si>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</si>
  <si>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</si>
  <si>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</si>
  <si>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</si>
  <si>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</si>
  <si>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</si>
  <si>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</si>
  <si>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</si>
  <si>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</si>
  <si>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</si>
  <si>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</si>
  <si>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</si>
  <si>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</si>
  <si>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</si>
  <si>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</si>
  <si>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</si>
  <si>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</si>
  <si>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</si>
  <si>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</si>
  <si>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</si>
  <si>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</si>
  <si>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</si>
  <si>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</si>
  <si>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</si>
  <si>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</si>
  <si>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</si>
  <si>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</si>
  <si>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</si>
  <si>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</si>
  <si>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</si>
  <si>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</si>
  <si>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</si>
  <si>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</si>
  <si>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</si>
  <si>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</si>
  <si>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</si>
  <si>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</si>
  <si>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</si>
  <si>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</si>
  <si>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</si>
  <si>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</si>
  <si>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</si>
  <si>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</si>
  <si>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</si>
  <si>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</si>
  <si>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</si>
  <si>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</si>
  <si>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</si>
  <si>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</si>
  <si>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</si>
  <si>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</si>
  <si>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</si>
  <si>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</si>
  <si>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</si>
  <si>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</si>
  <si>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</si>
  <si>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</si>
  <si>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</si>
  <si>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</si>
  <si>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</si>
  <si>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</si>
  <si>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</si>
  <si>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</si>
  <si>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</si>
  <si>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</si>
  <si>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</si>
  <si>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</si>
  <si>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</si>
  <si>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</si>
  <si>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</si>
  <si>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</si>
  <si>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</si>
  <si>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</si>
  <si>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</si>
  <si>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</si>
  <si>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</si>
  <si>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</si>
  <si>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</si>
  <si>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</si>
  <si>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</si>
  <si>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</si>
  <si>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</si>
  <si>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</si>
  <si>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</si>
  <si>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</si>
  <si>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</si>
  <si>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</si>
  <si>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</si>
  <si>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</si>
  <si>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</si>
  <si>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</si>
  <si>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</si>
  <si>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</si>
  <si>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</si>
  <si>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</si>
  <si>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</si>
  <si>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</si>
  <si>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</si>
  <si>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</si>
  <si>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</si>
  <si>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</si>
  <si>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</si>
  <si>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</si>
  <si>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</si>
  <si>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</si>
  <si>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</si>
  <si>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</si>
  <si>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</si>
  <si>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</si>
  <si>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</si>
  <si>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</si>
  <si>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</si>
  <si>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</si>
  <si>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</si>
  <si>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</si>
  <si>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</si>
  <si>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</si>
  <si>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</si>
  <si>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</si>
  <si>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</si>
  <si>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</si>
  <si>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</si>
  <si>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</si>
  <si>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</si>
  <si>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</si>
  <si>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</si>
  <si>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</si>
  <si>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</si>
  <si>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</si>
  <si>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</si>
  <si>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</si>
  <si>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</si>
  <si>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</si>
  <si>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</si>
  <si>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</si>
  <si>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</si>
  <si>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</si>
  <si>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</si>
  <si>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</si>
  <si>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</si>
  <si>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</si>
  <si>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</si>
  <si>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</si>
  <si>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</si>
  <si>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</si>
  <si>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</si>
  <si>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</si>
  <si>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</si>
  <si>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</si>
  <si>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</si>
  <si>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</si>
  <si>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</si>
  <si>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</si>
  <si>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</si>
  <si>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</si>
  <si>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</si>
  <si>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</si>
  <si>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</si>
  <si>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</si>
  <si>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</si>
  <si>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</si>
  <si>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</si>
  <si>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</si>
  <si>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</si>
  <si>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</si>
  <si>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</si>
  <si>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</si>
  <si>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</si>
  <si>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</si>
  <si>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</si>
  <si>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</si>
  <si>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</si>
  <si>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</si>
  <si>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</si>
  <si>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</si>
  <si>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</si>
  <si>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</si>
  <si>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</si>
  <si>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</si>
  <si>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</si>
  <si>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</si>
  <si>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</si>
  <si>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</si>
  <si>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</si>
  <si>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</si>
  <si>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</si>
  <si>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</si>
  <si>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</si>
  <si>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</si>
  <si>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</si>
  <si>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</si>
  <si>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</si>
  <si>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</si>
  <si>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</si>
  <si>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</si>
  <si>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</si>
  <si>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</si>
  <si>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</si>
  <si>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</si>
  <si>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</si>
  <si>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</si>
  <si>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</si>
  <si>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</si>
  <si>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</si>
  <si>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</si>
  <si>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</si>
  <si>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</si>
  <si>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</si>
  <si>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</si>
  <si>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</si>
  <si>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</si>
  <si>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</si>
  <si>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</si>
  <si>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</si>
  <si>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</si>
  <si>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</si>
  <si>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</si>
  <si>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</si>
  <si>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</si>
  <si>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</si>
  <si>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</si>
  <si>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</si>
  <si>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</si>
  <si>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</si>
  <si>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</si>
  <si>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</si>
  <si>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</si>
  <si>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</si>
  <si>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</si>
  <si>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</si>
  <si>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</si>
  <si>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</si>
  <si>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</si>
  <si>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</si>
  <si>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</si>
  <si>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</si>
  <si>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</si>
  <si>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</si>
  <si>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</si>
  <si>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</si>
  <si>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</si>
  <si>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</si>
  <si>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</si>
  <si>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</si>
  <si>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</si>
  <si>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</si>
  <si>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</si>
  <si>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</si>
  <si>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</si>
  <si>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</si>
  <si>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</si>
  <si>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</si>
  <si>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</si>
  <si>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</si>
  <si>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</si>
  <si>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</si>
  <si>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</si>
  <si>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</si>
  <si>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</si>
  <si>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</si>
  <si>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</si>
  <si>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</si>
  <si>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</si>
  <si>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</si>
  <si>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</si>
  <si>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</si>
  <si>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</si>
  <si>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</si>
  <si>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</si>
  <si>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</si>
  <si>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</si>
  <si>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</si>
  <si>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</si>
  <si>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</si>
  <si>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</si>
  <si>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</si>
  <si>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</si>
  <si>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</si>
  <si>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</si>
  <si>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</si>
  <si>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</si>
  <si>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</si>
  <si>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</si>
  <si>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</si>
  <si>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</si>
  <si>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</si>
  <si>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</si>
  <si>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</si>
  <si>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</si>
  <si>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</si>
  <si>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</si>
  <si>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</si>
  <si>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</si>
  <si>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</si>
  <si>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</si>
  <si>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</si>
  <si>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</si>
  <si>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</si>
  <si>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</si>
  <si>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</si>
  <si>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</si>
  <si>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</si>
  <si>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</si>
  <si>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</si>
  <si>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</si>
  <si>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</si>
  <si>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</si>
  <si>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</si>
  <si>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</si>
  <si>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</si>
  <si>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</si>
  <si>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</si>
  <si>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</si>
  <si>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</si>
  <si>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</si>
  <si>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</si>
  <si>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</si>
  <si>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</si>
  <si>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</si>
  <si>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</si>
  <si>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</si>
  <si>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</si>
  <si>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</si>
  <si>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</si>
  <si>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</si>
  <si>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</si>
  <si>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</si>
  <si>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</si>
  <si>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</si>
  <si>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</si>
  <si>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</si>
  <si>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</si>
  <si>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</si>
  <si>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</si>
  <si>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</si>
  <si>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</si>
  <si>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</si>
  <si>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</si>
  <si>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</si>
  <si>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</si>
  <si>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</si>
  <si>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</si>
  <si>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</si>
  <si>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</si>
  <si>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</si>
  <si>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</si>
  <si>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</si>
  <si>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</si>
  <si>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</si>
  <si>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</si>
  <si>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</si>
  <si>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</si>
  <si>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</si>
  <si>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</si>
  <si>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</si>
  <si>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</si>
  <si>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</si>
  <si>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</si>
  <si>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</si>
  <si>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</si>
  <si>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</si>
  <si>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</si>
  <si>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</si>
  <si>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</si>
  <si>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</si>
  <si>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</si>
  <si>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</si>
  <si>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</si>
  <si>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</si>
  <si>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</si>
  <si>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</si>
  <si>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</si>
  <si>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</si>
  <si>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</si>
  <si>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</si>
  <si>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</si>
  <si>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</si>
  <si>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</si>
  <si>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</si>
  <si>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</si>
  <si>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</si>
  <si>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</si>
  <si>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</si>
  <si>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</si>
  <si>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</si>
  <si>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</si>
  <si>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</si>
  <si>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</si>
  <si>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</si>
  <si>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</si>
  <si>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</si>
  <si>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</si>
  <si>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</si>
  <si>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</si>
  <si>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</si>
  <si>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</si>
  <si>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</si>
  <si>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</si>
  <si>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</si>
  <si>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</si>
  <si>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</si>
  <si>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</si>
  <si>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</si>
  <si>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</si>
  <si>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</si>
  <si>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</si>
  <si>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</si>
  <si>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</si>
  <si>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</si>
  <si>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</si>
  <si>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</si>
  <si>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</si>
  <si>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</si>
  <si>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</si>
  <si>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</si>
  <si>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</si>
  <si>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</si>
  <si>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</si>
  <si>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</si>
  <si>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</si>
  <si>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</si>
  <si>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</si>
  <si>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</si>
  <si>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</si>
  <si>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</si>
  <si>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</si>
  <si>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</si>
  <si>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</si>
  <si>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</si>
  <si>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</si>
  <si>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</si>
  <si>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</si>
  <si>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</si>
  <si>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</si>
  <si>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</si>
  <si>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</si>
  <si>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</si>
  <si>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</si>
  <si>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</si>
  <si>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</si>
  <si>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</si>
  <si>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</si>
  <si>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</si>
  <si>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</si>
  <si>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</si>
  <si>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</si>
  <si>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</si>
  <si>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</si>
  <si>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</si>
  <si>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</si>
  <si>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</si>
  <si>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</si>
  <si>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</si>
  <si>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</si>
  <si>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</si>
  <si>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</si>
  <si>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</si>
  <si>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</si>
  <si>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</si>
  <si>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</si>
  <si>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</si>
  <si>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</si>
  <si>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</si>
  <si>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</si>
  <si>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</si>
  <si>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</si>
  <si>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</si>
  <si>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</si>
  <si>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</si>
  <si>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</si>
  <si>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</si>
  <si>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</si>
  <si>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</si>
  <si>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</si>
  <si>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</si>
  <si>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</si>
  <si>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</si>
  <si>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</si>
  <si>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</si>
  <si>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</si>
  <si>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</si>
  <si>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</si>
  <si>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</si>
  <si>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</si>
  <si>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</si>
  <si>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</si>
  <si>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</si>
  <si>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</si>
  <si>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</si>
  <si>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</si>
  <si>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</si>
  <si>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</si>
  <si>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</si>
  <si>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</si>
  <si>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</si>
  <si>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</si>
  <si>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</si>
  <si>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</si>
  <si>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</si>
  <si>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</si>
  <si>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</si>
  <si>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</si>
  <si>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</si>
  <si>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</si>
  <si>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</si>
  <si>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</si>
  <si>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</si>
  <si>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</si>
  <si>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</si>
  <si>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</si>
  <si>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</si>
  <si>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</si>
  <si>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</si>
  <si>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</si>
  <si>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</si>
  <si>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</si>
  <si>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</si>
  <si>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</si>
  <si>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</si>
  <si>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</si>
  <si>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</si>
  <si>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</si>
  <si>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</si>
  <si>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</si>
  <si>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</si>
  <si>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</si>
  <si>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</si>
  <si>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</si>
  <si>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</si>
  <si>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</si>
  <si>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</si>
  <si>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</si>
  <si>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</si>
  <si>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</si>
  <si>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</si>
  <si>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</si>
  <si>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</si>
  <si>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</si>
  <si>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</si>
  <si>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</si>
  <si>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</si>
  <si>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</si>
  <si>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</si>
  <si>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</si>
  <si>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</si>
  <si>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</si>
  <si>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</si>
  <si>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</si>
  <si>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</si>
  <si>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</si>
  <si>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</si>
  <si>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</si>
  <si>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</si>
  <si>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</si>
  <si>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</si>
  <si>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</si>
  <si>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</si>
  <si>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</si>
  <si>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</si>
  <si>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</si>
  <si>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</si>
  <si>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</si>
  <si>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</si>
  <si>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</si>
  <si>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</si>
  <si>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</si>
  <si>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</si>
  <si>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</si>
  <si>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</si>
  <si>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</si>
  <si>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</si>
  <si>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</si>
  <si>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</si>
  <si>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</si>
  <si>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</si>
  <si>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</si>
  <si>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</si>
  <si>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</si>
  <si>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</si>
  <si>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</si>
  <si>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</si>
  <si>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</si>
  <si>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</si>
  <si>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</si>
  <si>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</si>
  <si>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</si>
  <si>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</si>
  <si>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</si>
  <si>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</si>
  <si>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</si>
  <si>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</si>
  <si>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</si>
  <si>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</si>
  <si>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</si>
  <si>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</si>
  <si>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</si>
  <si>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</si>
  <si>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</si>
  <si>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</si>
  <si>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</si>
  <si>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</si>
  <si>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</si>
  <si>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</si>
  <si>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</si>
  <si>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</si>
  <si>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</si>
  <si>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</si>
  <si>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</si>
  <si>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</si>
  <si>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</si>
  <si>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</si>
  <si>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</si>
  <si>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</si>
  <si>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</si>
  <si>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</si>
  <si>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</si>
  <si>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</si>
  <si>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</si>
  <si>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</si>
  <si>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</si>
  <si>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</si>
  <si>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</si>
  <si>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</si>
  <si>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</si>
  <si>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</si>
  <si>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</si>
  <si>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</si>
  <si>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</si>
  <si>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</si>
  <si>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</si>
  <si>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</si>
  <si>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</si>
  <si>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</si>
  <si>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</si>
  <si>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</si>
  <si>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</si>
  <si>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</si>
  <si>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</si>
  <si>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</si>
  <si>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</si>
  <si>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</si>
  <si>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</si>
  <si>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</si>
  <si>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</si>
  <si>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</si>
  <si>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</si>
  <si>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</si>
  <si>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</si>
  <si>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</si>
  <si>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</si>
  <si>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</si>
  <si>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</si>
  <si>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</si>
  <si>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</si>
  <si>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</si>
  <si>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</si>
  <si>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</si>
  <si>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</si>
  <si>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</si>
  <si>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</si>
  <si>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</si>
  <si>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</si>
  <si>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</si>
  <si>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</si>
  <si>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</si>
  <si>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</si>
  <si>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</si>
  <si>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</si>
  <si>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</si>
  <si>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</si>
  <si>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</si>
  <si>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</si>
  <si>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</si>
  <si>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</si>
  <si>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</si>
  <si>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</si>
  <si>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</si>
  <si>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</si>
  <si>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</si>
  <si>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</si>
  <si>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</si>
  <si>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</si>
  <si>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</si>
  <si>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</si>
  <si>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</si>
  <si>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</si>
  <si>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</si>
  <si>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</si>
  <si>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</si>
  <si>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</si>
  <si>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</si>
  <si>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</si>
  <si>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</si>
  <si>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</si>
  <si>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</si>
  <si>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</si>
  <si>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</si>
  <si>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</si>
  <si>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</si>
  <si>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</si>
  <si>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</si>
  <si>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</si>
  <si>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</si>
  <si>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</si>
  <si>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</si>
  <si>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</si>
  <si>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</si>
  <si>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</si>
  <si>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</si>
  <si>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</si>
  <si>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</si>
  <si>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</si>
  <si>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</si>
  <si>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</si>
  <si>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</si>
  <si>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</si>
  <si>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</si>
  <si>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</si>
  <si>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</si>
  <si>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</si>
  <si>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</si>
  <si>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</si>
  <si>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</si>
  <si>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</si>
  <si>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</si>
  <si>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</si>
  <si>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</si>
  <si>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</si>
  <si>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</si>
  <si>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</si>
  <si>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</si>
  <si>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</si>
  <si>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</si>
  <si>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</si>
  <si>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</si>
  <si>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</si>
  <si>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</si>
  <si>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</si>
  <si>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</si>
  <si>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</si>
  <si>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</si>
  <si>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</si>
  <si>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</si>
  <si>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</si>
  <si>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</si>
  <si>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</si>
  <si>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</si>
  <si>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</si>
  <si>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</si>
  <si>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</si>
  <si>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</si>
  <si>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</si>
  <si>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</si>
  <si>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</si>
  <si>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</si>
  <si>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</si>
  <si>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</si>
  <si>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</si>
  <si>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</si>
  <si>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</si>
  <si>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</si>
  <si>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</si>
  <si>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</si>
  <si>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</si>
  <si>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</si>
  <si>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</si>
  <si>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</si>
  <si>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</si>
  <si>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</si>
  <si>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</si>
  <si>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</si>
  <si>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</si>
  <si>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</si>
  <si>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</si>
  <si>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</si>
  <si>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</si>
  <si>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</si>
  <si>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</si>
  <si>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</si>
  <si>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</si>
  <si>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</si>
  <si>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</si>
  <si>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</si>
  <si>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</si>
  <si>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</si>
  <si>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</si>
  <si>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</si>
  <si>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</si>
  <si>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</si>
  <si>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</si>
  <si>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</si>
  <si>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</si>
  <si>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</si>
  <si>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</si>
  <si>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</si>
  <si>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</si>
  <si>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</si>
  <si>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</si>
  <si>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</si>
  <si>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</si>
  <si>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</si>
  <si>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</si>
  <si>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</si>
  <si>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</si>
  <si>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</si>
  <si>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</si>
  <si>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</si>
  <si>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</si>
  <si>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</si>
  <si>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</si>
  <si>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</si>
  <si>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</si>
  <si>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</si>
  <si>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</si>
  <si>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</si>
  <si>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</si>
  <si>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</si>
  <si>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</si>
  <si>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</si>
  <si>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</si>
  <si>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</si>
  <si>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</si>
  <si>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</si>
  <si>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</si>
  <si>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</si>
  <si>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</si>
  <si>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</si>
  <si>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</si>
  <si>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</si>
  <si>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</si>
  <si>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</si>
  <si>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</si>
  <si>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</si>
  <si>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</si>
  <si>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</si>
  <si>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</si>
  <si>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</si>
  <si>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</si>
  <si>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</si>
  <si>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</si>
  <si>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</si>
  <si>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</si>
  <si>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</si>
  <si>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</si>
  <si>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</si>
  <si>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</si>
  <si>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</si>
  <si>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</si>
  <si>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</si>
  <si>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</si>
  <si>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</si>
  <si>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</si>
  <si>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</si>
  <si>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</si>
  <si>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</si>
  <si>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</si>
  <si>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</si>
  <si>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</si>
  <si>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</si>
  <si>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</si>
  <si>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</si>
  <si>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</si>
  <si>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</si>
  <si>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</si>
  <si>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</si>
  <si>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</si>
  <si>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</si>
  <si>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</si>
  <si>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</si>
  <si>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</si>
  <si>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</si>
  <si>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</si>
  <si>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</si>
  <si>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</si>
  <si>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</si>
  <si>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</si>
  <si>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</si>
  <si>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</si>
  <si>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</si>
  <si>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</si>
  <si>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</si>
  <si>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</si>
  <si>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</si>
  <si>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</si>
  <si>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</si>
  <si>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</si>
  <si>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</si>
  <si>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</si>
  <si>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</si>
  <si>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</si>
  <si>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</si>
  <si>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</si>
  <si>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</si>
  <si>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</si>
  <si>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</si>
  <si>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</si>
  <si>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</si>
  <si>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</si>
  <si>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</si>
  <si>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</si>
  <si>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</si>
  <si>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</si>
  <si>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</si>
  <si>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</si>
  <si>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</si>
  <si>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</si>
  <si>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</si>
  <si>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</si>
  <si>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</si>
  <si>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</si>
  <si>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</si>
  <si>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</si>
  <si>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</si>
  <si>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</si>
  <si>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</si>
  <si>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</si>
  <si>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</si>
  <si>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</si>
  <si>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</si>
  <si>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</si>
  <si>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</si>
  <si>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</si>
  <si>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</si>
  <si>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</si>
  <si>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</si>
  <si>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</si>
  <si>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</si>
  <si>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</si>
  <si>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</si>
  <si>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</si>
  <si>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</si>
  <si>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</si>
  <si>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</si>
  <si>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</si>
  <si>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</si>
  <si>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</si>
  <si>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</si>
  <si>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</si>
  <si>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</si>
  <si>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</si>
  <si>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</si>
  <si>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</si>
  <si>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</si>
  <si>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</si>
  <si>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</si>
  <si>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</si>
  <si>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</si>
  <si>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</si>
  <si>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</si>
  <si>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</si>
  <si>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</si>
  <si>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</si>
  <si>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</si>
  <si>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</si>
  <si>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</si>
  <si>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</si>
  <si>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</si>
  <si>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</si>
  <si>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</si>
  <si>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</si>
  <si>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</si>
  <si>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</si>
  <si>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</si>
  <si>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</si>
  <si>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</si>
  <si>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</si>
  <si>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</si>
  <si>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</si>
  <si>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</si>
  <si>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</si>
  <si>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</si>
  <si>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</si>
  <si>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</si>
  <si>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</si>
  <si>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</si>
  <si>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</si>
  <si>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</si>
  <si>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</si>
  <si>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</si>
  <si>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</si>
  <si>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</si>
  <si>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</si>
  <si>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</si>
  <si>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</si>
  <si>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</si>
  <si>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</si>
  <si>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</si>
  <si>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</si>
  <si>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</si>
  <si>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</si>
  <si>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</si>
  <si>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</si>
  <si>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</si>
  <si>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</si>
  <si>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</si>
  <si>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</si>
  <si>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</si>
  <si>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</si>
  <si>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</si>
  <si>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</si>
  <si>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</si>
  <si>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</si>
  <si>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</si>
  <si>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</si>
  <si>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</si>
  <si>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</si>
  <si>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</si>
  <si>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</si>
  <si>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</si>
  <si>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</si>
  <si>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</si>
  <si>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</si>
  <si>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</si>
  <si>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</si>
  <si>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</si>
  <si>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</si>
  <si>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</si>
  <si>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</si>
  <si>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</si>
  <si>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</si>
  <si>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</si>
  <si>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</si>
  <si>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</si>
  <si>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</si>
  <si>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</si>
  <si>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</si>
  <si>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</si>
  <si>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</si>
  <si>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</si>
  <si>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</si>
  <si>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</si>
  <si>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</si>
  <si>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</si>
  <si>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</si>
  <si>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</si>
  <si>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</si>
  <si>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</si>
  <si>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</si>
  <si>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</si>
  <si>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</si>
  <si>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</si>
  <si>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</si>
  <si>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</si>
  <si>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</si>
  <si>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</si>
  <si>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</si>
  <si>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</si>
  <si>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</si>
  <si>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</si>
  <si>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</si>
  <si>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</si>
  <si>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</si>
  <si>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</si>
  <si>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</si>
  <si>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</si>
  <si>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</si>
  <si>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</si>
  <si>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</si>
  <si>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</si>
  <si>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</si>
  <si>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</si>
  <si>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</si>
  <si>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</si>
  <si>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</si>
  <si>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</si>
  <si>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</si>
  <si>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</si>
  <si>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</si>
  <si>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</si>
  <si>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</si>
  <si>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</si>
  <si>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</si>
  <si>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</si>
  <si>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</si>
  <si>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</si>
  <si>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</si>
  <si>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</si>
  <si>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</si>
  <si>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</si>
  <si>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</si>
  <si>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</si>
  <si>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</si>
  <si>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</si>
  <si>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</si>
  <si>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</si>
  <si>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</si>
  <si>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</si>
  <si>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</si>
  <si>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</si>
  <si>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</si>
  <si>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</si>
  <si>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</si>
  <si>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</si>
  <si>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</si>
  <si>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</si>
  <si>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</si>
  <si>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</si>
  <si>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</si>
  <si>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</si>
  <si>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</si>
  <si>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</si>
  <si>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</si>
  <si>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</si>
  <si>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</si>
  <si>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</si>
  <si>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</si>
  <si>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</si>
  <si>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</si>
  <si>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</si>
  <si>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</si>
  <si>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</si>
  <si>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</si>
  <si>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</si>
  <si>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</si>
  <si>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</si>
  <si>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</si>
  <si>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</si>
  <si>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</si>
  <si>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</si>
  <si>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</si>
  <si>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</si>
  <si>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</si>
  <si>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</si>
  <si>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</si>
  <si>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</si>
  <si>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</si>
  <si>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</si>
  <si>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</si>
  <si>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</si>
  <si>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</si>
  <si>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</si>
  <si>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</si>
  <si>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</si>
  <si>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</si>
  <si>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</si>
  <si>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</si>
  <si>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</si>
  <si>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</si>
  <si>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</si>
  <si>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</si>
  <si>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</si>
  <si>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</si>
  <si>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</si>
  <si>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</si>
  <si>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</si>
  <si>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</si>
  <si>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</si>
  <si>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</si>
  <si>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</si>
  <si>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</si>
  <si>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</si>
  <si>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</si>
  <si>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</si>
  <si>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</si>
  <si>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</si>
  <si>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</si>
  <si>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</si>
  <si>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</si>
  <si>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</si>
  <si>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</si>
  <si>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</si>
  <si>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</si>
  <si>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</si>
  <si>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</si>
  <si>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</si>
  <si>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</si>
  <si>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</si>
  <si>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</si>
  <si>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</si>
  <si>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</si>
  <si>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</si>
  <si>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</si>
  <si>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</si>
  <si>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</si>
  <si>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</si>
  <si>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</si>
  <si>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</si>
  <si>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</si>
  <si>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</si>
  <si>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</si>
  <si>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</si>
  <si>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</si>
  <si>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</si>
  <si>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</si>
  <si>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</si>
  <si>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</si>
  <si>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</si>
  <si>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</si>
  <si>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</si>
  <si>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</si>
  <si>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</si>
  <si>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</si>
  <si>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</si>
  <si>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</si>
  <si>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</si>
  <si>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</si>
  <si>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</si>
  <si>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</si>
  <si>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</si>
  <si>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</si>
  <si>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</si>
  <si>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</si>
  <si>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</si>
  <si>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</si>
  <si>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</si>
  <si>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</si>
  <si>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</si>
  <si>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</si>
  <si>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</si>
  <si>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</si>
  <si>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</si>
  <si>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</si>
  <si>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</si>
  <si>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</si>
  <si>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</si>
  <si>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</si>
  <si>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</si>
  <si>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</si>
  <si>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</si>
  <si>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</si>
  <si>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</si>
  <si>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</si>
  <si>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</si>
  <si>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</si>
  <si>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</si>
  <si>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</si>
  <si>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</si>
  <si>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</si>
  <si>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</si>
  <si>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</si>
  <si>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</si>
  <si>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</si>
  <si>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</si>
  <si>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</si>
  <si>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</si>
  <si>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</si>
  <si>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</si>
  <si>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</si>
  <si>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</si>
  <si>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</si>
  <si>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</si>
  <si>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</si>
  <si>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</si>
  <si>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</si>
  <si>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</si>
  <si>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</si>
  <si>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</si>
  <si>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</si>
  <si>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</si>
  <si>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</si>
  <si>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</si>
  <si>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</si>
  <si>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</si>
  <si>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</si>
  <si>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</si>
  <si>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</si>
  <si>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</si>
  <si>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</si>
  <si>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</si>
  <si>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</si>
  <si>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</si>
  <si>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</si>
  <si>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</si>
  <si>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</si>
  <si>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</si>
  <si>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</si>
  <si>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</si>
  <si>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</si>
  <si>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</si>
  <si>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</si>
  <si>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</si>
  <si>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</si>
  <si>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</si>
  <si>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</si>
  <si>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</si>
  <si>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</si>
  <si>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</si>
  <si>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</si>
  <si>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</si>
  <si>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</si>
  <si>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</si>
  <si>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</si>
  <si>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</si>
  <si>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</si>
  <si>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</si>
  <si>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</si>
  <si>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</si>
  <si>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</si>
  <si>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</si>
  <si>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</si>
  <si>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</si>
  <si>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</si>
  <si>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</si>
  <si>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</si>
  <si>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</si>
  <si>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</si>
  <si>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</si>
  <si>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</si>
  <si>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</si>
  <si>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</si>
  <si>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</si>
  <si>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</si>
  <si>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</si>
  <si>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</si>
  <si>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</si>
  <si>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</si>
  <si>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</si>
  <si>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</si>
  <si>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</si>
  <si>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</si>
  <si>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</si>
  <si>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</si>
  <si>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</si>
  <si>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</si>
  <si>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</si>
  <si>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</si>
  <si>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</si>
  <si>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</si>
  <si>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</si>
  <si>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</si>
  <si>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</si>
  <si>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</si>
  <si>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</si>
  <si>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</si>
  <si>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</si>
  <si>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</si>
  <si>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</si>
  <si>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</si>
  <si>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</si>
  <si>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</si>
  <si>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</si>
  <si>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</si>
  <si>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</si>
  <si>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</si>
  <si>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</si>
  <si>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</si>
  <si>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</si>
  <si>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</si>
  <si>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</si>
  <si>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</si>
  <si>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</si>
  <si>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</si>
  <si>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</si>
  <si>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</si>
  <si>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</si>
  <si>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</si>
  <si>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</si>
  <si>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</si>
  <si>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</si>
  <si>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</si>
  <si>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</si>
  <si>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</si>
  <si>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</si>
  <si>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</si>
  <si>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</si>
  <si>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</si>
  <si>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</si>
  <si>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</si>
  <si>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</si>
  <si>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</si>
  <si>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</si>
  <si>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</si>
  <si>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</si>
  <si>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</si>
  <si>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</si>
  <si>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</si>
  <si>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</si>
  <si>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</si>
  <si>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</si>
  <si>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</si>
  <si>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</si>
  <si>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</si>
  <si>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</si>
  <si>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</si>
  <si>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</si>
  <si>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</si>
  <si>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</si>
  <si>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</si>
  <si>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</si>
  <si>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</si>
  <si>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</si>
  <si>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</si>
  <si>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</si>
  <si>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</si>
  <si>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</si>
  <si>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</si>
  <si>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</si>
  <si>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</si>
  <si>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</si>
  <si>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</si>
  <si>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</si>
  <si>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</si>
  <si>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</si>
  <si>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</si>
  <si>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</si>
  <si>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</si>
  <si>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</si>
  <si>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</si>
  <si>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</si>
  <si>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</si>
  <si>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</si>
  <si>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</si>
  <si>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</si>
  <si>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</si>
  <si>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</si>
  <si>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</si>
  <si>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</si>
  <si>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</si>
  <si>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</si>
  <si>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</si>
  <si>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</si>
  <si>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</si>
  <si>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</si>
  <si>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</si>
  <si>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</si>
  <si>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</si>
  <si>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</si>
  <si>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</si>
  <si>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</si>
  <si>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</si>
  <si>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</si>
  <si>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</si>
  <si>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</si>
  <si>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</si>
  <si>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</si>
  <si>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</si>
  <si>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</si>
  <si>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</si>
  <si>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</si>
  <si>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</si>
  <si>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</si>
  <si>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</si>
  <si>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</si>
  <si>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</si>
  <si>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</si>
  <si>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</si>
  <si>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</si>
  <si>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</si>
  <si>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</si>
  <si>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</si>
  <si>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</si>
  <si>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</si>
  <si>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</si>
  <si>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</si>
  <si>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</si>
  <si>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</si>
  <si>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</si>
  <si>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</si>
  <si>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</si>
  <si>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</si>
  <si>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</si>
  <si>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</si>
  <si>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</si>
  <si>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</si>
  <si>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</si>
  <si>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</si>
  <si>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</si>
  <si>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</si>
  <si>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</si>
  <si>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</si>
  <si>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</si>
  <si>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</si>
  <si>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</si>
  <si>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</si>
  <si>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</si>
  <si>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</si>
  <si>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</si>
  <si>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</si>
  <si>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</si>
  <si>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</si>
  <si>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</si>
  <si>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</si>
  <si>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</si>
  <si>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</si>
  <si>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</si>
  <si>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</si>
  <si>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</si>
  <si>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</si>
  <si>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</si>
  <si>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</si>
  <si>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</si>
  <si>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</si>
  <si>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</si>
  <si>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</si>
  <si>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</si>
  <si>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</si>
  <si>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</si>
  <si>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</si>
  <si>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</si>
  <si>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</si>
  <si>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</si>
  <si>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</si>
  <si>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</si>
  <si>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</si>
  <si>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</si>
  <si>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</si>
  <si>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</si>
  <si>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</si>
  <si>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</si>
  <si>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</si>
  <si>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</si>
  <si>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</si>
  <si>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</si>
  <si>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</si>
  <si>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</si>
  <si>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</si>
  <si>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</si>
  <si>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</si>
  <si>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</si>
  <si>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</si>
  <si>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</si>
  <si>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</si>
  <si>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</si>
  <si>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</si>
  <si>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</si>
  <si>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</si>
  <si>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</si>
  <si>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</si>
  <si>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</si>
  <si>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</si>
  <si>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</si>
  <si>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</si>
  <si>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</si>
  <si>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</si>
  <si>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</si>
  <si>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</si>
  <si>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</si>
  <si>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</si>
  <si>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</si>
  <si>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</si>
  <si>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</si>
  <si>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</si>
  <si>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</si>
  <si>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</si>
  <si>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</si>
  <si>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</si>
  <si>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</si>
  <si>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</si>
  <si>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</si>
  <si>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</si>
  <si>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</si>
  <si>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</si>
  <si>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</si>
  <si>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</si>
  <si>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</si>
  <si>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</si>
  <si>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</si>
  <si>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</si>
  <si>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</si>
  <si>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</si>
  <si>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</si>
  <si>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</si>
  <si>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</si>
  <si>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</si>
  <si>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</si>
  <si>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</si>
  <si>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</si>
  <si>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</si>
  <si>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</si>
  <si>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</si>
  <si>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</si>
  <si>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</si>
  <si>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</si>
  <si>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</si>
  <si>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</si>
  <si>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</si>
  <si>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</si>
  <si>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</si>
  <si>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</si>
  <si>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</si>
  <si>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</si>
  <si>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</si>
  <si>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</si>
  <si>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</si>
  <si>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</si>
  <si>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</si>
  <si>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</si>
  <si>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</si>
  <si>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</si>
  <si>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</si>
  <si>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</si>
  <si>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</si>
  <si>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</si>
  <si>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</si>
  <si>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</si>
  <si>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</si>
  <si>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</si>
  <si>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</si>
  <si>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</si>
  <si>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</si>
  <si>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</si>
  <si>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</si>
  <si>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</si>
  <si>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</si>
  <si>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</si>
  <si>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</si>
  <si>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</si>
  <si>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</si>
  <si>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</si>
  <si>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</si>
  <si>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</si>
  <si>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</si>
  <si>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</si>
  <si>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</si>
  <si>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</si>
  <si>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</si>
  <si>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</si>
  <si>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</si>
  <si>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</si>
  <si>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</si>
  <si>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</si>
  <si>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</si>
  <si>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</si>
  <si>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</si>
  <si>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</si>
  <si>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</si>
  <si>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</si>
  <si>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</si>
  <si>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</si>
  <si>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</si>
  <si>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</si>
  <si>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</si>
  <si>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</si>
  <si>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</si>
  <si>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</si>
  <si>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</si>
  <si>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</si>
  <si>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</si>
  <si>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</si>
  <si>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</si>
  <si>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</si>
  <si>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</si>
  <si>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</si>
  <si>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</si>
  <si>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</si>
  <si>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</si>
  <si>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</si>
  <si>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</si>
  <si>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</si>
  <si>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</si>
  <si>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</si>
  <si>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</si>
  <si>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</si>
  <si>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</si>
  <si>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</si>
  <si>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</si>
  <si>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</si>
  <si>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</si>
  <si>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</si>
  <si>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</si>
  <si>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</si>
  <si>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</si>
  <si>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</si>
  <si>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</si>
  <si>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</si>
  <si>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</si>
  <si>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</si>
  <si>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</si>
  <si>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</si>
  <si>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</si>
  <si>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</si>
  <si>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</si>
  <si>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</si>
  <si>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</si>
  <si>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</si>
  <si>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</si>
  <si>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</si>
  <si>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</si>
  <si>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</si>
  <si>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</si>
  <si>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</si>
  <si>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</si>
  <si>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</si>
  <si>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</si>
  <si>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</si>
  <si>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</si>
  <si>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</si>
  <si>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</si>
  <si>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</si>
  <si>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</si>
  <si>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</si>
  <si>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</si>
  <si>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</si>
  <si>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</si>
  <si>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</si>
  <si>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</si>
  <si>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</si>
  <si>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</si>
  <si>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</si>
  <si>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</si>
  <si>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</si>
  <si>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</si>
  <si>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</si>
  <si>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</si>
  <si>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</si>
  <si>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</si>
  <si>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</si>
  <si>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</si>
  <si>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</si>
  <si>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</si>
  <si>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</si>
  <si>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</si>
  <si>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</si>
  <si>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</si>
  <si>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</si>
  <si>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</si>
  <si>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</si>
  <si>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</si>
  <si>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</si>
  <si>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</si>
  <si>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</si>
  <si>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</si>
  <si>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</si>
  <si>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</si>
  <si>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</si>
  <si>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</si>
  <si>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</si>
  <si>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</si>
  <si>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</si>
  <si>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</si>
  <si>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</si>
  <si>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</si>
  <si>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</si>
  <si>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</si>
  <si>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</si>
  <si>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</si>
  <si>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</si>
  <si>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</si>
  <si>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</si>
  <si>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</si>
  <si>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</si>
  <si>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</si>
  <si>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</si>
  <si>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</si>
  <si>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</si>
  <si>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</si>
  <si>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</si>
  <si>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</si>
  <si>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</si>
  <si>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</si>
  <si>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</si>
  <si>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</si>
  <si>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</si>
  <si>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</si>
  <si>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</si>
  <si>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</si>
  <si>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</si>
  <si>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</si>
  <si>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</si>
  <si>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</si>
  <si>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</si>
  <si>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</si>
  <si>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</si>
  <si>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</si>
  <si>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</si>
  <si>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</si>
  <si>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</si>
  <si>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</si>
  <si>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</si>
  <si>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</si>
  <si>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</si>
  <si>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</si>
  <si>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</si>
  <si>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</si>
  <si>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</si>
  <si>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</si>
  <si>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</si>
  <si>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</si>
  <si>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</si>
  <si>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</si>
  <si>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</si>
  <si>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</si>
  <si>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</si>
  <si>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</si>
  <si>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</si>
  <si>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</si>
  <si>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</si>
  <si>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</si>
  <si>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</si>
  <si>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</si>
  <si>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</si>
  <si>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</si>
  <si>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</si>
  <si>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</si>
  <si>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</si>
  <si>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</si>
  <si>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</si>
  <si>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</si>
  <si>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</si>
  <si>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</si>
  <si>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</si>
  <si>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</si>
  <si>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</si>
  <si>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</si>
  <si>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</si>
  <si>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</si>
  <si>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</si>
  <si>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</si>
  <si>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</si>
  <si>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</si>
  <si>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</si>
  <si>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</si>
  <si>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</si>
  <si>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</si>
  <si>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</si>
  <si>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</si>
  <si>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</si>
  <si>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</si>
  <si>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</si>
  <si>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</si>
  <si>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</si>
  <si>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</si>
  <si>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</si>
  <si>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</si>
  <si>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</si>
  <si>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</si>
  <si>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</si>
  <si>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</si>
  <si>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</si>
  <si>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</si>
  <si>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</si>
  <si>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</si>
  <si>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</si>
  <si>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</si>
  <si>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</si>
  <si>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</si>
  <si>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</si>
  <si>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</si>
  <si>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</si>
  <si>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</si>
  <si>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</si>
  <si>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</si>
  <si>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</si>
  <si>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</si>
  <si>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</si>
  <si>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</si>
  <si>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</si>
  <si>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</si>
  <si>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</si>
  <si>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</si>
  <si>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</si>
  <si>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</si>
  <si>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</si>
  <si>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</si>
  <si>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</si>
  <si>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</si>
  <si>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</si>
  <si>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</si>
  <si>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</si>
  <si>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</si>
  <si>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</si>
  <si>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</si>
  <si>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</si>
  <si>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</si>
  <si>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</si>
  <si>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</si>
  <si>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</si>
  <si>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</si>
  <si>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</si>
  <si>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</si>
  <si>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</si>
  <si>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</si>
  <si>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</si>
  <si>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</si>
  <si>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</si>
  <si>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</si>
  <si>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</si>
  <si>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</si>
  <si>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</si>
  <si>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</si>
  <si>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</si>
  <si>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</si>
  <si>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</si>
  <si>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</si>
  <si>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</si>
  <si>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</si>
  <si>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</si>
  <si>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</si>
  <si>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</si>
  <si>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</si>
  <si>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</si>
  <si>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</si>
  <si>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</si>
  <si>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</si>
  <si>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</si>
  <si>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</si>
  <si>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</si>
  <si>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</si>
  <si>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</si>
  <si>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</si>
  <si>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</si>
  <si>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</si>
  <si>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</si>
  <si>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</si>
  <si>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</si>
  <si>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</si>
  <si>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</si>
  <si>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</si>
  <si>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</si>
  <si>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</si>
  <si>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</si>
  <si>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</si>
  <si>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</si>
  <si>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</si>
  <si>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</si>
  <si>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</si>
  <si>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</si>
  <si>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</si>
  <si>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</si>
  <si>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</si>
  <si>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</si>
  <si>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</si>
  <si>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</si>
  <si>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</si>
  <si>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</si>
  <si>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</si>
  <si>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</si>
  <si>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</si>
  <si>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</si>
  <si>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</si>
  <si>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</si>
  <si>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</si>
  <si>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</si>
  <si>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</si>
  <si>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</si>
  <si>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</si>
  <si>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</si>
  <si>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</si>
  <si>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</si>
  <si>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</si>
  <si>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</si>
  <si>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</si>
  <si>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</si>
  <si>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</si>
  <si>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</si>
  <si>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</si>
  <si>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</si>
  <si>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</si>
  <si>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</si>
  <si>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</si>
  <si>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</si>
  <si>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</si>
  <si>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</si>
  <si>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</si>
  <si>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</si>
  <si>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</si>
  <si>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</si>
  <si>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</si>
  <si>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</si>
  <si>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</si>
  <si>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</si>
  <si>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</si>
  <si>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</si>
  <si>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</si>
  <si>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</si>
  <si>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</si>
  <si>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</si>
  <si>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</si>
  <si>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</si>
  <si>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</si>
  <si>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</si>
  <si>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</si>
  <si>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</si>
  <si>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</si>
  <si>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</si>
  <si>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</si>
  <si>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</si>
  <si>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</si>
  <si>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</si>
  <si>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</si>
  <si>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</si>
  <si>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</si>
  <si>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</si>
  <si>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</si>
  <si>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</si>
  <si>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</si>
  <si>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</si>
  <si>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</si>
  <si>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</si>
  <si>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</si>
  <si>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</si>
  <si>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</si>
  <si>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</si>
  <si>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</si>
  <si>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</si>
  <si>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</si>
  <si>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</si>
  <si>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</si>
  <si>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</si>
  <si>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</si>
  <si>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</si>
  <si>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</si>
  <si>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</si>
  <si>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</si>
  <si>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</si>
  <si>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</si>
  <si>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</si>
  <si>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</si>
  <si>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</si>
  <si>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</si>
  <si>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</si>
  <si>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</si>
  <si>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</si>
  <si>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</si>
  <si>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</si>
  <si>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</si>
  <si>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</si>
  <si>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</si>
  <si>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</si>
  <si>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</si>
  <si>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</si>
  <si>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</si>
  <si>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</si>
  <si>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</si>
  <si>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</si>
  <si>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</si>
  <si>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</si>
  <si>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</si>
  <si>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</si>
  <si>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</si>
  <si>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</si>
  <si>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</si>
  <si>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</si>
  <si>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</si>
  <si>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</si>
  <si>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</si>
  <si>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</si>
  <si>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</si>
  <si>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</si>
  <si>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</si>
  <si>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</si>
  <si>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</si>
  <si>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</si>
  <si>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</si>
  <si>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</si>
  <si>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</si>
  <si>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</si>
  <si>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</si>
  <si>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</si>
  <si>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</si>
  <si>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</si>
  <si>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</si>
  <si>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</si>
  <si>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</si>
  <si>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</si>
  <si>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</si>
  <si>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</si>
  <si>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</si>
  <si>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</si>
  <si>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</si>
  <si>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</si>
  <si>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</si>
  <si>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</si>
  <si>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</si>
  <si>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</si>
  <si>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</si>
  <si>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</si>
  <si>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</si>
  <si>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</si>
  <si>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</si>
  <si>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</si>
  <si>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</si>
  <si>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</si>
  <si>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</si>
  <si>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</si>
  <si>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</si>
  <si>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</si>
  <si>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</si>
  <si>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</si>
  <si>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</si>
  <si>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</si>
  <si>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</si>
  <si>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</si>
  <si>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</si>
  <si>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</si>
  <si>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</si>
  <si>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</si>
  <si>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</si>
  <si>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</si>
  <si>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</si>
  <si>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</si>
  <si>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</si>
  <si>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</si>
  <si>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</si>
  <si>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</si>
  <si>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</si>
  <si>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</si>
  <si>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</si>
  <si>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</si>
  <si>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</si>
  <si>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</si>
  <si>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</si>
  <si>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</si>
  <si>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</si>
  <si>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</si>
  <si>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</si>
  <si>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</si>
  <si>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</si>
  <si>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</si>
  <si>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</si>
  <si>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</si>
  <si>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</si>
  <si>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</si>
  <si>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</si>
  <si>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</si>
  <si>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</si>
  <si>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</si>
  <si>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</si>
  <si>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</si>
  <si>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</si>
  <si>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</si>
  <si>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</si>
  <si>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</si>
  <si>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</si>
  <si>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</si>
  <si>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</si>
  <si>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</si>
  <si>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</si>
  <si>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</si>
  <si>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</si>
  <si>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</si>
  <si>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</si>
  <si>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</si>
  <si>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</si>
  <si>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</si>
  <si>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</si>
  <si>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</si>
  <si>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</si>
  <si>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</si>
  <si>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</si>
  <si>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</si>
  <si>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</si>
  <si>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</si>
  <si>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</si>
  <si>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</si>
  <si>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</si>
  <si>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</si>
  <si>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</si>
  <si>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</si>
  <si>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</si>
  <si>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</si>
  <si>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</si>
  <si>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</si>
  <si>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</si>
  <si>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</si>
  <si>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</si>
  <si>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</si>
  <si>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</si>
  <si>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</si>
  <si>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</si>
  <si>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</si>
  <si>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</si>
  <si>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</si>
  <si>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</si>
  <si>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</si>
  <si>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</si>
  <si>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</si>
  <si>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</si>
  <si>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</si>
  <si>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</si>
  <si>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</si>
  <si>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</si>
  <si>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</si>
  <si>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</si>
  <si>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</si>
  <si>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</si>
  <si>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</si>
  <si>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</si>
  <si>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</si>
  <si>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</si>
  <si>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</si>
  <si>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</si>
  <si>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</si>
  <si>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</si>
  <si>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</si>
  <si>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</si>
  <si>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</si>
  <si>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</si>
  <si>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</si>
  <si>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</si>
  <si>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</si>
  <si>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</si>
  <si>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</si>
  <si>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</si>
  <si>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</si>
  <si>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</si>
  <si>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</si>
  <si>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</si>
  <si>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</si>
  <si>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</si>
  <si>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</si>
  <si>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</si>
  <si>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</si>
  <si>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</si>
  <si>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</si>
  <si>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</si>
  <si>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</si>
  <si>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</si>
  <si>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</si>
  <si>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</si>
  <si>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</si>
  <si>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</si>
  <si>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</si>
  <si>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</si>
  <si>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</si>
  <si>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</si>
  <si>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</si>
  <si>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</si>
  <si>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</si>
  <si>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</si>
  <si>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</si>
  <si>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</si>
  <si>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</si>
  <si>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</si>
  <si>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</si>
  <si>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</si>
  <si>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</si>
  <si>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</si>
  <si>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</si>
  <si>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</si>
  <si>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</si>
  <si>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</si>
  <si>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</si>
  <si>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</si>
  <si>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</si>
  <si>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</si>
  <si>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</si>
  <si>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</si>
  <si>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</si>
  <si>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</si>
  <si>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</si>
  <si>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</si>
  <si>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</si>
  <si>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</si>
  <si>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</si>
  <si>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</si>
  <si>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</si>
  <si>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</si>
  <si>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</si>
  <si>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</si>
  <si>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</si>
  <si>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</si>
  <si>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</si>
  <si>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</si>
  <si>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</si>
  <si>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</si>
  <si>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</si>
  <si>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</si>
  <si>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</si>
  <si>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</si>
  <si>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</si>
  <si>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</si>
  <si>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</si>
  <si>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</si>
  <si>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</si>
  <si>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</si>
  <si>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</si>
  <si>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</si>
  <si>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</si>
  <si>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</si>
  <si>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</si>
  <si>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</si>
  <si>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</si>
  <si>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</si>
  <si>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</si>
  <si>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</si>
  <si>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</si>
  <si>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</si>
  <si>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</si>
  <si>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</si>
  <si>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</si>
  <si>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</si>
  <si>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</si>
  <si>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</si>
  <si>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</si>
  <si>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</si>
  <si>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</si>
  <si>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</si>
  <si>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</si>
  <si>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</si>
  <si>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</si>
  <si>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</si>
  <si>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</si>
  <si>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</si>
  <si>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</si>
  <si>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</si>
  <si>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</si>
  <si>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</si>
  <si>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</si>
  <si>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</si>
  <si>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</si>
  <si>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</si>
  <si>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</si>
  <si>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</si>
  <si>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</si>
  <si>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</si>
  <si>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</si>
  <si>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</si>
  <si>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</si>
  <si>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</si>
  <si>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</si>
  <si>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</si>
  <si>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</si>
  <si>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</si>
  <si>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</si>
  <si>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</si>
  <si>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</si>
  <si>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</si>
  <si>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</si>
  <si>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</si>
  <si>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</si>
  <si>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</si>
  <si>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</si>
  <si>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</si>
  <si>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</si>
  <si>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</si>
  <si>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</si>
  <si>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</si>
  <si>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</si>
  <si>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</si>
  <si>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</si>
  <si>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</si>
  <si>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</si>
  <si>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</si>
  <si>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</si>
  <si>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</si>
  <si>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</si>
  <si>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</si>
  <si>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</si>
  <si>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</si>
  <si>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</si>
  <si>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</si>
  <si>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</si>
  <si>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</si>
  <si>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</si>
  <si>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</si>
  <si>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</si>
  <si>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</si>
  <si>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</si>
  <si>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</si>
  <si>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</si>
  <si>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</si>
  <si>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</si>
  <si>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</si>
  <si>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</si>
  <si>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</si>
  <si>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</si>
  <si>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</si>
  <si>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</si>
  <si>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</si>
  <si>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</si>
  <si>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</si>
  <si>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</si>
  <si>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</si>
  <si>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</si>
  <si>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</si>
  <si>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</si>
  <si>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</si>
  <si>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</si>
  <si>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</si>
  <si>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</si>
  <si>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</si>
  <si>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</si>
  <si>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</si>
  <si>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</si>
  <si>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</si>
  <si>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</si>
  <si>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</si>
  <si>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</si>
  <si>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</si>
  <si>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</si>
  <si>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</si>
  <si>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</si>
  <si>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</si>
  <si>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</si>
  <si>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</si>
  <si>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</si>
  <si>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</si>
  <si>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</si>
  <si>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</si>
  <si>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</si>
  <si>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</si>
  <si>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</si>
  <si>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</si>
  <si>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</si>
  <si>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</si>
  <si>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</si>
  <si>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</si>
  <si>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</si>
  <si>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</si>
  <si>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</si>
  <si>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</si>
  <si>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</si>
  <si>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</si>
  <si>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</si>
  <si>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</si>
  <si>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</si>
  <si>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</si>
  <si>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</si>
  <si>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</si>
  <si>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</si>
  <si>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</si>
  <si>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</si>
  <si>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</si>
  <si>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</si>
  <si>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</si>
  <si>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</si>
  <si>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</si>
  <si>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</si>
  <si>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</si>
  <si>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</si>
  <si>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</si>
  <si>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</si>
  <si>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</si>
  <si>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</si>
  <si>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</si>
  <si>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</si>
  <si>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</si>
  <si>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</si>
  <si>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</si>
  <si>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</si>
  <si>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</si>
  <si>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</si>
  <si>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</si>
  <si>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</si>
  <si>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</si>
  <si>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</si>
  <si>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</si>
  <si>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</si>
  <si>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</si>
  <si>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</si>
  <si>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</si>
  <si>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</si>
  <si>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</si>
  <si>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</si>
  <si>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</si>
  <si>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</si>
  <si>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</si>
  <si>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</si>
  <si>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</si>
  <si>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</si>
  <si>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</si>
  <si>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</si>
  <si>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</si>
  <si>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</si>
  <si>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</si>
  <si>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</si>
  <si>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</si>
  <si>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</si>
  <si>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</si>
  <si>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</si>
  <si>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</si>
  <si>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</si>
  <si>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</si>
  <si>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</si>
  <si>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</si>
  <si>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</si>
  <si>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</si>
  <si>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</si>
  <si>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</si>
  <si>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</si>
  <si>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</si>
  <si>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</si>
  <si>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</si>
  <si>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</si>
  <si>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</si>
  <si>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</si>
  <si>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</si>
  <si>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</si>
  <si>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</si>
  <si>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</si>
  <si>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</si>
  <si>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</si>
  <si>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</si>
  <si>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</si>
  <si>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</si>
  <si>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</si>
  <si>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</si>
  <si>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</si>
  <si>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</si>
  <si>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</si>
  <si>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</si>
  <si>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</si>
  <si>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</si>
  <si>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</si>
  <si>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</si>
  <si>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</si>
  <si>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</si>
  <si>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</si>
  <si>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</si>
  <si>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</si>
  <si>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</si>
  <si>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</si>
  <si>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</si>
  <si>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</si>
  <si>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</si>
  <si>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</si>
  <si>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</si>
  <si>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</si>
  <si>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</si>
  <si>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</si>
  <si>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</si>
  <si>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</si>
  <si>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</si>
  <si>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</si>
  <si>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</si>
  <si>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</si>
  <si>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</si>
  <si>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</si>
  <si>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</si>
  <si>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</si>
  <si>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</si>
  <si>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</si>
  <si>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</si>
  <si>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</si>
  <si>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</si>
  <si>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</si>
  <si>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</si>
  <si>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</si>
  <si>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</si>
  <si>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</si>
  <si>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</si>
  <si>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</si>
  <si>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</si>
  <si>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</si>
  <si>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</si>
  <si>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</si>
  <si>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</si>
  <si>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</si>
  <si>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</si>
  <si>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</si>
  <si>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</si>
  <si>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</si>
  <si>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</si>
  <si>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</si>
  <si>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</si>
  <si>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</si>
  <si>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</si>
  <si>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</si>
  <si>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</si>
  <si>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</si>
  <si>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</si>
  <si>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</si>
  <si>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</si>
  <si>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</si>
  <si>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</si>
  <si>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</si>
  <si>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</si>
  <si>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</si>
  <si>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</si>
  <si>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</si>
  <si>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</si>
  <si>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</si>
  <si>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</si>
  <si>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</si>
  <si>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</si>
  <si>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</si>
  <si>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</si>
  <si>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</si>
  <si>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</si>
  <si>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</si>
  <si>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</si>
  <si>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</si>
  <si>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</si>
  <si>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</si>
  <si>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</si>
  <si>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</si>
  <si>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</si>
  <si>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</si>
  <si>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</si>
  <si>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</si>
  <si>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</si>
  <si>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</si>
  <si>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</si>
  <si>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</si>
  <si>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</si>
  <si>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</si>
  <si>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</si>
  <si>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</si>
  <si>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</si>
  <si>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</si>
  <si>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</si>
  <si>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</si>
  <si>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</si>
  <si>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</si>
  <si>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</si>
  <si>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</si>
  <si>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</si>
  <si>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</si>
  <si>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</si>
  <si>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</si>
  <si>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</si>
  <si>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</si>
  <si>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</si>
  <si>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</si>
  <si>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</si>
  <si>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</si>
  <si>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</si>
  <si>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</si>
  <si>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</si>
  <si>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</si>
  <si>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</si>
  <si>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</si>
  <si>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</si>
  <si>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</si>
  <si>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</si>
  <si>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</si>
  <si>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</si>
  <si>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</si>
  <si>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</si>
  <si>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</si>
  <si>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</si>
  <si>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</si>
  <si>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</si>
  <si>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</si>
  <si>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</si>
  <si>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</si>
  <si>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</si>
  <si>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</si>
  <si>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</si>
  <si>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</si>
  <si>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</si>
  <si>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</si>
  <si>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</si>
  <si>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</si>
  <si>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</si>
  <si>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</si>
  <si>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</si>
  <si>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</si>
  <si>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</si>
  <si>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</si>
  <si>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</si>
  <si>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</si>
  <si>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</si>
  <si>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</si>
  <si>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</si>
  <si>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</si>
  <si>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</si>
  <si>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</si>
  <si>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</si>
  <si>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</si>
  <si>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</si>
  <si>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</si>
  <si>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</si>
  <si>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</si>
  <si>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</si>
  <si>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</si>
  <si>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</si>
  <si>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</si>
  <si>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</si>
  <si>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</si>
  <si>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</si>
  <si>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</si>
  <si>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</si>
  <si>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</si>
  <si>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</si>
  <si>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</si>
  <si>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</si>
  <si>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</si>
  <si>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</si>
  <si>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</si>
  <si>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</si>
  <si>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</si>
  <si>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</si>
  <si>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</si>
  <si>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</si>
  <si>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</si>
  <si>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</si>
  <si>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</si>
  <si>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</si>
  <si>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</si>
  <si>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</si>
  <si>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</si>
  <si>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</si>
  <si>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</si>
  <si>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</si>
  <si>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</si>
  <si>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</si>
  <si>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</si>
  <si>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</si>
  <si>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</si>
  <si>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</si>
  <si>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</si>
  <si>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</si>
  <si>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</si>
  <si>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</si>
  <si>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</si>
  <si>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</si>
  <si>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</si>
  <si>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</si>
  <si>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</si>
  <si>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</si>
  <si>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</si>
  <si>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</si>
  <si>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</si>
  <si>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</si>
  <si>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</si>
  <si>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</si>
  <si>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</si>
  <si>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</si>
  <si>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</si>
  <si>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</si>
  <si>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</si>
  <si>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</si>
  <si>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</si>
  <si>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</si>
  <si>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</si>
  <si>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</si>
  <si>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</si>
  <si>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</si>
  <si>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</si>
  <si>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</si>
  <si>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</si>
  <si>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</si>
  <si>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</si>
  <si>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</si>
  <si>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</si>
  <si>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</si>
  <si>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</si>
  <si>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</si>
  <si>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</si>
  <si>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</si>
  <si>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</si>
  <si>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</si>
  <si>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</si>
  <si>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</si>
  <si>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</si>
  <si>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</si>
  <si>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</si>
  <si>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</si>
  <si>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</si>
  <si>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</si>
  <si>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</si>
  <si>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</si>
  <si>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</si>
  <si>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</si>
  <si>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</si>
  <si>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</si>
  <si>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</si>
  <si>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</si>
  <si>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</si>
  <si>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</si>
  <si>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</si>
  <si>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</si>
  <si>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</si>
  <si>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</si>
  <si>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</si>
  <si>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</si>
  <si>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</si>
  <si>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</si>
  <si>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</si>
  <si>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</si>
  <si>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</si>
  <si>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</si>
  <si>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</si>
  <si>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</si>
  <si>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</si>
  <si>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</si>
  <si>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</si>
  <si>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</si>
  <si>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</si>
  <si>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</si>
  <si>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</si>
  <si>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</si>
  <si>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</si>
  <si>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</si>
  <si>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</si>
  <si>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</si>
  <si>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</si>
  <si>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</si>
  <si>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</si>
  <si>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</si>
  <si>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</si>
  <si>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</si>
  <si>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</si>
  <si>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</si>
  <si>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</si>
  <si>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</si>
  <si>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</si>
  <si>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</si>
  <si>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</si>
  <si>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</si>
  <si>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</si>
  <si>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</si>
  <si>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</si>
  <si>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</si>
  <si>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</si>
  <si>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</si>
  <si>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</si>
  <si>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</si>
  <si>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</si>
  <si>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</si>
  <si>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</si>
  <si>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</si>
  <si>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</si>
  <si>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</si>
  <si>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</si>
  <si>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</si>
  <si>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</si>
  <si>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</si>
  <si>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</si>
  <si>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</si>
  <si>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</si>
  <si>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</si>
  <si>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</si>
  <si>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</si>
  <si>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</si>
  <si>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</si>
  <si>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</si>
  <si>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</si>
  <si>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</si>
  <si>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</si>
  <si>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</si>
  <si>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</si>
  <si>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</si>
  <si>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</si>
  <si>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</si>
  <si>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</si>
  <si>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</si>
  <si>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</si>
  <si>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</si>
  <si>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</si>
  <si>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</si>
  <si>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</si>
  <si>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</si>
  <si>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</si>
  <si>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</si>
  <si>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</si>
  <si>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</si>
  <si>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</si>
  <si>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</si>
  <si>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</si>
  <si>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</si>
  <si>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</si>
  <si>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</si>
  <si>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</si>
  <si>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</si>
  <si>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</si>
  <si>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</si>
  <si>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</si>
  <si>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</si>
  <si>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</si>
  <si>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</si>
  <si>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</si>
  <si>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</si>
  <si>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</si>
  <si>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</si>
  <si>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</si>
  <si>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</si>
  <si>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</si>
  <si>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</si>
  <si>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</si>
  <si>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</si>
  <si>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</si>
  <si>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</si>
  <si>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</si>
  <si>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</si>
  <si>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</si>
  <si>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</si>
  <si>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</si>
  <si>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</si>
  <si>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</si>
  <si>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</si>
  <si>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</si>
  <si>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</si>
  <si>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</si>
  <si>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</si>
  <si>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</si>
  <si>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</si>
  <si>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</si>
  <si>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</si>
  <si>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</si>
  <si>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</si>
  <si>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</si>
  <si>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</si>
  <si>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</si>
  <si>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</si>
  <si>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</si>
  <si>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</si>
  <si>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</si>
  <si>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</si>
  <si>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</si>
  <si>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</si>
  <si>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</si>
  <si>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</si>
  <si>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</si>
  <si>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</si>
  <si>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</si>
  <si>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</si>
  <si>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</si>
  <si>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</si>
  <si>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</si>
  <si>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</si>
  <si>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</si>
  <si>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</si>
  <si>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</si>
  <si>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</si>
  <si>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</si>
  <si>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</si>
  <si>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</si>
  <si>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</si>
  <si>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</si>
  <si>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</si>
  <si>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</si>
  <si>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</si>
  <si>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</si>
  <si>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</si>
  <si>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</si>
  <si>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</si>
  <si>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</si>
  <si>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</si>
  <si>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</si>
  <si>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</si>
  <si>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</si>
  <si>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</si>
  <si>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</si>
  <si>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</si>
  <si>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</si>
  <si>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</si>
  <si>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</si>
  <si>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</si>
  <si>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</si>
  <si>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</si>
  <si>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</si>
  <si>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</si>
  <si>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</si>
  <si>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</si>
  <si>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</si>
  <si>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</si>
  <si>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</si>
  <si>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</si>
  <si>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</si>
  <si>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</si>
  <si>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</si>
  <si>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</si>
  <si>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</si>
  <si>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</si>
  <si>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</si>
  <si>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</si>
  <si>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</si>
  <si>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</si>
  <si>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</si>
  <si>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</si>
  <si>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</si>
  <si>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</si>
  <si>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</si>
  <si>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</si>
  <si>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</si>
  <si>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</si>
  <si>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</si>
  <si>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</si>
  <si>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</si>
  <si>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</si>
  <si>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</si>
  <si>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</si>
  <si>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</si>
  <si>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</si>
  <si>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</si>
  <si>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</si>
  <si>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</si>
  <si>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</si>
  <si>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</si>
  <si>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</si>
  <si>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</si>
  <si>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</si>
  <si>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</si>
  <si>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</si>
  <si>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</si>
  <si>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</si>
  <si>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</si>
  <si>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</si>
  <si>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</si>
  <si>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</si>
  <si>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</si>
  <si>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</si>
  <si>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</si>
  <si>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</si>
  <si>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</si>
  <si>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</si>
  <si>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</si>
  <si>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</si>
  <si>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</si>
  <si>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</si>
  <si>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</si>
  <si>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</si>
  <si>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</si>
  <si>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</si>
  <si>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</si>
  <si>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</si>
  <si>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</si>
  <si>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</si>
  <si>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</si>
  <si>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</si>
  <si>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</si>
  <si>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</si>
  <si>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</si>
  <si>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</si>
  <si>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</si>
  <si>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</si>
  <si>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</si>
  <si>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</si>
  <si>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</si>
  <si>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</si>
  <si>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</si>
  <si>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</si>
  <si>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</si>
  <si>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</si>
  <si>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</si>
  <si>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</si>
  <si>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</si>
  <si>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</si>
  <si>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</si>
  <si>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</si>
  <si>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</si>
  <si>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</si>
  <si>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</si>
  <si>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</si>
  <si>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</si>
  <si>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</si>
  <si>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</si>
  <si>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</si>
  <si>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</si>
  <si>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</si>
  <si>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</si>
  <si>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</si>
  <si>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</si>
  <si>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</si>
  <si>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</si>
  <si>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</si>
  <si>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</si>
  <si>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</si>
  <si>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</si>
  <si>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</si>
  <si>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</si>
  <si>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</si>
  <si>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</si>
  <si>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</si>
  <si>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</si>
  <si>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</si>
  <si>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</si>
  <si>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</si>
  <si>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</si>
  <si>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</si>
  <si>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</si>
  <si>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</si>
  <si>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</si>
  <si>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</si>
  <si>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</si>
  <si>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</si>
  <si>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</si>
  <si>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</si>
  <si>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</si>
  <si>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</si>
  <si>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</si>
  <si>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</si>
  <si>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</si>
  <si>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</si>
  <si>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</si>
  <si>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</si>
  <si>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</si>
  <si>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</si>
  <si>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</si>
  <si>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</si>
  <si>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</si>
  <si>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</si>
  <si>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</si>
  <si>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</si>
  <si>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</si>
  <si>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</si>
  <si>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</si>
  <si>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</si>
  <si>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</si>
  <si>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</si>
  <si>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</si>
  <si>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</si>
  <si>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</si>
  <si>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</si>
  <si>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</si>
  <si>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</si>
  <si>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</si>
  <si>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</si>
  <si>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</si>
  <si>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</si>
  <si>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</si>
  <si>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</si>
  <si>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</si>
  <si>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</si>
  <si>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</si>
  <si>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</si>
  <si>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</si>
  <si>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</si>
  <si>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</si>
  <si>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</si>
  <si>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</si>
  <si>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</si>
  <si>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</si>
  <si>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</si>
  <si>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</si>
  <si>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</si>
  <si>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</si>
  <si>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</si>
  <si>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</si>
  <si>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</si>
  <si>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</si>
  <si>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</si>
  <si>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</si>
  <si>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</si>
  <si>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</si>
  <si>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</si>
  <si>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</si>
  <si>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</si>
  <si>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</si>
  <si>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</si>
  <si>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</si>
  <si>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</si>
  <si>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</si>
  <si>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</si>
  <si>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</si>
  <si>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</si>
  <si>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</si>
  <si>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</si>
  <si>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</si>
  <si>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</si>
  <si>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</si>
  <si>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</si>
  <si>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</si>
  <si>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</si>
  <si>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</si>
  <si>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</si>
  <si>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</si>
  <si>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</si>
  <si>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</si>
  <si>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</si>
  <si>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</si>
  <si>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</si>
  <si>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</si>
  <si>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</si>
  <si>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</si>
  <si>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</si>
  <si>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</si>
  <si>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</si>
  <si>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</si>
  <si>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</si>
  <si>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</si>
  <si>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</si>
  <si>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</si>
  <si>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</si>
  <si>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</si>
  <si>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</si>
  <si>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</si>
  <si>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</si>
  <si>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</si>
  <si>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</si>
  <si>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</si>
  <si>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</si>
  <si>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</si>
  <si>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</si>
  <si>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</si>
  <si>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</si>
  <si>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</si>
  <si>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</si>
  <si>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</si>
  <si>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</si>
  <si>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</si>
  <si>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</si>
  <si>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</si>
  <si>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</si>
  <si>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</si>
  <si>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</si>
  <si>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</si>
  <si>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</si>
  <si>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</si>
  <si>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</si>
  <si>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</si>
  <si>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</si>
  <si>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</si>
  <si>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</si>
  <si>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</si>
  <si>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</si>
  <si>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</si>
  <si>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</si>
  <si>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</si>
  <si>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</si>
  <si>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</si>
  <si>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</si>
  <si>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</si>
  <si>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</si>
  <si>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</si>
  <si>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</si>
  <si>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</si>
  <si>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</si>
  <si>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</si>
  <si>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</si>
  <si>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</si>
  <si>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</si>
  <si>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</si>
  <si>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</si>
  <si>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</si>
  <si>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</si>
  <si>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</si>
  <si>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</si>
  <si>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</si>
  <si>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</si>
  <si>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</si>
  <si>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</si>
  <si>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</si>
  <si>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</si>
  <si>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</si>
  <si>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</si>
  <si>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</si>
  <si>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</si>
  <si>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</si>
  <si>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</si>
  <si>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</si>
  <si>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</si>
  <si>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</si>
  <si>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</si>
  <si>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</si>
  <si>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NOORI</t>
  </si>
  <si>
    <t>KARIM</t>
  </si>
  <si>
    <t>AMORT. CUM. AMEL. LOCAT. CPO</t>
  </si>
  <si>
    <t>1735</t>
  </si>
  <si>
    <t>AMORT.CUMUL.PROJET VOLKS</t>
  </si>
  <si>
    <t>1741</t>
  </si>
  <si>
    <t>Forecast Immobilisation 2025</t>
  </si>
  <si>
    <t>Équipement informatique</t>
  </si>
  <si>
    <t>Budget 2025</t>
  </si>
  <si>
    <t>Intérêts sur hypothèque</t>
  </si>
  <si>
    <t>Réel 2024</t>
  </si>
  <si>
    <t>Revenus d'intérêts Floor plan</t>
  </si>
  <si>
    <t>Nouveau building</t>
  </si>
  <si>
    <t>FLEURY</t>
  </si>
  <si>
    <t>SEBASTIEN</t>
  </si>
  <si>
    <t>DGV</t>
  </si>
  <si>
    <t xml:space="preserve"> AAJ</t>
  </si>
  <si>
    <t>TOTAL</t>
  </si>
  <si>
    <t>_</t>
  </si>
  <si>
    <t>FPA recours coll</t>
  </si>
  <si>
    <t>ID BUZZ</t>
  </si>
  <si>
    <t>4145</t>
  </si>
  <si>
    <t>5145</t>
  </si>
  <si>
    <t>4145@</t>
  </si>
  <si>
    <t>TAUX MAIN D'OEUVRE - CLIENT - VW - VEB</t>
  </si>
  <si>
    <t>266</t>
  </si>
  <si>
    <t>26</t>
  </si>
  <si>
    <t>TAUX MAIN D'OEUVRE - GARANTIE - VW - VEB</t>
  </si>
  <si>
    <t>267</t>
  </si>
  <si>
    <t>TAUX MAIN D'OEUVRE - INTERNE - VW - VEB</t>
  </si>
  <si>
    <t>268</t>
  </si>
  <si>
    <t>TAUX MAIN D'OEUVRE - BODY - VW - VEB</t>
  </si>
  <si>
    <t>269</t>
  </si>
  <si>
    <t>ACHALANDAGE</t>
  </si>
  <si>
    <t>1814</t>
  </si>
  <si>
    <t>SALAIRES - DIRECTION GENERALE</t>
  </si>
  <si>
    <t>TD CANADA TRUST</t>
  </si>
  <si>
    <t>1106</t>
  </si>
  <si>
    <t>84137</t>
  </si>
  <si>
    <t>AVANCES GPA INTERCO</t>
  </si>
  <si>
    <t>940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</si>
</sst>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0\ &quot;$&quot;_);[Red]\(#,##0\ &quot;$&quot;\)"/>
    <numFmt numFmtId="167" formatCode="#,##0.00\ &quot;$&quot;_);[Red]\(#,##0.00\ &quot;$&quot;\)"/>
    <numFmt numFmtId="168" formatCode="_ * #,##0.00_)\ &quot;$&quot;_ ;_ * \(#,##0.00\)\ &quot;$&quot;_ ;_ * &quot;-&quot;??_)\ &quot;$&quot;_ ;_ @_ "/>
    <numFmt numFmtId="169" formatCode="&quot;$&quot;#,##0"/>
    <numFmt numFmtId="170" formatCode="_ * #,##0_)\ _$_ ;_ * \(#,##0\)\ _$_ ;_ * &quot;-&quot;_)\ _$_ ;_ @_ "/>
    <numFmt numFmtId="171" formatCode="_-* #,##0\ _$_-;_-* #,##0\ _$\-;_-* &quot;-&quot;??\ _$_-;_-@"/>
    <numFmt numFmtId="172" formatCode="_(* #,##0_);_(* \(#,##0\);_(* &quot;-&quot;??_);_(@_)"/>
    <numFmt numFmtId="173" formatCode="dd\/mm\/yy_)"/>
    <numFmt numFmtId="174" formatCode="0_)"/>
    <numFmt numFmtId="175" formatCode="0.0%"/>
    <numFmt numFmtId="176" formatCode="0.00_)"/>
    <numFmt numFmtId="177" formatCode="_ * #,##0.00_)\ _$_ ;_ * \(#,##0.00\)\ _$_ ;_ * &quot;-&quot;??_)\ _$_ ;_ @_ "/>
    <numFmt numFmtId="178" formatCode="d/m/yyyy"/>
    <numFmt numFmtId="179" formatCode="_ * #,##0_)\ _$_ ;_ * \(#,##0\)\ _$_ ;_ * &quot;-&quot;??_)\ _$_ ;_ @_ "/>
    <numFmt numFmtId="180" formatCode="0.00000000000000%"/>
    <numFmt numFmtId="181" formatCode="#,###.00;\-#,###.00;.00"/>
    <numFmt numFmtId="182" formatCode="[$-F400]h:mm:ss\ AM/PM"/>
    <numFmt numFmtId="183" formatCode="#.00;\-#.00;.00"/>
    <numFmt numFmtId="184" formatCode="_ * #,##0_)\ &quot;$&quot;_ ;_ * \(#,##0\)\ &quot;$&quot;_ ;_ * &quot;-&quot;??_)\ &quot;$&quot;_ ;_ @_ "/>
    <numFmt numFmtId="185" formatCode="#,###.00;\-#,###.00;.00;@"/>
    <numFmt numFmtId="186" formatCode="#;#;0;@"/>
    <numFmt numFmtId="187" formatCode="&quot;$&quot;#,##0.00"/>
  </numFmts>
  <fonts count="189">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b/>
      <sz val="28"/>
      <name val="Arial"/>
      <family val="2"/>
    </font>
    <font>
      <b/>
      <sz val="9"/>
      <color indexed="81"/>
      <name val="Tahoma"/>
      <family val="2"/>
    </font>
    <font>
      <sz val="18"/>
      <color indexed="81"/>
      <name val="Tahoma"/>
      <family val="2"/>
    </font>
    <font>
      <sz val="16"/>
      <name val="Arial mt"/>
    </font>
  </fonts>
  <fills count="42">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
      <patternFill patternType="solid">
        <fgColor theme="7" tint="0.79998168889431442"/>
        <bgColor indexed="64"/>
      </patternFill>
    </fill>
    <fill>
      <patternFill patternType="solid">
        <fgColor rgb="FFFFFF00"/>
        <bgColor indexed="9"/>
      </patternFill>
    </fill>
  </fills>
  <borders count="242">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s>
  <cellStyleXfs count="11331">
    <xf numFmtId="0" fontId="0" fillId="0" borderId="0"/>
    <xf numFmtId="43" fontId="113" fillId="0" borderId="0" applyFont="0" applyFill="0" applyBorder="0" applyAlignment="0" applyProtection="0"/>
    <xf numFmtId="9" fontId="113" fillId="0" borderId="0" applyFont="0" applyFill="0" applyBorder="0" applyAlignment="0" applyProtection="0"/>
    <xf numFmtId="168" fontId="175" fillId="0" borderId="0"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0" fontId="105" fillId="0" borderId="1"/>
    <xf numFmtId="165" fontId="105" fillId="0" borderId="1" applyFont="0" applyFill="0" applyBorder="0" applyAlignment="0" applyProtection="0"/>
    <xf numFmtId="0" fontId="104" fillId="0" borderId="1"/>
    <xf numFmtId="165" fontId="104" fillId="0" borderId="1" applyFont="0" applyFill="0" applyBorder="0" applyAlignment="0" applyProtection="0"/>
    <xf numFmtId="168" fontId="104" fillId="0" borderId="1" applyFont="0" applyFill="0" applyBorder="0" applyAlignment="0" applyProtection="0"/>
    <xf numFmtId="0" fontId="104" fillId="0" borderId="1"/>
    <xf numFmtId="165" fontId="104" fillId="0" borderId="1" applyFont="0" applyFill="0" applyBorder="0" applyAlignment="0" applyProtection="0"/>
    <xf numFmtId="0" fontId="104" fillId="0" borderId="1"/>
    <xf numFmtId="165" fontId="104" fillId="0" borderId="1" applyFont="0" applyFill="0" applyBorder="0" applyAlignment="0" applyProtection="0"/>
    <xf numFmtId="0" fontId="104" fillId="0" borderId="1"/>
    <xf numFmtId="165" fontId="104" fillId="0" borderId="1" applyFont="0" applyFill="0" applyBorder="0" applyAlignment="0" applyProtection="0"/>
    <xf numFmtId="0" fontId="104" fillId="0" borderId="1"/>
    <xf numFmtId="0" fontId="104" fillId="0" borderId="1"/>
    <xf numFmtId="165" fontId="104" fillId="0" borderId="1" applyFont="0" applyFill="0" applyBorder="0" applyAlignment="0" applyProtection="0"/>
    <xf numFmtId="168"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5" fontId="99" fillId="0" borderId="1" applyFont="0" applyFill="0" applyBorder="0" applyAlignment="0" applyProtection="0"/>
    <xf numFmtId="0" fontId="99" fillId="0" borderId="1"/>
    <xf numFmtId="165" fontId="99" fillId="0" borderId="1" applyFont="0" applyFill="0" applyBorder="0" applyAlignment="0" applyProtection="0"/>
    <xf numFmtId="0" fontId="99" fillId="0" borderId="1"/>
    <xf numFmtId="165" fontId="99" fillId="0" borderId="1" applyFont="0" applyFill="0" applyBorder="0" applyAlignment="0" applyProtection="0"/>
    <xf numFmtId="0" fontId="99" fillId="0" borderId="1"/>
    <xf numFmtId="0" fontId="99" fillId="0" borderId="1"/>
    <xf numFmtId="165" fontId="99" fillId="0" borderId="1" applyFont="0" applyFill="0" applyBorder="0" applyAlignment="0" applyProtection="0"/>
    <xf numFmtId="0" fontId="99" fillId="0" borderId="1"/>
    <xf numFmtId="165" fontId="99" fillId="0" borderId="1" applyFont="0" applyFill="0" applyBorder="0" applyAlignment="0" applyProtection="0"/>
    <xf numFmtId="168" fontId="99" fillId="0" borderId="1" applyFont="0" applyFill="0" applyBorder="0" applyAlignment="0" applyProtection="0"/>
    <xf numFmtId="0" fontId="99" fillId="0" borderId="1"/>
    <xf numFmtId="165" fontId="99" fillId="0" borderId="1" applyFont="0" applyFill="0" applyBorder="0" applyAlignment="0" applyProtection="0"/>
    <xf numFmtId="0" fontId="99" fillId="0" borderId="1"/>
    <xf numFmtId="165" fontId="99" fillId="0" borderId="1" applyFont="0" applyFill="0" applyBorder="0" applyAlignment="0" applyProtection="0"/>
    <xf numFmtId="0" fontId="99" fillId="0" borderId="1"/>
    <xf numFmtId="165" fontId="99" fillId="0" borderId="1" applyFont="0" applyFill="0" applyBorder="0" applyAlignment="0" applyProtection="0"/>
    <xf numFmtId="0" fontId="99" fillId="0" borderId="1"/>
    <xf numFmtId="0" fontId="99" fillId="0" borderId="1"/>
    <xf numFmtId="165" fontId="99" fillId="0" borderId="1" applyFont="0" applyFill="0" applyBorder="0" applyAlignment="0" applyProtection="0"/>
    <xf numFmtId="168" fontId="99" fillId="0" borderId="1" applyFont="0" applyFill="0" applyBorder="0" applyAlignment="0" applyProtection="0"/>
    <xf numFmtId="0" fontId="99" fillId="0" borderId="1"/>
    <xf numFmtId="165" fontId="99" fillId="0" borderId="1" applyFont="0" applyFill="0" applyBorder="0" applyAlignment="0" applyProtection="0"/>
    <xf numFmtId="0" fontId="99" fillId="0" borderId="1"/>
    <xf numFmtId="165" fontId="99" fillId="0" borderId="1" applyFont="0" applyFill="0" applyBorder="0" applyAlignment="0" applyProtection="0"/>
    <xf numFmtId="0" fontId="99" fillId="0" borderId="1"/>
    <xf numFmtId="165" fontId="99" fillId="0" borderId="1" applyFont="0" applyFill="0" applyBorder="0" applyAlignment="0" applyProtection="0"/>
    <xf numFmtId="0" fontId="99" fillId="0" borderId="1"/>
    <xf numFmtId="165" fontId="99" fillId="0" borderId="1" applyFont="0" applyFill="0" applyBorder="0" applyAlignment="0" applyProtection="0"/>
    <xf numFmtId="168"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0" fontId="81" fillId="0" borderId="1"/>
    <xf numFmtId="165"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9"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9"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9"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9"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5" fontId="79" fillId="0" borderId="1" applyFont="0" applyFill="0" applyBorder="0" applyAlignment="0" applyProtection="0"/>
    <xf numFmtId="9" fontId="79" fillId="0" borderId="1" applyFont="0" applyFill="0" applyBorder="0" applyAlignment="0" applyProtection="0"/>
    <xf numFmtId="168" fontId="79" fillId="0" borderId="1" applyFont="0" applyFill="0" applyBorder="0" applyAlignment="0" applyProtection="0"/>
    <xf numFmtId="0" fontId="78" fillId="0" borderId="1"/>
    <xf numFmtId="165" fontId="78" fillId="0" borderId="1" applyFont="0" applyFill="0" applyBorder="0" applyAlignment="0" applyProtection="0"/>
    <xf numFmtId="0" fontId="77" fillId="0" borderId="1"/>
    <xf numFmtId="165"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165" fontId="75" fillId="0" borderId="1" applyFont="0" applyFill="0" applyBorder="0" applyAlignment="0" applyProtection="0"/>
    <xf numFmtId="9"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9"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9"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9"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9"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9"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9"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9"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5" fontId="75" fillId="0" borderId="1" applyFont="0" applyFill="0" applyBorder="0" applyAlignment="0" applyProtection="0"/>
    <xf numFmtId="9"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5" fontId="75" fillId="0" borderId="1" applyFont="0" applyFill="0" applyBorder="0" applyAlignment="0" applyProtection="0"/>
    <xf numFmtId="9" fontId="75" fillId="0" borderId="1" applyFont="0" applyFill="0" applyBorder="0" applyAlignment="0" applyProtection="0"/>
    <xf numFmtId="168" fontId="75" fillId="0" borderId="1" applyFont="0" applyFill="0" applyBorder="0" applyAlignment="0" applyProtection="0"/>
    <xf numFmtId="0" fontId="74" fillId="0" borderId="1"/>
    <xf numFmtId="165" fontId="74" fillId="0" borderId="1" applyFont="0" applyFill="0" applyBorder="0" applyAlignment="0" applyProtection="0"/>
    <xf numFmtId="0" fontId="73" fillId="0" borderId="1"/>
    <xf numFmtId="165" fontId="73" fillId="0" borderId="1" applyFont="0" applyFill="0" applyBorder="0" applyAlignment="0" applyProtection="0"/>
    <xf numFmtId="0" fontId="72" fillId="0" borderId="1"/>
    <xf numFmtId="165" fontId="72"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5" fontId="71" fillId="0" borderId="1" applyFont="0" applyFill="0" applyBorder="0" applyAlignment="0" applyProtection="0"/>
    <xf numFmtId="9"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5" fontId="71" fillId="0" borderId="1" applyFont="0" applyFill="0" applyBorder="0" applyAlignment="0" applyProtection="0"/>
    <xf numFmtId="9"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5" fontId="71" fillId="0" borderId="1" applyFont="0" applyFill="0" applyBorder="0" applyAlignment="0" applyProtection="0"/>
    <xf numFmtId="9"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0" fillId="0" borderId="1"/>
    <xf numFmtId="165" fontId="70" fillId="0" borderId="1" applyFont="0" applyFill="0" applyBorder="0" applyAlignment="0" applyProtection="0"/>
    <xf numFmtId="0" fontId="69" fillId="0" borderId="1"/>
    <xf numFmtId="165" fontId="69" fillId="0" borderId="1" applyFont="0" applyFill="0" applyBorder="0" applyAlignment="0" applyProtection="0"/>
    <xf numFmtId="0" fontId="68" fillId="0" borderId="1"/>
    <xf numFmtId="0" fontId="68" fillId="0" borderId="1"/>
    <xf numFmtId="9" fontId="68" fillId="0" borderId="1" applyFont="0" applyFill="0" applyBorder="0" applyAlignment="0" applyProtection="0"/>
    <xf numFmtId="44" fontId="68" fillId="0" borderId="1" applyFont="0" applyFill="0" applyBorder="0" applyAlignment="0" applyProtection="0"/>
    <xf numFmtId="0" fontId="67" fillId="0" borderId="1"/>
    <xf numFmtId="165" fontId="67" fillId="0" borderId="1" applyFont="0" applyFill="0" applyBorder="0" applyAlignment="0" applyProtection="0"/>
    <xf numFmtId="0" fontId="66" fillId="0" borderId="1"/>
    <xf numFmtId="0" fontId="65" fillId="0" borderId="1"/>
    <xf numFmtId="0" fontId="64" fillId="0" borderId="1"/>
    <xf numFmtId="0" fontId="63" fillId="0" borderId="1"/>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9" fontId="62" fillId="0" borderId="1" applyFont="0" applyFill="0" applyBorder="0" applyAlignment="0" applyProtection="0"/>
    <xf numFmtId="164"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0" fontId="62" fillId="0" borderId="1"/>
    <xf numFmtId="0" fontId="62" fillId="0" borderId="1"/>
    <xf numFmtId="0" fontId="184" fillId="0" borderId="0" applyNumberFormat="0" applyFill="0" applyBorder="0" applyAlignment="0" applyProtection="0"/>
    <xf numFmtId="0" fontId="61" fillId="0" borderId="1"/>
    <xf numFmtId="0" fontId="60" fillId="0" borderId="1"/>
    <xf numFmtId="0" fontId="59" fillId="0" borderId="1"/>
    <xf numFmtId="0" fontId="58" fillId="0" borderId="1"/>
    <xf numFmtId="0" fontId="57" fillId="0" borderId="1"/>
    <xf numFmtId="0" fontId="55" fillId="0" borderId="1"/>
    <xf numFmtId="0" fontId="54" fillId="0" borderId="1"/>
    <xf numFmtId="0" fontId="53"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335">
    <xf numFmtId="0" fontId="0" fillId="0" borderId="0" xfId="0"/>
    <xf numFmtId="0" fontId="110" fillId="0" borderId="0" xfId="0" applyFont="1"/>
    <xf numFmtId="0" fontId="111" fillId="2" borderId="1" xfId="0" applyFont="1" applyFill="1" applyBorder="1" applyAlignment="1">
      <alignment horizontal="center"/>
    </xf>
    <xf numFmtId="0" fontId="111" fillId="0" borderId="0" xfId="0" applyFont="1"/>
    <xf numFmtId="0" fontId="112" fillId="0" borderId="0" xfId="0" applyFont="1" applyAlignment="1">
      <alignment horizontal="center"/>
    </xf>
    <xf numFmtId="0" fontId="113" fillId="0" borderId="0" xfId="0" applyFont="1"/>
    <xf numFmtId="0" fontId="110" fillId="0" borderId="0" xfId="0" applyFont="1" applyAlignment="1">
      <alignment horizontal="center"/>
    </xf>
    <xf numFmtId="169" fontId="111" fillId="0" borderId="0" xfId="0" applyNumberFormat="1" applyFont="1" applyAlignment="1">
      <alignment horizontal="center"/>
    </xf>
    <xf numFmtId="0" fontId="114" fillId="0" borderId="0" xfId="0" applyFont="1" applyAlignment="1">
      <alignment horizontal="left"/>
    </xf>
    <xf numFmtId="0" fontId="115" fillId="0" borderId="0" xfId="0" applyFont="1" applyAlignment="1">
      <alignment horizontal="center"/>
    </xf>
    <xf numFmtId="0" fontId="115" fillId="0" borderId="0" xfId="0" applyFont="1" applyAlignment="1">
      <alignment horizontal="right"/>
    </xf>
    <xf numFmtId="0" fontId="114" fillId="0" borderId="0" xfId="0" applyFont="1"/>
    <xf numFmtId="0" fontId="111" fillId="0" borderId="2" xfId="0" applyFont="1" applyBorder="1"/>
    <xf numFmtId="0" fontId="116" fillId="0" borderId="3" xfId="0" applyFont="1" applyBorder="1"/>
    <xf numFmtId="170" fontId="116" fillId="0" borderId="4" xfId="0" applyNumberFormat="1" applyFont="1" applyBorder="1"/>
    <xf numFmtId="171" fontId="116" fillId="0" borderId="0" xfId="0" applyNumberFormat="1" applyFont="1"/>
    <xf numFmtId="171" fontId="116" fillId="0" borderId="5" xfId="0" applyNumberFormat="1" applyFont="1" applyBorder="1"/>
    <xf numFmtId="0" fontId="117" fillId="0" borderId="6" xfId="0" applyFont="1" applyBorder="1"/>
    <xf numFmtId="170" fontId="117" fillId="0" borderId="7" xfId="0" applyNumberFormat="1" applyFont="1" applyBorder="1"/>
    <xf numFmtId="171" fontId="117" fillId="0" borderId="0" xfId="0" applyNumberFormat="1" applyFont="1"/>
    <xf numFmtId="0" fontId="116" fillId="0" borderId="8" xfId="0" applyFont="1" applyBorder="1"/>
    <xf numFmtId="170" fontId="116" fillId="0" borderId="9" xfId="0" applyNumberFormat="1" applyFont="1" applyBorder="1"/>
    <xf numFmtId="0" fontId="117" fillId="0" borderId="8" xfId="0" applyFont="1" applyBorder="1"/>
    <xf numFmtId="0" fontId="117" fillId="3" borderId="10" xfId="0" applyFont="1" applyFill="1" applyBorder="1"/>
    <xf numFmtId="170" fontId="117" fillId="3" borderId="11" xfId="0" applyNumberFormat="1" applyFont="1" applyFill="1" applyBorder="1"/>
    <xf numFmtId="0" fontId="117" fillId="3" borderId="12" xfId="0" applyFont="1" applyFill="1" applyBorder="1"/>
    <xf numFmtId="170" fontId="117" fillId="3" borderId="13" xfId="0" applyNumberFormat="1" applyFont="1" applyFill="1" applyBorder="1"/>
    <xf numFmtId="0" fontId="117" fillId="0" borderId="0" xfId="0" applyFont="1"/>
    <xf numFmtId="170" fontId="116" fillId="0" borderId="7" xfId="0" applyNumberFormat="1" applyFont="1" applyBorder="1"/>
    <xf numFmtId="171" fontId="111" fillId="0" borderId="0" xfId="0" applyNumberFormat="1" applyFont="1"/>
    <xf numFmtId="0" fontId="111" fillId="0" borderId="8" xfId="0" applyFont="1" applyBorder="1"/>
    <xf numFmtId="170" fontId="111" fillId="0" borderId="9" xfId="0" applyNumberFormat="1" applyFont="1" applyBorder="1"/>
    <xf numFmtId="172" fontId="111" fillId="0" borderId="0" xfId="0" applyNumberFormat="1" applyFont="1"/>
    <xf numFmtId="0" fontId="111" fillId="0" borderId="0" xfId="0" applyFont="1" applyAlignment="1">
      <alignment horizontal="center"/>
    </xf>
    <xf numFmtId="0" fontId="119" fillId="0" borderId="0" xfId="0" applyFont="1" applyAlignment="1">
      <alignment horizontal="center"/>
    </xf>
    <xf numFmtId="0" fontId="115" fillId="4" borderId="15" xfId="0" applyFont="1" applyFill="1" applyBorder="1" applyAlignment="1">
      <alignment horizontal="center"/>
    </xf>
    <xf numFmtId="0" fontId="115" fillId="0" borderId="0" xfId="0" applyFont="1"/>
    <xf numFmtId="173" fontId="120" fillId="0" borderId="0" xfId="0" applyNumberFormat="1" applyFont="1" applyAlignment="1">
      <alignment horizontal="left"/>
    </xf>
    <xf numFmtId="0" fontId="120" fillId="0" borderId="0" xfId="0" applyFont="1"/>
    <xf numFmtId="0" fontId="121" fillId="0" borderId="0" xfId="0" applyFont="1" applyAlignment="1">
      <alignment horizontal="center"/>
    </xf>
    <xf numFmtId="0" fontId="114" fillId="5" borderId="16" xfId="0" applyFont="1" applyFill="1" applyBorder="1" applyAlignment="1">
      <alignment horizontal="center"/>
    </xf>
    <xf numFmtId="0" fontId="121" fillId="0" borderId="0" xfId="0" applyFont="1"/>
    <xf numFmtId="0" fontId="121" fillId="5" borderId="19" xfId="0" applyFont="1" applyFill="1" applyBorder="1"/>
    <xf numFmtId="0" fontId="121" fillId="5" borderId="22" xfId="0" applyFont="1" applyFill="1" applyBorder="1"/>
    <xf numFmtId="0" fontId="121" fillId="5" borderId="20" xfId="0" applyFont="1" applyFill="1" applyBorder="1"/>
    <xf numFmtId="0" fontId="114" fillId="5" borderId="19" xfId="0" applyFont="1" applyFill="1" applyBorder="1"/>
    <xf numFmtId="0" fontId="114" fillId="5" borderId="22" xfId="0" applyFont="1" applyFill="1" applyBorder="1"/>
    <xf numFmtId="0" fontId="114" fillId="5" borderId="20" xfId="0" applyFont="1" applyFill="1" applyBorder="1"/>
    <xf numFmtId="0" fontId="121" fillId="5" borderId="1" xfId="0" applyFont="1" applyFill="1" applyBorder="1"/>
    <xf numFmtId="0" fontId="114" fillId="5" borderId="10" xfId="0" applyFont="1" applyFill="1" applyBorder="1"/>
    <xf numFmtId="0" fontId="114" fillId="5" borderId="12" xfId="0" applyFont="1" applyFill="1" applyBorder="1"/>
    <xf numFmtId="0" fontId="114" fillId="5" borderId="1" xfId="0" applyFont="1" applyFill="1" applyBorder="1"/>
    <xf numFmtId="0" fontId="114" fillId="5" borderId="20" xfId="0" applyFont="1" applyFill="1" applyBorder="1" applyAlignment="1">
      <alignment horizontal="left"/>
    </xf>
    <xf numFmtId="0" fontId="114" fillId="5" borderId="28" xfId="0" applyFont="1" applyFill="1" applyBorder="1"/>
    <xf numFmtId="0" fontId="122" fillId="5" borderId="20" xfId="0" applyFont="1" applyFill="1" applyBorder="1"/>
    <xf numFmtId="0" fontId="122" fillId="5" borderId="22" xfId="0" applyFont="1" applyFill="1" applyBorder="1"/>
    <xf numFmtId="0" fontId="114" fillId="5" borderId="31" xfId="0" applyFont="1" applyFill="1" applyBorder="1"/>
    <xf numFmtId="0" fontId="114" fillId="5" borderId="32" xfId="0" applyFont="1" applyFill="1" applyBorder="1"/>
    <xf numFmtId="0" fontId="123" fillId="5" borderId="1" xfId="0" applyFont="1" applyFill="1" applyBorder="1"/>
    <xf numFmtId="0" fontId="123" fillId="0" borderId="0" xfId="0" applyFont="1"/>
    <xf numFmtId="0" fontId="120" fillId="5" borderId="1" xfId="0" applyFont="1" applyFill="1" applyBorder="1"/>
    <xf numFmtId="0" fontId="115" fillId="5" borderId="1" xfId="0" applyFont="1" applyFill="1" applyBorder="1"/>
    <xf numFmtId="173" fontId="120" fillId="5" borderId="1" xfId="0" applyNumberFormat="1" applyFont="1" applyFill="1" applyBorder="1" applyAlignment="1">
      <alignment horizontal="left"/>
    </xf>
    <xf numFmtId="0" fontId="122" fillId="5" borderId="19" xfId="0" applyFont="1" applyFill="1" applyBorder="1"/>
    <xf numFmtId="0" fontId="114" fillId="5" borderId="33" xfId="0" applyFont="1" applyFill="1" applyBorder="1"/>
    <xf numFmtId="0" fontId="114" fillId="5" borderId="34" xfId="0" applyFont="1" applyFill="1" applyBorder="1"/>
    <xf numFmtId="0" fontId="114" fillId="5" borderId="37" xfId="0" applyFont="1" applyFill="1" applyBorder="1"/>
    <xf numFmtId="0" fontId="124" fillId="5" borderId="1" xfId="0" applyFont="1" applyFill="1" applyBorder="1" applyAlignment="1">
      <alignment horizontal="center" vertical="center"/>
    </xf>
    <xf numFmtId="0" fontId="124" fillId="5" borderId="22" xfId="0" applyFont="1" applyFill="1" applyBorder="1"/>
    <xf numFmtId="0" fontId="124" fillId="5" borderId="20" xfId="0" applyFont="1" applyFill="1" applyBorder="1"/>
    <xf numFmtId="0" fontId="124" fillId="5" borderId="28" xfId="0" applyFont="1" applyFill="1" applyBorder="1"/>
    <xf numFmtId="0" fontId="124" fillId="5" borderId="19" xfId="0" applyFont="1" applyFill="1" applyBorder="1"/>
    <xf numFmtId="0" fontId="124" fillId="5" borderId="37" xfId="0" applyFont="1" applyFill="1" applyBorder="1"/>
    <xf numFmtId="0" fontId="124" fillId="5" borderId="40" xfId="0" applyFont="1" applyFill="1" applyBorder="1"/>
    <xf numFmtId="0" fontId="120" fillId="5" borderId="41" xfId="0" applyFont="1" applyFill="1" applyBorder="1"/>
    <xf numFmtId="0" fontId="122" fillId="5" borderId="41" xfId="0" applyFont="1" applyFill="1" applyBorder="1"/>
    <xf numFmtId="0" fontId="121" fillId="5" borderId="41" xfId="0" applyFont="1" applyFill="1" applyBorder="1"/>
    <xf numFmtId="0" fontId="121" fillId="5" borderId="42" xfId="0" applyFont="1" applyFill="1" applyBorder="1"/>
    <xf numFmtId="0" fontId="124" fillId="5" borderId="43" xfId="0" applyFont="1" applyFill="1" applyBorder="1"/>
    <xf numFmtId="0" fontId="125" fillId="6" borderId="1" xfId="0" applyFont="1" applyFill="1" applyBorder="1"/>
    <xf numFmtId="0" fontId="120" fillId="6" borderId="1" xfId="0" applyFont="1" applyFill="1" applyBorder="1"/>
    <xf numFmtId="0" fontId="126" fillId="6" borderId="1" xfId="0" applyFont="1" applyFill="1" applyBorder="1"/>
    <xf numFmtId="0" fontId="127" fillId="6" borderId="1" xfId="0" applyFont="1" applyFill="1" applyBorder="1" applyAlignment="1">
      <alignment horizontal="center" vertical="center"/>
    </xf>
    <xf numFmtId="0" fontId="120" fillId="6" borderId="1" xfId="0" applyFont="1" applyFill="1" applyBorder="1" applyAlignment="1">
      <alignment horizontal="center" vertical="center"/>
    </xf>
    <xf numFmtId="0" fontId="125" fillId="6" borderId="1" xfId="0" applyFont="1" applyFill="1" applyBorder="1" applyAlignment="1">
      <alignment horizontal="center"/>
    </xf>
    <xf numFmtId="0" fontId="120" fillId="6" borderId="1" xfId="0" applyFont="1" applyFill="1" applyBorder="1" applyAlignment="1">
      <alignment horizontal="center"/>
    </xf>
    <xf numFmtId="0" fontId="128" fillId="6" borderId="1" xfId="0" applyFont="1" applyFill="1" applyBorder="1" applyAlignment="1">
      <alignment horizontal="center"/>
    </xf>
    <xf numFmtId="175" fontId="120" fillId="6" borderId="1" xfId="0" applyNumberFormat="1" applyFont="1" applyFill="1" applyBorder="1"/>
    <xf numFmtId="37" fontId="120" fillId="6" borderId="1" xfId="0" applyNumberFormat="1" applyFont="1" applyFill="1" applyBorder="1"/>
    <xf numFmtId="175" fontId="125" fillId="6" borderId="1" xfId="0" applyNumberFormat="1" applyFont="1" applyFill="1" applyBorder="1"/>
    <xf numFmtId="37" fontId="125" fillId="6" borderId="1" xfId="0" applyNumberFormat="1" applyFont="1" applyFill="1" applyBorder="1"/>
    <xf numFmtId="0" fontId="129" fillId="6" borderId="1" xfId="0" applyFont="1" applyFill="1" applyBorder="1"/>
    <xf numFmtId="0" fontId="128" fillId="6" borderId="1" xfId="0" applyFont="1" applyFill="1" applyBorder="1" applyAlignment="1">
      <alignment horizontal="left"/>
    </xf>
    <xf numFmtId="0" fontId="130" fillId="6" borderId="1" xfId="0" applyFont="1" applyFill="1" applyBorder="1"/>
    <xf numFmtId="37" fontId="120" fillId="0" borderId="0" xfId="0" applyNumberFormat="1" applyFont="1"/>
    <xf numFmtId="0" fontId="131" fillId="0" borderId="0" xfId="0" applyFont="1"/>
    <xf numFmtId="0" fontId="132" fillId="0" borderId="0" xfId="0" applyFont="1"/>
    <xf numFmtId="0" fontId="133" fillId="0" borderId="0" xfId="0" applyFont="1" applyAlignment="1">
      <alignment horizontal="center"/>
    </xf>
    <xf numFmtId="0" fontId="110" fillId="7" borderId="1" xfId="0" applyFont="1" applyFill="1" applyBorder="1" applyAlignment="1">
      <alignment horizontal="center"/>
    </xf>
    <xf numFmtId="0" fontId="110" fillId="8" borderId="45" xfId="0" applyFont="1" applyFill="1" applyBorder="1" applyAlignment="1">
      <alignment horizontal="center" vertical="center" wrapText="1"/>
    </xf>
    <xf numFmtId="0" fontId="110" fillId="8" borderId="46" xfId="0" applyFont="1" applyFill="1" applyBorder="1" applyAlignment="1">
      <alignment horizontal="center" vertical="center" wrapText="1"/>
    </xf>
    <xf numFmtId="0" fontId="110" fillId="8" borderId="47" xfId="0" applyFont="1" applyFill="1" applyBorder="1" applyAlignment="1">
      <alignment horizontal="center" vertical="center" wrapText="1"/>
    </xf>
    <xf numFmtId="0" fontId="110" fillId="8" borderId="48" xfId="0" applyFont="1" applyFill="1" applyBorder="1" applyAlignment="1">
      <alignment horizontal="center" vertical="center" wrapText="1"/>
    </xf>
    <xf numFmtId="169" fontId="134" fillId="9" borderId="52" xfId="0" applyNumberFormat="1" applyFont="1" applyFill="1" applyBorder="1" applyAlignment="1">
      <alignment horizontal="center" vertical="center"/>
    </xf>
    <xf numFmtId="169" fontId="134" fillId="9" borderId="53" xfId="0" applyNumberFormat="1" applyFont="1" applyFill="1" applyBorder="1" applyAlignment="1">
      <alignment horizontal="center" vertical="center"/>
    </xf>
    <xf numFmtId="3" fontId="110" fillId="9" borderId="52" xfId="0" applyNumberFormat="1" applyFont="1" applyFill="1" applyBorder="1" applyAlignment="1">
      <alignment horizontal="center" vertical="center"/>
    </xf>
    <xf numFmtId="3" fontId="110" fillId="9" borderId="53" xfId="0" applyNumberFormat="1" applyFont="1" applyFill="1" applyBorder="1" applyAlignment="1">
      <alignment horizontal="center" vertical="center"/>
    </xf>
    <xf numFmtId="0" fontId="111" fillId="9" borderId="54" xfId="0" applyFont="1" applyFill="1" applyBorder="1" applyAlignment="1">
      <alignment wrapText="1"/>
    </xf>
    <xf numFmtId="0" fontId="111" fillId="0" borderId="44" xfId="0" applyFont="1" applyBorder="1" applyAlignment="1">
      <alignment horizontal="center" vertical="center" wrapText="1"/>
    </xf>
    <xf numFmtId="0" fontId="111" fillId="0" borderId="44" xfId="0" applyFont="1" applyBorder="1" applyAlignment="1">
      <alignment horizontal="center" vertical="center"/>
    </xf>
    <xf numFmtId="0" fontId="111" fillId="0" borderId="55" xfId="0" applyFont="1" applyBorder="1" applyAlignment="1">
      <alignment horizontal="left" vertical="center" wrapText="1"/>
    </xf>
    <xf numFmtId="37" fontId="111" fillId="0" borderId="0" xfId="0" applyNumberFormat="1" applyFont="1" applyAlignment="1">
      <alignment horizontal="center" vertical="center"/>
    </xf>
    <xf numFmtId="37" fontId="111" fillId="0" borderId="56" xfId="0" applyNumberFormat="1" applyFont="1" applyBorder="1" applyAlignment="1">
      <alignment horizontal="center" vertical="center"/>
    </xf>
    <xf numFmtId="0" fontId="111" fillId="0" borderId="57" xfId="0" applyFont="1" applyBorder="1" applyAlignment="1">
      <alignment horizontal="center" vertical="center" wrapText="1"/>
    </xf>
    <xf numFmtId="0" fontId="111" fillId="0" borderId="57" xfId="0" applyFont="1" applyBorder="1" applyAlignment="1">
      <alignment horizontal="center" vertical="center"/>
    </xf>
    <xf numFmtId="0" fontId="111" fillId="0" borderId="56" xfId="0" applyFont="1" applyBorder="1" applyAlignment="1">
      <alignment horizontal="left" vertical="center" wrapText="1"/>
    </xf>
    <xf numFmtId="0" fontId="111" fillId="0" borderId="55" xfId="0" applyFont="1" applyBorder="1" applyAlignment="1">
      <alignment horizontal="center" vertical="center" wrapText="1"/>
    </xf>
    <xf numFmtId="0" fontId="111" fillId="0" borderId="56" xfId="0" applyFont="1" applyBorder="1" applyAlignment="1">
      <alignment horizontal="center" vertical="center" wrapText="1"/>
    </xf>
    <xf numFmtId="0" fontId="111" fillId="0" borderId="49" xfId="0" applyFont="1" applyBorder="1" applyAlignment="1">
      <alignment horizontal="center" vertical="center" wrapText="1"/>
    </xf>
    <xf numFmtId="0" fontId="111" fillId="0" borderId="49" xfId="0" applyFont="1" applyBorder="1" applyAlignment="1">
      <alignment horizontal="center" vertical="center"/>
    </xf>
    <xf numFmtId="0" fontId="111" fillId="0" borderId="58" xfId="0" applyFont="1" applyBorder="1" applyAlignment="1">
      <alignment horizontal="center" vertical="center" wrapText="1"/>
    </xf>
    <xf numFmtId="0" fontId="111" fillId="0" borderId="59" xfId="0" applyFont="1" applyBorder="1" applyAlignment="1">
      <alignment horizontal="center" vertical="center" wrapText="1"/>
    </xf>
    <xf numFmtId="37" fontId="111" fillId="0" borderId="58" xfId="0" applyNumberFormat="1" applyFont="1" applyBorder="1" applyAlignment="1">
      <alignment horizontal="center" vertical="center"/>
    </xf>
    <xf numFmtId="37" fontId="111" fillId="0" borderId="60" xfId="0" applyNumberFormat="1" applyFont="1" applyBorder="1" applyAlignment="1">
      <alignment horizontal="center" vertical="center"/>
    </xf>
    <xf numFmtId="0" fontId="111" fillId="0" borderId="0" xfId="0" applyFont="1" applyAlignment="1">
      <alignment wrapText="1"/>
    </xf>
    <xf numFmtId="0" fontId="111" fillId="0" borderId="0" xfId="0" applyFont="1" applyAlignment="1">
      <alignment horizontal="center" wrapText="1"/>
    </xf>
    <xf numFmtId="0" fontId="111" fillId="0" borderId="0" xfId="0" applyFont="1" applyAlignment="1">
      <alignment horizontal="right"/>
    </xf>
    <xf numFmtId="43" fontId="111" fillId="0" borderId="0" xfId="0" applyNumberFormat="1" applyFont="1" applyAlignment="1">
      <alignment horizontal="center"/>
    </xf>
    <xf numFmtId="0" fontId="111" fillId="0" borderId="61" xfId="0" applyFont="1" applyBorder="1" applyAlignment="1">
      <alignment horizontal="right" vertical="center"/>
    </xf>
    <xf numFmtId="0" fontId="111" fillId="0" borderId="61" xfId="0" applyFont="1" applyBorder="1" applyAlignment="1">
      <alignment vertical="center"/>
    </xf>
    <xf numFmtId="0" fontId="111" fillId="7" borderId="61" xfId="0" applyFont="1" applyFill="1" applyBorder="1" applyAlignment="1">
      <alignment horizontal="right" vertical="center" wrapText="1"/>
    </xf>
    <xf numFmtId="0" fontId="111" fillId="0" borderId="61" xfId="0" applyFont="1" applyBorder="1" applyAlignment="1">
      <alignment horizontal="center" vertical="center"/>
    </xf>
    <xf numFmtId="0" fontId="111" fillId="0" borderId="61" xfId="0" applyFont="1" applyBorder="1" applyAlignment="1">
      <alignment horizontal="center" vertical="center" wrapText="1"/>
    </xf>
    <xf numFmtId="0" fontId="111" fillId="0" borderId="0" xfId="0" applyFont="1" applyAlignment="1">
      <alignment horizontal="left"/>
    </xf>
    <xf numFmtId="43" fontId="111" fillId="0" borderId="0" xfId="0" applyNumberFormat="1" applyFont="1"/>
    <xf numFmtId="43" fontId="111" fillId="0" borderId="62" xfId="0" applyNumberFormat="1" applyFont="1" applyBorder="1"/>
    <xf numFmtId="43" fontId="111" fillId="0" borderId="63" xfId="0" applyNumberFormat="1" applyFont="1" applyBorder="1"/>
    <xf numFmtId="177" fontId="111" fillId="0" borderId="64" xfId="0" applyNumberFormat="1" applyFont="1" applyBorder="1"/>
    <xf numFmtId="0" fontId="112" fillId="0" borderId="0" xfId="0" applyFont="1"/>
    <xf numFmtId="178" fontId="112" fillId="0" borderId="0" xfId="0" applyNumberFormat="1" applyFont="1" applyAlignment="1">
      <alignment horizontal="left"/>
    </xf>
    <xf numFmtId="0" fontId="136" fillId="0" borderId="0" xfId="0" applyFont="1" applyAlignment="1">
      <alignment horizontal="center"/>
    </xf>
    <xf numFmtId="49" fontId="112" fillId="0" borderId="0" xfId="0" applyNumberFormat="1" applyFont="1" applyAlignment="1">
      <alignment horizontal="center" vertical="center"/>
    </xf>
    <xf numFmtId="172" fontId="112" fillId="10" borderId="1" xfId="0" applyNumberFormat="1" applyFont="1" applyFill="1" applyBorder="1" applyAlignment="1">
      <alignment horizontal="center" vertical="center"/>
    </xf>
    <xf numFmtId="172" fontId="112" fillId="10" borderId="1" xfId="0" applyNumberFormat="1" applyFont="1" applyFill="1" applyBorder="1" applyAlignment="1">
      <alignment horizontal="center"/>
    </xf>
    <xf numFmtId="175" fontId="112" fillId="0" borderId="0" xfId="0" applyNumberFormat="1" applyFont="1" applyAlignment="1">
      <alignment horizontal="center"/>
    </xf>
    <xf numFmtId="172" fontId="112" fillId="0" borderId="0" xfId="0" applyNumberFormat="1" applyFont="1"/>
    <xf numFmtId="43" fontId="112" fillId="0" borderId="0" xfId="0" applyNumberFormat="1" applyFont="1" applyAlignment="1">
      <alignment horizontal="center"/>
    </xf>
    <xf numFmtId="43" fontId="112" fillId="0" borderId="0" xfId="0" applyNumberFormat="1" applyFont="1"/>
    <xf numFmtId="0" fontId="112" fillId="11" borderId="1" xfId="0" applyFont="1" applyFill="1" applyBorder="1" applyAlignment="1">
      <alignment horizontal="center"/>
    </xf>
    <xf numFmtId="179" fontId="112" fillId="0" borderId="0" xfId="0" applyNumberFormat="1" applyFont="1"/>
    <xf numFmtId="44" fontId="112" fillId="0" borderId="0" xfId="0" applyNumberFormat="1" applyFont="1"/>
    <xf numFmtId="0" fontId="112" fillId="11" borderId="1" xfId="0" applyFont="1" applyFill="1" applyBorder="1" applyAlignment="1">
      <alignment horizontal="right"/>
    </xf>
    <xf numFmtId="43" fontId="112" fillId="11" borderId="1" xfId="0" applyNumberFormat="1" applyFont="1" applyFill="1" applyBorder="1"/>
    <xf numFmtId="0" fontId="112" fillId="10" borderId="1" xfId="0" applyFont="1" applyFill="1" applyBorder="1"/>
    <xf numFmtId="0" fontId="110" fillId="12" borderId="61" xfId="0" applyFont="1" applyFill="1" applyBorder="1" applyAlignment="1">
      <alignment horizontal="center"/>
    </xf>
    <xf numFmtId="0" fontId="110" fillId="12" borderId="65" xfId="0" applyFont="1" applyFill="1" applyBorder="1" applyAlignment="1">
      <alignment horizontal="center"/>
    </xf>
    <xf numFmtId="0" fontId="110" fillId="12" borderId="66" xfId="0" applyFont="1" applyFill="1" applyBorder="1" applyAlignment="1">
      <alignment horizontal="center"/>
    </xf>
    <xf numFmtId="0" fontId="110" fillId="12" borderId="67" xfId="0" applyFont="1" applyFill="1" applyBorder="1" applyAlignment="1">
      <alignment horizontal="center"/>
    </xf>
    <xf numFmtId="0" fontId="110" fillId="12" borderId="68" xfId="0" applyFont="1" applyFill="1" applyBorder="1" applyAlignment="1">
      <alignment horizontal="center"/>
    </xf>
    <xf numFmtId="0" fontId="110" fillId="0" borderId="69" xfId="0" applyFont="1" applyBorder="1"/>
    <xf numFmtId="37" fontId="110" fillId="0" borderId="70" xfId="0" applyNumberFormat="1" applyFont="1" applyBorder="1" applyAlignment="1">
      <alignment horizontal="center"/>
    </xf>
    <xf numFmtId="1" fontId="110" fillId="0" borderId="72" xfId="0" applyNumberFormat="1" applyFont="1" applyBorder="1" applyAlignment="1">
      <alignment horizontal="center"/>
    </xf>
    <xf numFmtId="1" fontId="110" fillId="0" borderId="73" xfId="0" applyNumberFormat="1" applyFont="1" applyBorder="1" applyAlignment="1">
      <alignment horizontal="center"/>
    </xf>
    <xf numFmtId="9" fontId="110" fillId="0" borderId="74" xfId="0" applyNumberFormat="1" applyFont="1" applyBorder="1" applyAlignment="1">
      <alignment horizontal="center"/>
    </xf>
    <xf numFmtId="9" fontId="110" fillId="0" borderId="75" xfId="0" applyNumberFormat="1" applyFont="1" applyBorder="1" applyAlignment="1">
      <alignment horizontal="center"/>
    </xf>
    <xf numFmtId="0" fontId="111" fillId="0" borderId="69" xfId="0" applyFont="1" applyBorder="1"/>
    <xf numFmtId="169" fontId="111" fillId="0" borderId="70" xfId="0" applyNumberFormat="1" applyFont="1" applyBorder="1" applyAlignment="1">
      <alignment horizontal="center"/>
    </xf>
    <xf numFmtId="169" fontId="111" fillId="0" borderId="72" xfId="0" applyNumberFormat="1" applyFont="1" applyBorder="1" applyAlignment="1">
      <alignment horizontal="center"/>
    </xf>
    <xf numFmtId="169" fontId="111" fillId="0" borderId="73" xfId="0" applyNumberFormat="1" applyFont="1" applyBorder="1" applyAlignment="1">
      <alignment horizontal="center"/>
    </xf>
    <xf numFmtId="9" fontId="111" fillId="0" borderId="70" xfId="0" applyNumberFormat="1" applyFont="1" applyBorder="1" applyAlignment="1">
      <alignment horizontal="center"/>
    </xf>
    <xf numFmtId="9" fontId="111" fillId="0" borderId="72" xfId="0" applyNumberFormat="1" applyFont="1" applyBorder="1" applyAlignment="1">
      <alignment horizontal="center"/>
    </xf>
    <xf numFmtId="9" fontId="111" fillId="0" borderId="77" xfId="0" applyNumberFormat="1" applyFont="1" applyBorder="1" applyAlignment="1">
      <alignment horizontal="center"/>
    </xf>
    <xf numFmtId="2" fontId="111" fillId="0" borderId="72" xfId="0" applyNumberFormat="1" applyFont="1" applyBorder="1" applyAlignment="1">
      <alignment horizontal="center"/>
    </xf>
    <xf numFmtId="2" fontId="111" fillId="0" borderId="73" xfId="0" applyNumberFormat="1" applyFont="1" applyBorder="1" applyAlignment="1">
      <alignment horizontal="center"/>
    </xf>
    <xf numFmtId="9" fontId="111" fillId="0" borderId="73" xfId="0" applyNumberFormat="1" applyFont="1" applyBorder="1" applyAlignment="1">
      <alignment horizontal="center"/>
    </xf>
    <xf numFmtId="0" fontId="110" fillId="0" borderId="78" xfId="0" applyFont="1" applyBorder="1"/>
    <xf numFmtId="0" fontId="111" fillId="0" borderId="79" xfId="0" applyFont="1" applyBorder="1"/>
    <xf numFmtId="169" fontId="111" fillId="0" borderId="80" xfId="0" applyNumberFormat="1" applyFont="1" applyBorder="1" applyAlignment="1">
      <alignment horizontal="center"/>
    </xf>
    <xf numFmtId="169" fontId="111" fillId="0" borderId="81" xfId="0" applyNumberFormat="1" applyFont="1" applyBorder="1" applyAlignment="1">
      <alignment horizontal="center"/>
    </xf>
    <xf numFmtId="9" fontId="111" fillId="0" borderId="80" xfId="0" applyNumberFormat="1" applyFont="1" applyBorder="1" applyAlignment="1">
      <alignment horizontal="center"/>
    </xf>
    <xf numFmtId="9" fontId="111" fillId="0" borderId="82" xfId="0" applyNumberFormat="1" applyFont="1" applyBorder="1" applyAlignment="1">
      <alignment horizontal="center"/>
    </xf>
    <xf numFmtId="0" fontId="111" fillId="0" borderId="69" xfId="0" applyFont="1" applyBorder="1" applyAlignment="1">
      <alignment horizontal="left"/>
    </xf>
    <xf numFmtId="0" fontId="111" fillId="0" borderId="70" xfId="0" applyFont="1" applyBorder="1" applyAlignment="1">
      <alignment horizontal="center"/>
    </xf>
    <xf numFmtId="0" fontId="111" fillId="0" borderId="83" xfId="0" applyFont="1" applyBorder="1" applyAlignment="1">
      <alignment horizontal="left"/>
    </xf>
    <xf numFmtId="169" fontId="111" fillId="0" borderId="84" xfId="0" applyNumberFormat="1" applyFont="1" applyBorder="1" applyAlignment="1">
      <alignment horizontal="center"/>
    </xf>
    <xf numFmtId="169" fontId="111" fillId="0" borderId="86" xfId="0" applyNumberFormat="1" applyFont="1" applyBorder="1" applyAlignment="1">
      <alignment horizontal="center"/>
    </xf>
    <xf numFmtId="169" fontId="111" fillId="0" borderId="87" xfId="0" applyNumberFormat="1" applyFont="1" applyBorder="1" applyAlignment="1">
      <alignment horizontal="center"/>
    </xf>
    <xf numFmtId="9" fontId="111" fillId="0" borderId="86" xfId="0" applyNumberFormat="1" applyFont="1" applyBorder="1" applyAlignment="1">
      <alignment horizontal="center"/>
    </xf>
    <xf numFmtId="9" fontId="111" fillId="0" borderId="88" xfId="0" applyNumberFormat="1" applyFont="1" applyBorder="1" applyAlignment="1">
      <alignment horizontal="center"/>
    </xf>
    <xf numFmtId="169" fontId="111" fillId="0" borderId="0" xfId="0" applyNumberFormat="1" applyFont="1"/>
    <xf numFmtId="0" fontId="110" fillId="14" borderId="61" xfId="0" applyFont="1" applyFill="1" applyBorder="1" applyAlignment="1">
      <alignment horizontal="center"/>
    </xf>
    <xf numFmtId="0" fontId="110" fillId="14" borderId="65" xfId="0" applyFont="1" applyFill="1" applyBorder="1" applyAlignment="1">
      <alignment horizontal="center"/>
    </xf>
    <xf numFmtId="0" fontId="110" fillId="14" borderId="66" xfId="0" applyFont="1" applyFill="1" applyBorder="1" applyAlignment="1">
      <alignment horizontal="center"/>
    </xf>
    <xf numFmtId="0" fontId="110" fillId="14" borderId="68" xfId="0" applyFont="1" applyFill="1" applyBorder="1" applyAlignment="1">
      <alignment horizontal="center"/>
    </xf>
    <xf numFmtId="0" fontId="110" fillId="15" borderId="61" xfId="0" applyFont="1" applyFill="1" applyBorder="1" applyAlignment="1">
      <alignment horizontal="center"/>
    </xf>
    <xf numFmtId="179" fontId="111" fillId="0" borderId="70" xfId="0" applyNumberFormat="1" applyFont="1" applyBorder="1" applyAlignment="1">
      <alignment horizontal="center"/>
    </xf>
    <xf numFmtId="0" fontId="110" fillId="9" borderId="61" xfId="0" applyFont="1" applyFill="1" applyBorder="1" applyAlignment="1">
      <alignment horizontal="center"/>
    </xf>
    <xf numFmtId="0" fontId="110" fillId="9" borderId="65" xfId="0" applyFont="1" applyFill="1" applyBorder="1" applyAlignment="1">
      <alignment horizontal="center"/>
    </xf>
    <xf numFmtId="0" fontId="110" fillId="9" borderId="66" xfId="0" applyFont="1" applyFill="1" applyBorder="1" applyAlignment="1">
      <alignment horizontal="center"/>
    </xf>
    <xf numFmtId="0" fontId="110" fillId="9" borderId="68" xfId="0" applyFont="1" applyFill="1" applyBorder="1" applyAlignment="1">
      <alignment horizontal="center"/>
    </xf>
    <xf numFmtId="169" fontId="110" fillId="0" borderId="70" xfId="0" applyNumberFormat="1" applyFont="1" applyBorder="1" applyAlignment="1">
      <alignment horizontal="center"/>
    </xf>
    <xf numFmtId="169" fontId="110" fillId="0" borderId="72" xfId="0" applyNumberFormat="1" applyFont="1" applyBorder="1" applyAlignment="1">
      <alignment horizontal="center"/>
    </xf>
    <xf numFmtId="169" fontId="110" fillId="0" borderId="73" xfId="0" applyNumberFormat="1" applyFont="1" applyBorder="1" applyAlignment="1">
      <alignment horizontal="center"/>
    </xf>
    <xf numFmtId="9" fontId="110" fillId="0" borderId="72" xfId="0" applyNumberFormat="1" applyFont="1" applyBorder="1" applyAlignment="1">
      <alignment horizontal="center"/>
    </xf>
    <xf numFmtId="9" fontId="110" fillId="0" borderId="77" xfId="0" applyNumberFormat="1" applyFont="1" applyBorder="1" applyAlignment="1">
      <alignment horizontal="center"/>
    </xf>
    <xf numFmtId="0" fontId="111" fillId="0" borderId="83" xfId="0" applyFont="1" applyBorder="1"/>
    <xf numFmtId="0" fontId="110" fillId="8" borderId="61" xfId="0" applyFont="1" applyFill="1" applyBorder="1" applyAlignment="1">
      <alignment horizontal="center"/>
    </xf>
    <xf numFmtId="0" fontId="110" fillId="8" borderId="65" xfId="0" applyFont="1" applyFill="1" applyBorder="1" applyAlignment="1">
      <alignment horizontal="center"/>
    </xf>
    <xf numFmtId="0" fontId="110" fillId="8" borderId="66" xfId="0" applyFont="1" applyFill="1" applyBorder="1" applyAlignment="1">
      <alignment horizontal="center"/>
    </xf>
    <xf numFmtId="0" fontId="110" fillId="8" borderId="68" xfId="0" applyFont="1" applyFill="1" applyBorder="1" applyAlignment="1">
      <alignment horizontal="center"/>
    </xf>
    <xf numFmtId="0" fontId="110" fillId="16" borderId="61" xfId="0" applyFont="1" applyFill="1" applyBorder="1" applyAlignment="1">
      <alignment horizontal="center"/>
    </xf>
    <xf numFmtId="0" fontId="110" fillId="0" borderId="69" xfId="0" applyFont="1" applyBorder="1" applyAlignment="1">
      <alignment horizontal="left"/>
    </xf>
    <xf numFmtId="0" fontId="110" fillId="17" borderId="61" xfId="0" applyFont="1" applyFill="1" applyBorder="1" applyAlignment="1">
      <alignment horizontal="center"/>
    </xf>
    <xf numFmtId="0" fontId="110" fillId="17" borderId="65" xfId="0" applyFont="1" applyFill="1" applyBorder="1" applyAlignment="1">
      <alignment horizontal="center"/>
    </xf>
    <xf numFmtId="0" fontId="110" fillId="17" borderId="66" xfId="0" applyFont="1" applyFill="1" applyBorder="1" applyAlignment="1">
      <alignment horizontal="center"/>
    </xf>
    <xf numFmtId="0" fontId="110" fillId="17" borderId="68" xfId="0" applyFont="1" applyFill="1" applyBorder="1" applyAlignment="1">
      <alignment horizontal="center"/>
    </xf>
    <xf numFmtId="0" fontId="110" fillId="18" borderId="89" xfId="0" applyFont="1" applyFill="1" applyBorder="1" applyAlignment="1">
      <alignment horizontal="center"/>
    </xf>
    <xf numFmtId="1" fontId="111" fillId="0" borderId="70" xfId="0" applyNumberFormat="1" applyFont="1" applyBorder="1" applyAlignment="1">
      <alignment horizontal="center"/>
    </xf>
    <xf numFmtId="1" fontId="111" fillId="0" borderId="72" xfId="0" applyNumberFormat="1" applyFont="1" applyBorder="1" applyAlignment="1">
      <alignment horizontal="center"/>
    </xf>
    <xf numFmtId="1" fontId="111" fillId="0" borderId="73" xfId="0" applyNumberFormat="1" applyFont="1" applyBorder="1" applyAlignment="1">
      <alignment horizontal="center"/>
    </xf>
    <xf numFmtId="0" fontId="110" fillId="19" borderId="61" xfId="0" applyFont="1" applyFill="1" applyBorder="1" applyAlignment="1">
      <alignment horizontal="center"/>
    </xf>
    <xf numFmtId="0" fontId="110" fillId="19" borderId="65" xfId="0" applyFont="1" applyFill="1" applyBorder="1" applyAlignment="1">
      <alignment horizontal="center"/>
    </xf>
    <xf numFmtId="0" fontId="110" fillId="19" borderId="66" xfId="0" applyFont="1" applyFill="1" applyBorder="1" applyAlignment="1">
      <alignment horizontal="center"/>
    </xf>
    <xf numFmtId="0" fontId="110" fillId="19" borderId="68" xfId="0" applyFont="1" applyFill="1" applyBorder="1" applyAlignment="1">
      <alignment horizontal="center"/>
    </xf>
    <xf numFmtId="0" fontId="110" fillId="20" borderId="61" xfId="0" applyFont="1" applyFill="1" applyBorder="1" applyAlignment="1">
      <alignment horizontal="center"/>
    </xf>
    <xf numFmtId="169" fontId="111" fillId="0" borderId="74" xfId="0" applyNumberFormat="1" applyFont="1" applyBorder="1" applyAlignment="1">
      <alignment horizontal="center"/>
    </xf>
    <xf numFmtId="169" fontId="111" fillId="0" borderId="91" xfId="0" applyNumberFormat="1" applyFont="1" applyBorder="1" applyAlignment="1">
      <alignment horizontal="center"/>
    </xf>
    <xf numFmtId="175" fontId="111" fillId="0" borderId="70" xfId="0" applyNumberFormat="1" applyFont="1" applyBorder="1" applyAlignment="1">
      <alignment horizontal="center"/>
    </xf>
    <xf numFmtId="175" fontId="111" fillId="0" borderId="84" xfId="0" applyNumberFormat="1" applyFont="1" applyBorder="1" applyAlignment="1">
      <alignment horizontal="center"/>
    </xf>
    <xf numFmtId="2" fontId="111" fillId="0" borderId="86" xfId="0" applyNumberFormat="1" applyFont="1" applyBorder="1" applyAlignment="1">
      <alignment horizontal="center"/>
    </xf>
    <xf numFmtId="2" fontId="111" fillId="0" borderId="87" xfId="0" applyNumberFormat="1" applyFont="1" applyBorder="1" applyAlignment="1">
      <alignment horizontal="center"/>
    </xf>
    <xf numFmtId="0" fontId="110" fillId="0" borderId="0" xfId="0" applyFont="1" applyAlignment="1">
      <alignment horizontal="left"/>
    </xf>
    <xf numFmtId="0" fontId="115" fillId="0" borderId="0" xfId="0" applyFont="1" applyAlignment="1">
      <alignment horizontal="center" vertical="center"/>
    </xf>
    <xf numFmtId="0" fontId="120" fillId="0" borderId="0" xfId="0" applyFont="1" applyAlignment="1">
      <alignment horizontal="left" vertical="center"/>
    </xf>
    <xf numFmtId="3" fontId="115" fillId="0" borderId="0" xfId="0" applyNumberFormat="1" applyFont="1"/>
    <xf numFmtId="0" fontId="120" fillId="0" borderId="0" xfId="0" applyFont="1" applyAlignment="1">
      <alignment horizontal="center"/>
    </xf>
    <xf numFmtId="0" fontId="139" fillId="21" borderId="10" xfId="0" applyFont="1" applyFill="1" applyBorder="1"/>
    <xf numFmtId="0" fontId="140" fillId="21" borderId="11" xfId="0" applyFont="1" applyFill="1" applyBorder="1"/>
    <xf numFmtId="0" fontId="121" fillId="0" borderId="3" xfId="0" applyFont="1" applyBorder="1"/>
    <xf numFmtId="0" fontId="141" fillId="21" borderId="20" xfId="0" applyFont="1" applyFill="1" applyBorder="1"/>
    <xf numFmtId="10" fontId="141" fillId="21" borderId="21" xfId="0" applyNumberFormat="1" applyFont="1" applyFill="1" applyBorder="1"/>
    <xf numFmtId="0" fontId="121" fillId="0" borderId="6" xfId="0" applyFont="1" applyBorder="1"/>
    <xf numFmtId="3" fontId="121" fillId="0" borderId="92" xfId="0" applyNumberFormat="1" applyFont="1" applyBorder="1" applyAlignment="1">
      <alignment horizontal="center"/>
    </xf>
    <xf numFmtId="3" fontId="121" fillId="0" borderId="0" xfId="0" applyNumberFormat="1" applyFont="1" applyAlignment="1">
      <alignment horizontal="center"/>
    </xf>
    <xf numFmtId="3" fontId="121" fillId="0" borderId="9" xfId="0" applyNumberFormat="1" applyFont="1" applyBorder="1" applyAlignment="1">
      <alignment horizontal="center"/>
    </xf>
    <xf numFmtId="3" fontId="121" fillId="0" borderId="8" xfId="0" applyNumberFormat="1" applyFont="1" applyBorder="1" applyAlignment="1">
      <alignment horizontal="center"/>
    </xf>
    <xf numFmtId="0" fontId="121" fillId="0" borderId="93" xfId="0" applyFont="1" applyBorder="1"/>
    <xf numFmtId="3" fontId="121" fillId="0" borderId="14" xfId="0" applyNumberFormat="1" applyFont="1" applyBorder="1" applyAlignment="1">
      <alignment horizontal="center"/>
    </xf>
    <xf numFmtId="3" fontId="121" fillId="0" borderId="5" xfId="0" applyNumberFormat="1" applyFont="1" applyBorder="1"/>
    <xf numFmtId="3" fontId="121" fillId="0" borderId="14" xfId="0" applyNumberFormat="1" applyFont="1" applyBorder="1" applyAlignment="1">
      <alignment horizontal="right"/>
    </xf>
    <xf numFmtId="3" fontId="121" fillId="0" borderId="14" xfId="0" applyNumberFormat="1" applyFont="1" applyBorder="1"/>
    <xf numFmtId="3" fontId="121" fillId="0" borderId="93" xfId="0" applyNumberFormat="1" applyFont="1" applyBorder="1" applyAlignment="1">
      <alignment horizontal="center"/>
    </xf>
    <xf numFmtId="3" fontId="121" fillId="0" borderId="5" xfId="0" applyNumberFormat="1" applyFont="1" applyBorder="1" applyAlignment="1">
      <alignment horizontal="center"/>
    </xf>
    <xf numFmtId="0" fontId="121" fillId="0" borderId="8" xfId="0" applyFont="1" applyBorder="1"/>
    <xf numFmtId="3" fontId="121" fillId="0" borderId="0" xfId="0" applyNumberFormat="1" applyFont="1"/>
    <xf numFmtId="3" fontId="121" fillId="0" borderId="8" xfId="0" applyNumberFormat="1" applyFont="1" applyBorder="1"/>
    <xf numFmtId="3" fontId="121" fillId="0" borderId="9" xfId="0" applyNumberFormat="1" applyFont="1" applyBorder="1"/>
    <xf numFmtId="0" fontId="140" fillId="21" borderId="12" xfId="0" applyFont="1" applyFill="1" applyBorder="1"/>
    <xf numFmtId="10" fontId="141" fillId="21" borderId="13" xfId="0" applyNumberFormat="1" applyFont="1" applyFill="1" applyBorder="1"/>
    <xf numFmtId="0" fontId="114" fillId="0" borderId="6" xfId="0" applyFont="1" applyBorder="1"/>
    <xf numFmtId="3" fontId="114" fillId="0" borderId="92" xfId="0" applyNumberFormat="1" applyFont="1" applyBorder="1"/>
    <xf numFmtId="3" fontId="114" fillId="0" borderId="7" xfId="0" applyNumberFormat="1" applyFont="1" applyBorder="1"/>
    <xf numFmtId="3" fontId="114" fillId="0" borderId="6" xfId="0" applyNumberFormat="1" applyFont="1" applyBorder="1"/>
    <xf numFmtId="0" fontId="121" fillId="0" borderId="9" xfId="0" applyFont="1" applyBorder="1"/>
    <xf numFmtId="175" fontId="114" fillId="0" borderId="8" xfId="0" applyNumberFormat="1" applyFont="1" applyBorder="1"/>
    <xf numFmtId="175" fontId="114" fillId="0" borderId="9" xfId="0" applyNumberFormat="1" applyFont="1" applyBorder="1"/>
    <xf numFmtId="0" fontId="114" fillId="0" borderId="93" xfId="0" applyFont="1" applyBorder="1"/>
    <xf numFmtId="3" fontId="121" fillId="0" borderId="93" xfId="0" applyNumberFormat="1" applyFont="1" applyBorder="1"/>
    <xf numFmtId="3" fontId="114" fillId="0" borderId="93" xfId="0" applyNumberFormat="1" applyFont="1" applyBorder="1"/>
    <xf numFmtId="3" fontId="114" fillId="0" borderId="14" xfId="0" applyNumberFormat="1" applyFont="1" applyBorder="1"/>
    <xf numFmtId="0" fontId="114" fillId="0" borderId="8" xfId="0" applyFont="1" applyBorder="1"/>
    <xf numFmtId="3" fontId="121" fillId="0" borderId="92" xfId="0" applyNumberFormat="1" applyFont="1" applyBorder="1"/>
    <xf numFmtId="3" fontId="121" fillId="0" borderId="7" xfId="0" applyNumberFormat="1" applyFont="1" applyBorder="1"/>
    <xf numFmtId="3" fontId="121" fillId="0" borderId="6" xfId="0" applyNumberFormat="1" applyFont="1" applyBorder="1"/>
    <xf numFmtId="43" fontId="121" fillId="0" borderId="0" xfId="0" applyNumberFormat="1" applyFont="1"/>
    <xf numFmtId="3" fontId="114" fillId="0" borderId="8" xfId="0" applyNumberFormat="1" applyFont="1" applyBorder="1"/>
    <xf numFmtId="37" fontId="121" fillId="0" borderId="9" xfId="0" applyNumberFormat="1" applyFont="1" applyBorder="1"/>
    <xf numFmtId="37" fontId="121" fillId="0" borderId="8" xfId="0" applyNumberFormat="1" applyFont="1" applyBorder="1"/>
    <xf numFmtId="0" fontId="114" fillId="3" borderId="10" xfId="0" applyFont="1" applyFill="1" applyBorder="1"/>
    <xf numFmtId="37" fontId="114" fillId="3" borderId="26" xfId="0" applyNumberFormat="1" applyFont="1" applyFill="1" applyBorder="1"/>
    <xf numFmtId="3" fontId="114" fillId="3" borderId="26" xfId="0" applyNumberFormat="1" applyFont="1" applyFill="1" applyBorder="1"/>
    <xf numFmtId="37" fontId="114" fillId="3" borderId="11" xfId="0" applyNumberFormat="1" applyFont="1" applyFill="1" applyBorder="1"/>
    <xf numFmtId="37" fontId="114" fillId="3" borderId="10" xfId="0" applyNumberFormat="1" applyFont="1" applyFill="1" applyBorder="1"/>
    <xf numFmtId="0" fontId="114" fillId="3" borderId="12" xfId="0" applyFont="1" applyFill="1" applyBorder="1"/>
    <xf numFmtId="0" fontId="114" fillId="3" borderId="27" xfId="0" applyFont="1" applyFill="1" applyBorder="1"/>
    <xf numFmtId="0" fontId="114" fillId="3" borderId="13" xfId="0" applyFont="1" applyFill="1" applyBorder="1"/>
    <xf numFmtId="175" fontId="114" fillId="3" borderId="12" xfId="0" applyNumberFormat="1" applyFont="1" applyFill="1" applyBorder="1"/>
    <xf numFmtId="175" fontId="114" fillId="3" borderId="13" xfId="0" applyNumberFormat="1" applyFont="1" applyFill="1" applyBorder="1"/>
    <xf numFmtId="0" fontId="114" fillId="0" borderId="9" xfId="0" applyFont="1" applyBorder="1"/>
    <xf numFmtId="0" fontId="114" fillId="0" borderId="8" xfId="0" applyFont="1" applyBorder="1" applyAlignment="1">
      <alignment horizontal="left"/>
    </xf>
    <xf numFmtId="175" fontId="121" fillId="0" borderId="0" xfId="0" applyNumberFormat="1" applyFont="1" applyAlignment="1">
      <alignment horizontal="right"/>
    </xf>
    <xf numFmtId="37" fontId="121" fillId="0" borderId="0" xfId="0" applyNumberFormat="1" applyFont="1"/>
    <xf numFmtId="175" fontId="121" fillId="0" borderId="8" xfId="0" applyNumberFormat="1" applyFont="1" applyBorder="1"/>
    <xf numFmtId="175" fontId="121" fillId="0" borderId="14" xfId="0" applyNumberFormat="1" applyFont="1" applyBorder="1" applyAlignment="1">
      <alignment horizontal="right"/>
    </xf>
    <xf numFmtId="37" fontId="121" fillId="0" borderId="14" xfId="0" applyNumberFormat="1" applyFont="1" applyBorder="1"/>
    <xf numFmtId="175" fontId="121" fillId="0" borderId="93" xfId="0" applyNumberFormat="1" applyFont="1" applyBorder="1"/>
    <xf numFmtId="37" fontId="121" fillId="0" borderId="5" xfId="0" applyNumberFormat="1" applyFont="1" applyBorder="1"/>
    <xf numFmtId="0" fontId="121" fillId="0" borderId="0" xfId="0" applyFont="1" applyAlignment="1">
      <alignment horizontal="right"/>
    </xf>
    <xf numFmtId="0" fontId="121" fillId="0" borderId="8" xfId="0" applyFont="1" applyBorder="1" applyAlignment="1">
      <alignment horizontal="right"/>
    </xf>
    <xf numFmtId="0" fontId="121" fillId="0" borderId="14" xfId="0" applyFont="1" applyBorder="1" applyAlignment="1">
      <alignment horizontal="right"/>
    </xf>
    <xf numFmtId="0" fontId="121" fillId="0" borderId="93" xfId="0" applyFont="1" applyBorder="1" applyAlignment="1">
      <alignment horizontal="right"/>
    </xf>
    <xf numFmtId="3" fontId="121" fillId="0" borderId="94" xfId="0" applyNumberFormat="1" applyFont="1" applyBorder="1"/>
    <xf numFmtId="3" fontId="121" fillId="0" borderId="55" xfId="0" applyNumberFormat="1" applyFont="1" applyBorder="1"/>
    <xf numFmtId="3" fontId="121" fillId="0" borderId="96" xfId="0" applyNumberFormat="1" applyFont="1" applyBorder="1"/>
    <xf numFmtId="0" fontId="114" fillId="3" borderId="28" xfId="0" applyFont="1" applyFill="1" applyBorder="1"/>
    <xf numFmtId="0" fontId="114" fillId="3" borderId="29" xfId="0" applyFont="1" applyFill="1" applyBorder="1" applyAlignment="1">
      <alignment horizontal="center"/>
    </xf>
    <xf numFmtId="175" fontId="114" fillId="3" borderId="29" xfId="0" applyNumberFormat="1" applyFont="1" applyFill="1" applyBorder="1"/>
    <xf numFmtId="37" fontId="114" fillId="3" borderId="30" xfId="0" applyNumberFormat="1" applyFont="1" applyFill="1" applyBorder="1"/>
    <xf numFmtId="0" fontId="114" fillId="3" borderId="28" xfId="0" applyFont="1" applyFill="1" applyBorder="1" applyAlignment="1">
      <alignment horizontal="center"/>
    </xf>
    <xf numFmtId="0" fontId="121" fillId="3" borderId="31" xfId="0" applyFont="1" applyFill="1" applyBorder="1"/>
    <xf numFmtId="37" fontId="114" fillId="3" borderId="29" xfId="0" applyNumberFormat="1" applyFont="1" applyFill="1" applyBorder="1"/>
    <xf numFmtId="0" fontId="121" fillId="3" borderId="28" xfId="0" applyFont="1" applyFill="1" applyBorder="1"/>
    <xf numFmtId="0" fontId="122" fillId="0" borderId="8" xfId="0" applyFont="1" applyBorder="1"/>
    <xf numFmtId="0" fontId="122" fillId="0" borderId="93" xfId="0" applyFont="1" applyBorder="1"/>
    <xf numFmtId="0" fontId="121" fillId="0" borderId="92" xfId="0" applyFont="1" applyBorder="1" applyAlignment="1">
      <alignment horizontal="right"/>
    </xf>
    <xf numFmtId="0" fontId="121" fillId="0" borderId="92" xfId="0" applyFont="1" applyBorder="1"/>
    <xf numFmtId="0" fontId="121" fillId="0" borderId="6" xfId="0" applyFont="1" applyBorder="1" applyAlignment="1">
      <alignment horizontal="right"/>
    </xf>
    <xf numFmtId="37" fontId="121" fillId="0" borderId="7" xfId="0" applyNumberFormat="1" applyFont="1" applyBorder="1"/>
    <xf numFmtId="0" fontId="121" fillId="0" borderId="14" xfId="0" applyFont="1" applyBorder="1"/>
    <xf numFmtId="37" fontId="114" fillId="0" borderId="0" xfId="0" applyNumberFormat="1" applyFont="1"/>
    <xf numFmtId="37" fontId="114" fillId="3" borderId="24" xfId="0" applyNumberFormat="1" applyFont="1" applyFill="1" applyBorder="1"/>
    <xf numFmtId="0" fontId="121" fillId="10" borderId="1" xfId="0" applyFont="1" applyFill="1" applyBorder="1"/>
    <xf numFmtId="1" fontId="121" fillId="0" borderId="8" xfId="0" applyNumberFormat="1" applyFont="1" applyBorder="1"/>
    <xf numFmtId="172" fontId="121" fillId="0" borderId="0" xfId="0" applyNumberFormat="1" applyFont="1"/>
    <xf numFmtId="0" fontId="114" fillId="6" borderId="20" xfId="0" applyFont="1" applyFill="1" applyBorder="1"/>
    <xf numFmtId="0" fontId="121" fillId="6" borderId="1" xfId="0" applyFont="1" applyFill="1" applyBorder="1"/>
    <xf numFmtId="0" fontId="114" fillId="6" borderId="1" xfId="0" applyFont="1" applyFill="1" applyBorder="1"/>
    <xf numFmtId="37" fontId="114" fillId="6" borderId="21" xfId="0" applyNumberFormat="1" applyFont="1" applyFill="1" applyBorder="1"/>
    <xf numFmtId="0" fontId="121" fillId="6" borderId="20" xfId="0" applyFont="1" applyFill="1" applyBorder="1"/>
    <xf numFmtId="0" fontId="121" fillId="6" borderId="22" xfId="0" applyFont="1" applyFill="1" applyBorder="1"/>
    <xf numFmtId="0" fontId="121" fillId="6" borderId="23" xfId="0" applyFont="1" applyFill="1" applyBorder="1"/>
    <xf numFmtId="37" fontId="114" fillId="6" borderId="24" xfId="0" applyNumberFormat="1" applyFont="1" applyFill="1" applyBorder="1"/>
    <xf numFmtId="0" fontId="114" fillId="3" borderId="34" xfId="0" applyFont="1" applyFill="1" applyBorder="1"/>
    <xf numFmtId="0" fontId="121" fillId="3" borderId="35" xfId="0" applyFont="1" applyFill="1" applyBorder="1"/>
    <xf numFmtId="0" fontId="114" fillId="3" borderId="35" xfId="0" applyFont="1" applyFill="1" applyBorder="1"/>
    <xf numFmtId="37" fontId="114" fillId="3" borderId="36" xfId="0" applyNumberFormat="1" applyFont="1" applyFill="1" applyBorder="1"/>
    <xf numFmtId="0" fontId="121" fillId="3" borderId="34" xfId="0" applyFont="1" applyFill="1" applyBorder="1"/>
    <xf numFmtId="1" fontId="123" fillId="0" borderId="0" xfId="0" applyNumberFormat="1" applyFont="1"/>
    <xf numFmtId="37" fontId="123" fillId="0" borderId="0" xfId="0" applyNumberFormat="1" applyFont="1"/>
    <xf numFmtId="0" fontId="142" fillId="22" borderId="1" xfId="0" applyFont="1" applyFill="1" applyBorder="1"/>
    <xf numFmtId="0" fontId="121" fillId="0" borderId="9" xfId="0" applyFont="1" applyBorder="1" applyAlignment="1">
      <alignment horizontal="center"/>
    </xf>
    <xf numFmtId="0" fontId="121" fillId="0" borderId="8" xfId="0" applyFont="1" applyBorder="1" applyAlignment="1">
      <alignment horizontal="center"/>
    </xf>
    <xf numFmtId="0" fontId="121" fillId="0" borderId="93" xfId="0" applyFont="1" applyBorder="1" applyAlignment="1">
      <alignment horizontal="center"/>
    </xf>
    <xf numFmtId="0" fontId="121" fillId="0" borderId="5" xfId="0" applyFont="1" applyBorder="1" applyAlignment="1">
      <alignment horizontal="center"/>
    </xf>
    <xf numFmtId="0" fontId="143" fillId="0" borderId="0" xfId="0" applyFont="1"/>
    <xf numFmtId="175" fontId="124" fillId="0" borderId="8" xfId="0" applyNumberFormat="1" applyFont="1" applyBorder="1"/>
    <xf numFmtId="175" fontId="124" fillId="0" borderId="9" xfId="0" applyNumberFormat="1" applyFont="1" applyBorder="1"/>
    <xf numFmtId="39" fontId="121" fillId="0" borderId="0" xfId="0" applyNumberFormat="1" applyFont="1"/>
    <xf numFmtId="3" fontId="114" fillId="0" borderId="5" xfId="0" applyNumberFormat="1" applyFont="1" applyBorder="1"/>
    <xf numFmtId="174" fontId="121" fillId="0" borderId="0" xfId="0" applyNumberFormat="1" applyFont="1"/>
    <xf numFmtId="174" fontId="114" fillId="3" borderId="26" xfId="0" applyNumberFormat="1" applyFont="1" applyFill="1" applyBorder="1"/>
    <xf numFmtId="9" fontId="114" fillId="3" borderId="12" xfId="0" applyNumberFormat="1" applyFont="1" applyFill="1" applyBorder="1"/>
    <xf numFmtId="175" fontId="114" fillId="9" borderId="13" xfId="0" applyNumberFormat="1" applyFont="1" applyFill="1" applyBorder="1"/>
    <xf numFmtId="175" fontId="121" fillId="0" borderId="0" xfId="0" applyNumberFormat="1" applyFont="1"/>
    <xf numFmtId="175" fontId="121" fillId="0" borderId="14" xfId="0" applyNumberFormat="1" applyFont="1" applyBorder="1"/>
    <xf numFmtId="0" fontId="121" fillId="3" borderId="22" xfId="0" applyFont="1" applyFill="1" applyBorder="1"/>
    <xf numFmtId="0" fontId="114" fillId="0" borderId="0" xfId="0" applyFont="1" applyAlignment="1">
      <alignment horizontal="center"/>
    </xf>
    <xf numFmtId="175" fontId="114" fillId="0" borderId="0" xfId="0" applyNumberFormat="1" applyFont="1"/>
    <xf numFmtId="0" fontId="114" fillId="0" borderId="8" xfId="0" applyFont="1" applyBorder="1" applyAlignment="1">
      <alignment horizontal="center"/>
    </xf>
    <xf numFmtId="1" fontId="121" fillId="0" borderId="0" xfId="0" applyNumberFormat="1" applyFont="1"/>
    <xf numFmtId="0" fontId="121" fillId="3" borderId="35" xfId="0" applyFont="1" applyFill="1" applyBorder="1" applyAlignment="1">
      <alignment horizontal="right"/>
    </xf>
    <xf numFmtId="0" fontId="121" fillId="3" borderId="34" xfId="0" applyFont="1" applyFill="1" applyBorder="1" applyAlignment="1">
      <alignment horizontal="right"/>
    </xf>
    <xf numFmtId="175" fontId="121" fillId="0" borderId="9" xfId="0" applyNumberFormat="1" applyFont="1" applyBorder="1"/>
    <xf numFmtId="39" fontId="121" fillId="0" borderId="14" xfId="0" applyNumberFormat="1" applyFont="1" applyBorder="1" applyAlignment="1">
      <alignment horizontal="center"/>
    </xf>
    <xf numFmtId="175" fontId="121" fillId="0" borderId="5" xfId="0" applyNumberFormat="1" applyFont="1" applyBorder="1"/>
    <xf numFmtId="37" fontId="121" fillId="0" borderId="93" xfId="0" applyNumberFormat="1" applyFont="1" applyBorder="1"/>
    <xf numFmtId="37" fontId="121" fillId="0" borderId="92" xfId="0" applyNumberFormat="1" applyFont="1" applyBorder="1"/>
    <xf numFmtId="37" fontId="121" fillId="0" borderId="6" xfId="0" applyNumberFormat="1" applyFont="1" applyBorder="1"/>
    <xf numFmtId="10" fontId="121" fillId="0" borderId="0" xfId="0" applyNumberFormat="1" applyFont="1"/>
    <xf numFmtId="175" fontId="114" fillId="0" borderId="93" xfId="0" applyNumberFormat="1" applyFont="1" applyBorder="1"/>
    <xf numFmtId="175" fontId="114" fillId="0" borderId="5" xfId="0" applyNumberFormat="1" applyFont="1" applyBorder="1"/>
    <xf numFmtId="175" fontId="121" fillId="0" borderId="6" xfId="0" applyNumberFormat="1" applyFont="1" applyBorder="1"/>
    <xf numFmtId="174" fontId="114" fillId="0" borderId="0" xfId="0" applyNumberFormat="1" applyFont="1"/>
    <xf numFmtId="37" fontId="114" fillId="0" borderId="8" xfId="0" applyNumberFormat="1" applyFont="1" applyBorder="1"/>
    <xf numFmtId="37" fontId="114" fillId="0" borderId="9" xfId="0" applyNumberFormat="1" applyFont="1" applyBorder="1"/>
    <xf numFmtId="0" fontId="114" fillId="0" borderId="14" xfId="0" applyFont="1" applyBorder="1"/>
    <xf numFmtId="174" fontId="114" fillId="0" borderId="14" xfId="0" applyNumberFormat="1" applyFont="1" applyBorder="1"/>
    <xf numFmtId="37" fontId="114" fillId="0" borderId="93" xfId="0" applyNumberFormat="1" applyFont="1" applyBorder="1"/>
    <xf numFmtId="37" fontId="114" fillId="0" borderId="5" xfId="0" applyNumberFormat="1" applyFont="1" applyBorder="1"/>
    <xf numFmtId="37" fontId="121" fillId="0" borderId="97" xfId="0" applyNumberFormat="1" applyFont="1" applyBorder="1"/>
    <xf numFmtId="0" fontId="114" fillId="6" borderId="10" xfId="0" applyFont="1" applyFill="1" applyBorder="1"/>
    <xf numFmtId="37" fontId="114" fillId="6" borderId="26" xfId="0" applyNumberFormat="1" applyFont="1" applyFill="1" applyBorder="1"/>
    <xf numFmtId="37" fontId="114" fillId="6" borderId="11" xfId="0" applyNumberFormat="1" applyFont="1" applyFill="1" applyBorder="1"/>
    <xf numFmtId="37" fontId="114" fillId="6" borderId="10" xfId="0" applyNumberFormat="1" applyFont="1" applyFill="1" applyBorder="1"/>
    <xf numFmtId="175" fontId="114" fillId="6" borderId="10" xfId="0" applyNumberFormat="1" applyFont="1" applyFill="1" applyBorder="1"/>
    <xf numFmtId="0" fontId="114" fillId="6" borderId="22" xfId="0" applyFont="1" applyFill="1" applyBorder="1"/>
    <xf numFmtId="37" fontId="114" fillId="6" borderId="23" xfId="0" applyNumberFormat="1" applyFont="1" applyFill="1" applyBorder="1"/>
    <xf numFmtId="39" fontId="114" fillId="6" borderId="23" xfId="0" applyNumberFormat="1" applyFont="1" applyFill="1" applyBorder="1" applyAlignment="1">
      <alignment horizontal="center"/>
    </xf>
    <xf numFmtId="175" fontId="114" fillId="6" borderId="24" xfId="0" applyNumberFormat="1" applyFont="1" applyFill="1" applyBorder="1"/>
    <xf numFmtId="37" fontId="114" fillId="6" borderId="22" xfId="0" applyNumberFormat="1" applyFont="1" applyFill="1" applyBorder="1"/>
    <xf numFmtId="37" fontId="114" fillId="0" borderId="92" xfId="0" applyNumberFormat="1" applyFont="1" applyBorder="1"/>
    <xf numFmtId="174" fontId="114" fillId="0" borderId="92" xfId="0" applyNumberFormat="1" applyFont="1" applyBorder="1"/>
    <xf numFmtId="37" fontId="114" fillId="0" borderId="7" xfId="0" applyNumberFormat="1" applyFont="1" applyBorder="1"/>
    <xf numFmtId="37" fontId="114" fillId="0" borderId="6" xfId="0" applyNumberFormat="1" applyFont="1" applyBorder="1"/>
    <xf numFmtId="0" fontId="114" fillId="6" borderId="19" xfId="0" applyFont="1" applyFill="1" applyBorder="1"/>
    <xf numFmtId="37" fontId="114" fillId="6" borderId="15" xfId="0" applyNumberFormat="1" applyFont="1" applyFill="1" applyBorder="1"/>
    <xf numFmtId="174" fontId="114" fillId="6" borderId="15" xfId="0" applyNumberFormat="1" applyFont="1" applyFill="1" applyBorder="1"/>
    <xf numFmtId="37" fontId="114" fillId="6" borderId="25" xfId="0" applyNumberFormat="1" applyFont="1" applyFill="1" applyBorder="1"/>
    <xf numFmtId="37" fontId="114" fillId="6" borderId="19" xfId="0" applyNumberFormat="1" applyFont="1" applyFill="1" applyBorder="1"/>
    <xf numFmtId="175" fontId="114" fillId="3" borderId="10" xfId="0" applyNumberFormat="1" applyFont="1" applyFill="1" applyBorder="1"/>
    <xf numFmtId="37" fontId="121" fillId="0" borderId="0" xfId="0" applyNumberFormat="1" applyFont="1" applyAlignment="1">
      <alignment horizontal="center"/>
    </xf>
    <xf numFmtId="0" fontId="121" fillId="0" borderId="14" xfId="0" applyFont="1" applyBorder="1" applyAlignment="1">
      <alignment horizontal="center"/>
    </xf>
    <xf numFmtId="1" fontId="121" fillId="0" borderId="6" xfId="0" applyNumberFormat="1" applyFont="1" applyBorder="1"/>
    <xf numFmtId="174" fontId="121" fillId="0" borderId="14" xfId="0" applyNumberFormat="1" applyFont="1" applyBorder="1"/>
    <xf numFmtId="2" fontId="121" fillId="0" borderId="14" xfId="0" applyNumberFormat="1" applyFont="1" applyBorder="1"/>
    <xf numFmtId="10" fontId="114" fillId="3" borderId="10" xfId="0" applyNumberFormat="1" applyFont="1" applyFill="1" applyBorder="1"/>
    <xf numFmtId="0" fontId="122" fillId="0" borderId="6" xfId="0" applyFont="1" applyBorder="1"/>
    <xf numFmtId="175" fontId="114" fillId="0" borderId="92" xfId="0" applyNumberFormat="1" applyFont="1" applyBorder="1"/>
    <xf numFmtId="175" fontId="114" fillId="0" borderId="6" xfId="0" applyNumberFormat="1" applyFont="1" applyBorder="1"/>
    <xf numFmtId="0" fontId="121" fillId="0" borderId="5" xfId="0" applyFont="1" applyBorder="1"/>
    <xf numFmtId="175" fontId="114" fillId="3" borderId="26" xfId="0" applyNumberFormat="1" applyFont="1" applyFill="1" applyBorder="1"/>
    <xf numFmtId="175" fontId="114" fillId="3" borderId="16" xfId="0" applyNumberFormat="1" applyFont="1" applyFill="1" applyBorder="1"/>
    <xf numFmtId="37" fontId="114" fillId="3" borderId="18" xfId="0" applyNumberFormat="1" applyFont="1" applyFill="1" applyBorder="1"/>
    <xf numFmtId="37" fontId="114" fillId="3" borderId="35" xfId="0" applyNumberFormat="1" applyFont="1" applyFill="1" applyBorder="1"/>
    <xf numFmtId="174" fontId="114" fillId="3" borderId="35" xfId="0" applyNumberFormat="1" applyFont="1" applyFill="1" applyBorder="1"/>
    <xf numFmtId="37" fontId="114" fillId="3" borderId="34" xfId="0" applyNumberFormat="1" applyFont="1" applyFill="1" applyBorder="1"/>
    <xf numFmtId="0" fontId="121" fillId="3" borderId="12" xfId="0" applyFont="1" applyFill="1" applyBorder="1"/>
    <xf numFmtId="6" fontId="121" fillId="0" borderId="0" xfId="0" applyNumberFormat="1" applyFont="1"/>
    <xf numFmtId="0" fontId="121" fillId="0" borderId="98" xfId="0" applyFont="1" applyBorder="1" applyAlignment="1">
      <alignment horizontal="center"/>
    </xf>
    <xf numFmtId="0" fontId="121" fillId="0" borderId="99" xfId="0" applyFont="1" applyBorder="1" applyAlignment="1">
      <alignment horizontal="center"/>
    </xf>
    <xf numFmtId="0" fontId="121" fillId="0" borderId="97" xfId="0" applyFont="1" applyBorder="1" applyAlignment="1">
      <alignment horizontal="center"/>
    </xf>
    <xf numFmtId="37" fontId="121" fillId="9" borderId="1" xfId="0" applyNumberFormat="1" applyFont="1" applyFill="1" applyBorder="1"/>
    <xf numFmtId="175" fontId="114" fillId="3" borderId="1" xfId="0" applyNumberFormat="1" applyFont="1" applyFill="1" applyBorder="1"/>
    <xf numFmtId="37" fontId="121" fillId="9" borderId="18" xfId="0" applyNumberFormat="1" applyFont="1" applyFill="1" applyBorder="1"/>
    <xf numFmtId="3" fontId="121" fillId="9" borderId="16" xfId="0" applyNumberFormat="1" applyFont="1" applyFill="1" applyBorder="1"/>
    <xf numFmtId="3" fontId="121" fillId="9" borderId="18" xfId="0" applyNumberFormat="1" applyFont="1" applyFill="1" applyBorder="1"/>
    <xf numFmtId="0" fontId="144" fillId="0" borderId="0" xfId="0" applyFont="1"/>
    <xf numFmtId="175" fontId="114" fillId="0" borderId="100" xfId="0" applyNumberFormat="1" applyFont="1" applyBorder="1"/>
    <xf numFmtId="0" fontId="114" fillId="3" borderId="37" xfId="0" applyFont="1" applyFill="1" applyBorder="1"/>
    <xf numFmtId="0" fontId="114" fillId="3" borderId="38" xfId="0" applyFont="1" applyFill="1" applyBorder="1"/>
    <xf numFmtId="37" fontId="114" fillId="3" borderId="39" xfId="0" applyNumberFormat="1" applyFont="1" applyFill="1" applyBorder="1"/>
    <xf numFmtId="0" fontId="121" fillId="3" borderId="37" xfId="0" applyFont="1" applyFill="1" applyBorder="1"/>
    <xf numFmtId="0" fontId="121" fillId="3" borderId="38" xfId="0" applyFont="1" applyFill="1" applyBorder="1"/>
    <xf numFmtId="0" fontId="145" fillId="23" borderId="1" xfId="0" applyFont="1" applyFill="1" applyBorder="1"/>
    <xf numFmtId="0" fontId="124" fillId="0" borderId="0" xfId="0" applyFont="1" applyAlignment="1">
      <alignment horizontal="center" vertical="center"/>
    </xf>
    <xf numFmtId="0" fontId="121" fillId="0" borderId="101" xfId="0" applyFont="1" applyBorder="1" applyAlignment="1">
      <alignment horizontal="left"/>
    </xf>
    <xf numFmtId="0" fontId="114" fillId="0" borderId="102" xfId="0" applyFont="1" applyBorder="1" applyAlignment="1">
      <alignment horizontal="center" vertical="center"/>
    </xf>
    <xf numFmtId="0" fontId="121" fillId="0" borderId="87" xfId="0" applyFont="1" applyBorder="1" applyAlignment="1">
      <alignment horizontal="center"/>
    </xf>
    <xf numFmtId="0" fontId="121" fillId="0" borderId="85" xfId="0" applyFont="1" applyBorder="1" applyAlignment="1">
      <alignment horizontal="center"/>
    </xf>
    <xf numFmtId="0" fontId="121" fillId="0" borderId="106" xfId="0" applyFont="1" applyBorder="1" applyAlignment="1">
      <alignment horizontal="center"/>
    </xf>
    <xf numFmtId="0" fontId="122" fillId="0" borderId="14" xfId="0" applyFont="1" applyBorder="1"/>
    <xf numFmtId="37" fontId="122" fillId="0" borderId="87" xfId="0" applyNumberFormat="1" applyFont="1" applyBorder="1"/>
    <xf numFmtId="37" fontId="122" fillId="0" borderId="85" xfId="0" applyNumberFormat="1" applyFont="1" applyBorder="1"/>
    <xf numFmtId="37" fontId="122" fillId="0" borderId="14" xfId="0" applyNumberFormat="1" applyFont="1" applyBorder="1"/>
    <xf numFmtId="175" fontId="122" fillId="0" borderId="14" xfId="0" applyNumberFormat="1" applyFont="1" applyBorder="1"/>
    <xf numFmtId="37" fontId="122" fillId="0" borderId="106" xfId="0" applyNumberFormat="1" applyFont="1" applyBorder="1"/>
    <xf numFmtId="175" fontId="122" fillId="0" borderId="5" xfId="0" applyNumberFormat="1" applyFont="1" applyBorder="1"/>
    <xf numFmtId="0" fontId="124" fillId="3" borderId="22" xfId="0" applyFont="1" applyFill="1" applyBorder="1"/>
    <xf numFmtId="0" fontId="124" fillId="3" borderId="23" xfId="0" applyFont="1" applyFill="1" applyBorder="1"/>
    <xf numFmtId="37" fontId="124" fillId="3" borderId="107" xfId="0" applyNumberFormat="1" applyFont="1" applyFill="1" applyBorder="1"/>
    <xf numFmtId="37" fontId="124" fillId="3" borderId="108" xfId="0" applyNumberFormat="1" applyFont="1" applyFill="1" applyBorder="1"/>
    <xf numFmtId="37" fontId="124" fillId="3" borderId="23" xfId="0" applyNumberFormat="1" applyFont="1" applyFill="1" applyBorder="1"/>
    <xf numFmtId="175" fontId="124" fillId="3" borderId="23" xfId="0" applyNumberFormat="1" applyFont="1" applyFill="1" applyBorder="1"/>
    <xf numFmtId="37" fontId="124" fillId="3" borderId="109" xfId="0" applyNumberFormat="1" applyFont="1" applyFill="1" applyBorder="1"/>
    <xf numFmtId="175" fontId="124" fillId="3" borderId="24" xfId="0" applyNumberFormat="1" applyFont="1" applyFill="1" applyBorder="1"/>
    <xf numFmtId="0" fontId="124" fillId="0" borderId="8" xfId="0" applyFont="1" applyBorder="1"/>
    <xf numFmtId="0" fontId="122" fillId="0" borderId="0" xfId="0" applyFont="1"/>
    <xf numFmtId="37" fontId="122" fillId="0" borderId="73" xfId="0" applyNumberFormat="1" applyFont="1" applyBorder="1"/>
    <xf numFmtId="37" fontId="122" fillId="0" borderId="71" xfId="0" applyNumberFormat="1" applyFont="1" applyBorder="1"/>
    <xf numFmtId="37" fontId="122" fillId="0" borderId="0" xfId="0" applyNumberFormat="1" applyFont="1"/>
    <xf numFmtId="175" fontId="122" fillId="0" borderId="0" xfId="0" applyNumberFormat="1" applyFont="1"/>
    <xf numFmtId="37" fontId="122" fillId="0" borderId="56" xfId="0" applyNumberFormat="1" applyFont="1" applyBorder="1"/>
    <xf numFmtId="175" fontId="122" fillId="0" borderId="7" xfId="0" applyNumberFormat="1" applyFont="1" applyBorder="1"/>
    <xf numFmtId="0" fontId="122" fillId="0" borderId="0" xfId="0" applyFont="1" applyAlignment="1">
      <alignment horizontal="right"/>
    </xf>
    <xf numFmtId="174" fontId="122" fillId="0" borderId="0" xfId="0" applyNumberFormat="1" applyFont="1"/>
    <xf numFmtId="0" fontId="122" fillId="0" borderId="71" xfId="0" applyFont="1" applyBorder="1"/>
    <xf numFmtId="175" fontId="122" fillId="0" borderId="9" xfId="0" applyNumberFormat="1" applyFont="1" applyBorder="1"/>
    <xf numFmtId="0" fontId="122" fillId="0" borderId="14" xfId="0" applyFont="1" applyBorder="1" applyAlignment="1">
      <alignment horizontal="right"/>
    </xf>
    <xf numFmtId="174" fontId="122" fillId="0" borderId="14" xfId="0" applyNumberFormat="1" applyFont="1" applyBorder="1"/>
    <xf numFmtId="0" fontId="122" fillId="0" borderId="85" xfId="0" applyFont="1" applyBorder="1"/>
    <xf numFmtId="175" fontId="122" fillId="0" borderId="87" xfId="0" applyNumberFormat="1" applyFont="1" applyBorder="1"/>
    <xf numFmtId="0" fontId="124" fillId="3" borderId="28" xfId="0" applyFont="1" applyFill="1" applyBorder="1"/>
    <xf numFmtId="0" fontId="124" fillId="3" borderId="29" xfId="0" applyFont="1" applyFill="1" applyBorder="1"/>
    <xf numFmtId="175" fontId="124" fillId="3" borderId="29" xfId="0" applyNumberFormat="1" applyFont="1" applyFill="1" applyBorder="1"/>
    <xf numFmtId="37" fontId="124" fillId="3" borderId="68" xfId="0" applyNumberFormat="1" applyFont="1" applyFill="1" applyBorder="1"/>
    <xf numFmtId="175" fontId="124" fillId="3" borderId="31" xfId="0" applyNumberFormat="1" applyFont="1" applyFill="1" applyBorder="1"/>
    <xf numFmtId="0" fontId="124" fillId="3" borderId="31" xfId="0" applyFont="1" applyFill="1" applyBorder="1"/>
    <xf numFmtId="37" fontId="124" fillId="3" borderId="29" xfId="0" applyNumberFormat="1" applyFont="1" applyFill="1" applyBorder="1"/>
    <xf numFmtId="0" fontId="124" fillId="3" borderId="112" xfId="0" applyFont="1" applyFill="1" applyBorder="1"/>
    <xf numFmtId="175" fontId="122" fillId="0" borderId="73" xfId="0" applyNumberFormat="1" applyFont="1" applyBorder="1"/>
    <xf numFmtId="174" fontId="124" fillId="3" borderId="29" xfId="0" applyNumberFormat="1" applyFont="1" applyFill="1" applyBorder="1"/>
    <xf numFmtId="37" fontId="124" fillId="3" borderId="31" xfId="0" applyNumberFormat="1" applyFont="1" applyFill="1" applyBorder="1"/>
    <xf numFmtId="37" fontId="124" fillId="3" borderId="112" xfId="0" applyNumberFormat="1" applyFont="1" applyFill="1" applyBorder="1"/>
    <xf numFmtId="0" fontId="122" fillId="0" borderId="92" xfId="0" applyFont="1" applyBorder="1" applyAlignment="1">
      <alignment horizontal="right"/>
    </xf>
    <xf numFmtId="0" fontId="122" fillId="0" borderId="92" xfId="0" applyFont="1" applyBorder="1"/>
    <xf numFmtId="37" fontId="122" fillId="0" borderId="91" xfId="0" applyNumberFormat="1" applyFont="1" applyBorder="1"/>
    <xf numFmtId="0" fontId="122" fillId="0" borderId="90" xfId="0" applyFont="1" applyBorder="1"/>
    <xf numFmtId="174" fontId="122" fillId="0" borderId="92" xfId="0" applyNumberFormat="1" applyFont="1" applyBorder="1"/>
    <xf numFmtId="37" fontId="122" fillId="0" borderId="92" xfId="0" applyNumberFormat="1" applyFont="1" applyBorder="1"/>
    <xf numFmtId="175" fontId="122" fillId="0" borderId="92" xfId="0" applyNumberFormat="1" applyFont="1" applyBorder="1"/>
    <xf numFmtId="37" fontId="122" fillId="0" borderId="113" xfId="0" applyNumberFormat="1" applyFont="1" applyBorder="1"/>
    <xf numFmtId="9" fontId="112" fillId="0" borderId="0" xfId="0" applyNumberFormat="1" applyFont="1"/>
    <xf numFmtId="37" fontId="122" fillId="0" borderId="90" xfId="0" applyNumberFormat="1" applyFont="1" applyBorder="1"/>
    <xf numFmtId="0" fontId="122" fillId="3" borderId="29" xfId="0" applyFont="1" applyFill="1" applyBorder="1"/>
    <xf numFmtId="3" fontId="124" fillId="3" borderId="29" xfId="0" applyNumberFormat="1" applyFont="1" applyFill="1" applyBorder="1" applyAlignment="1">
      <alignment horizontal="center"/>
    </xf>
    <xf numFmtId="175" fontId="124" fillId="3" borderId="30" xfId="0" applyNumberFormat="1" applyFont="1" applyFill="1" applyBorder="1"/>
    <xf numFmtId="175" fontId="124" fillId="0" borderId="0" xfId="0" applyNumberFormat="1" applyFont="1"/>
    <xf numFmtId="0" fontId="124" fillId="0" borderId="0" xfId="0" applyFont="1"/>
    <xf numFmtId="175" fontId="122" fillId="0" borderId="91" xfId="0" applyNumberFormat="1" applyFont="1" applyBorder="1"/>
    <xf numFmtId="0" fontId="122" fillId="0" borderId="73" xfId="0" applyFont="1" applyBorder="1"/>
    <xf numFmtId="0" fontId="122" fillId="0" borderId="56" xfId="0" applyFont="1" applyBorder="1"/>
    <xf numFmtId="175" fontId="122" fillId="0" borderId="114" xfId="0" applyNumberFormat="1" applyFont="1" applyBorder="1"/>
    <xf numFmtId="175" fontId="124" fillId="0" borderId="92" xfId="0" applyNumberFormat="1" applyFont="1" applyBorder="1"/>
    <xf numFmtId="0" fontId="124" fillId="0" borderId="92" xfId="0" applyFont="1" applyBorder="1"/>
    <xf numFmtId="175" fontId="124" fillId="0" borderId="90" xfId="0" applyNumberFormat="1" applyFont="1" applyBorder="1"/>
    <xf numFmtId="37" fontId="124" fillId="0" borderId="90" xfId="0" applyNumberFormat="1" applyFont="1" applyBorder="1"/>
    <xf numFmtId="37" fontId="122" fillId="0" borderId="94" xfId="0" applyNumberFormat="1" applyFont="1" applyBorder="1"/>
    <xf numFmtId="37" fontId="124" fillId="0" borderId="92" xfId="0" applyNumberFormat="1" applyFont="1" applyBorder="1"/>
    <xf numFmtId="37" fontId="124" fillId="0" borderId="0" xfId="0" applyNumberFormat="1" applyFont="1"/>
    <xf numFmtId="1" fontId="124" fillId="0" borderId="0" xfId="0" applyNumberFormat="1" applyFont="1"/>
    <xf numFmtId="37" fontId="124" fillId="0" borderId="71" xfId="0" applyNumberFormat="1" applyFont="1" applyBorder="1"/>
    <xf numFmtId="175" fontId="124" fillId="0" borderId="71" xfId="0" applyNumberFormat="1" applyFont="1" applyBorder="1"/>
    <xf numFmtId="37" fontId="122" fillId="0" borderId="55" xfId="0" applyNumberFormat="1" applyFont="1" applyBorder="1"/>
    <xf numFmtId="43" fontId="124" fillId="0" borderId="71" xfId="0" applyNumberFormat="1" applyFont="1" applyBorder="1"/>
    <xf numFmtId="175" fontId="122" fillId="3" borderId="31" xfId="0" applyNumberFormat="1" applyFont="1" applyFill="1" applyBorder="1"/>
    <xf numFmtId="175" fontId="122" fillId="3" borderId="29" xfId="0" applyNumberFormat="1" applyFont="1" applyFill="1" applyBorder="1"/>
    <xf numFmtId="37" fontId="122" fillId="3" borderId="112" xfId="0" applyNumberFormat="1" applyFont="1" applyFill="1" applyBorder="1"/>
    <xf numFmtId="0" fontId="124" fillId="6" borderId="19" xfId="0" applyFont="1" applyFill="1" applyBorder="1"/>
    <xf numFmtId="0" fontId="124" fillId="6" borderId="15" xfId="0" applyFont="1" applyFill="1" applyBorder="1"/>
    <xf numFmtId="37" fontId="124" fillId="6" borderId="15" xfId="0" applyNumberFormat="1" applyFont="1" applyFill="1" applyBorder="1"/>
    <xf numFmtId="37" fontId="122" fillId="6" borderId="115" xfId="0" applyNumberFormat="1" applyFont="1" applyFill="1" applyBorder="1"/>
    <xf numFmtId="0" fontId="122" fillId="6" borderId="15" xfId="0" applyFont="1" applyFill="1" applyBorder="1"/>
    <xf numFmtId="37" fontId="122" fillId="6" borderId="15" xfId="0" applyNumberFormat="1" applyFont="1" applyFill="1" applyBorder="1"/>
    <xf numFmtId="37" fontId="122" fillId="6" borderId="116" xfId="0" applyNumberFormat="1" applyFont="1" applyFill="1" applyBorder="1"/>
    <xf numFmtId="37" fontId="122" fillId="6" borderId="1" xfId="0" applyNumberFormat="1" applyFont="1" applyFill="1" applyBorder="1"/>
    <xf numFmtId="175" fontId="122" fillId="6" borderId="1" xfId="0" applyNumberFormat="1" applyFont="1" applyFill="1" applyBorder="1"/>
    <xf numFmtId="175" fontId="122" fillId="6" borderId="116" xfId="0" applyNumberFormat="1" applyFont="1" applyFill="1" applyBorder="1"/>
    <xf numFmtId="175" fontId="122" fillId="6" borderId="15" xfId="0" applyNumberFormat="1" applyFont="1" applyFill="1" applyBorder="1"/>
    <xf numFmtId="37" fontId="122" fillId="6" borderId="117" xfId="0" applyNumberFormat="1" applyFont="1" applyFill="1" applyBorder="1"/>
    <xf numFmtId="175" fontId="122" fillId="0" borderId="99" xfId="0" applyNumberFormat="1" applyFont="1" applyBorder="1"/>
    <xf numFmtId="0" fontId="124" fillId="3" borderId="37" xfId="0" applyFont="1" applyFill="1" applyBorder="1"/>
    <xf numFmtId="0" fontId="124" fillId="3" borderId="38" xfId="0" applyFont="1" applyFill="1" applyBorder="1"/>
    <xf numFmtId="0" fontId="124" fillId="3" borderId="38" xfId="0" applyFont="1" applyFill="1" applyBorder="1" applyAlignment="1">
      <alignment horizontal="center"/>
    </xf>
    <xf numFmtId="175" fontId="124" fillId="3" borderId="38" xfId="0" applyNumberFormat="1" applyFont="1" applyFill="1" applyBorder="1"/>
    <xf numFmtId="37" fontId="124" fillId="3" borderId="118" xfId="0" applyNumberFormat="1" applyFont="1" applyFill="1" applyBorder="1"/>
    <xf numFmtId="37" fontId="124" fillId="3" borderId="38" xfId="0" applyNumberFormat="1" applyFont="1" applyFill="1" applyBorder="1"/>
    <xf numFmtId="37" fontId="124" fillId="3" borderId="119" xfId="0" applyNumberFormat="1" applyFont="1" applyFill="1" applyBorder="1"/>
    <xf numFmtId="175" fontId="124" fillId="3" borderId="120" xfId="0" applyNumberFormat="1" applyFont="1" applyFill="1" applyBorder="1"/>
    <xf numFmtId="0" fontId="124" fillId="3" borderId="119" xfId="0" applyFont="1" applyFill="1" applyBorder="1" applyAlignment="1">
      <alignment horizontal="center"/>
    </xf>
    <xf numFmtId="37" fontId="124" fillId="3" borderId="121" xfId="0" applyNumberFormat="1" applyFont="1" applyFill="1" applyBorder="1"/>
    <xf numFmtId="175" fontId="124" fillId="3" borderId="13" xfId="0" applyNumberFormat="1" applyFont="1" applyFill="1" applyBorder="1"/>
    <xf numFmtId="39" fontId="122" fillId="0" borderId="0" xfId="0" applyNumberFormat="1" applyFont="1"/>
    <xf numFmtId="0" fontId="115" fillId="0" borderId="0" xfId="0" applyFont="1" applyAlignment="1">
      <alignment horizontal="right" vertical="center"/>
    </xf>
    <xf numFmtId="37" fontId="124" fillId="3" borderId="122" xfId="0" applyNumberFormat="1" applyFont="1" applyFill="1" applyBorder="1"/>
    <xf numFmtId="37" fontId="124" fillId="3" borderId="123" xfId="0" applyNumberFormat="1" applyFont="1" applyFill="1" applyBorder="1"/>
    <xf numFmtId="37" fontId="124" fillId="3" borderId="124" xfId="0" applyNumberFormat="1" applyFont="1" applyFill="1" applyBorder="1"/>
    <xf numFmtId="175" fontId="124" fillId="3" borderId="125" xfId="0" applyNumberFormat="1" applyFont="1" applyFill="1" applyBorder="1"/>
    <xf numFmtId="0" fontId="120" fillId="0" borderId="8" xfId="0" applyFont="1" applyBorder="1"/>
    <xf numFmtId="37" fontId="120" fillId="0" borderId="73" xfId="0" applyNumberFormat="1" applyFont="1" applyBorder="1"/>
    <xf numFmtId="0" fontId="120" fillId="0" borderId="73" xfId="0" applyFont="1" applyBorder="1"/>
    <xf numFmtId="0" fontId="120" fillId="0" borderId="55" xfId="0" applyFont="1" applyBorder="1"/>
    <xf numFmtId="0" fontId="120" fillId="0" borderId="56" xfId="0" applyFont="1" applyBorder="1"/>
    <xf numFmtId="0" fontId="120" fillId="0" borderId="9" xfId="0" applyFont="1" applyBorder="1"/>
    <xf numFmtId="175" fontId="124" fillId="3" borderId="39" xfId="0" applyNumberFormat="1" applyFont="1" applyFill="1" applyBorder="1"/>
    <xf numFmtId="178" fontId="120" fillId="0" borderId="0" xfId="0" applyNumberFormat="1" applyFont="1" applyAlignment="1">
      <alignment horizontal="right"/>
    </xf>
    <xf numFmtId="43" fontId="120" fillId="0" borderId="0" xfId="0" applyNumberFormat="1" applyFont="1"/>
    <xf numFmtId="0" fontId="146" fillId="22" borderId="1" xfId="0" applyFont="1" applyFill="1" applyBorder="1"/>
    <xf numFmtId="0" fontId="111" fillId="0" borderId="61" xfId="0" applyFont="1" applyBorder="1" applyAlignment="1">
      <alignment horizontal="center"/>
    </xf>
    <xf numFmtId="0" fontId="111" fillId="0" borderId="61" xfId="0" applyFont="1" applyBorder="1"/>
    <xf numFmtId="1" fontId="110" fillId="2" borderId="1" xfId="0" applyNumberFormat="1" applyFont="1" applyFill="1" applyBorder="1" applyAlignment="1">
      <alignment horizontal="right"/>
    </xf>
    <xf numFmtId="166" fontId="110" fillId="2" borderId="1" xfId="0" applyNumberFormat="1" applyFont="1" applyFill="1" applyBorder="1"/>
    <xf numFmtId="166" fontId="110" fillId="0" borderId="0" xfId="0" applyNumberFormat="1" applyFont="1"/>
    <xf numFmtId="175" fontId="110" fillId="0" borderId="0" xfId="0" applyNumberFormat="1" applyFont="1" applyAlignment="1">
      <alignment horizontal="center"/>
    </xf>
    <xf numFmtId="3" fontId="110" fillId="2" borderId="1" xfId="0" applyNumberFormat="1" applyFont="1" applyFill="1" applyBorder="1" applyAlignment="1">
      <alignment horizontal="right"/>
    </xf>
    <xf numFmtId="1" fontId="111" fillId="2" borderId="1" xfId="0" applyNumberFormat="1" applyFont="1" applyFill="1" applyBorder="1" applyAlignment="1">
      <alignment horizontal="right"/>
    </xf>
    <xf numFmtId="166" fontId="111" fillId="2" borderId="1" xfId="0" applyNumberFormat="1" applyFont="1" applyFill="1" applyBorder="1"/>
    <xf numFmtId="166" fontId="111" fillId="0" borderId="0" xfId="0" applyNumberFormat="1" applyFont="1"/>
    <xf numFmtId="175" fontId="111" fillId="0" borderId="0" xfId="0" applyNumberFormat="1" applyFont="1" applyAlignment="1">
      <alignment horizontal="center"/>
    </xf>
    <xf numFmtId="3" fontId="111" fillId="2" borderId="1" xfId="0" applyNumberFormat="1" applyFont="1" applyFill="1" applyBorder="1" applyAlignment="1">
      <alignment horizontal="right"/>
    </xf>
    <xf numFmtId="1" fontId="111" fillId="0" borderId="126" xfId="0" applyNumberFormat="1" applyFont="1" applyBorder="1" applyAlignment="1">
      <alignment horizontal="right"/>
    </xf>
    <xf numFmtId="166" fontId="111" fillId="0" borderId="126" xfId="0" applyNumberFormat="1" applyFont="1" applyBorder="1"/>
    <xf numFmtId="166" fontId="147" fillId="0" borderId="126" xfId="0" applyNumberFormat="1" applyFont="1" applyBorder="1"/>
    <xf numFmtId="175" fontId="111" fillId="0" borderId="126" xfId="0" applyNumberFormat="1" applyFont="1" applyBorder="1" applyAlignment="1">
      <alignment horizontal="center"/>
    </xf>
    <xf numFmtId="3" fontId="111" fillId="0" borderId="126" xfId="0" applyNumberFormat="1" applyFont="1" applyBorder="1" applyAlignment="1">
      <alignment horizontal="right"/>
    </xf>
    <xf numFmtId="166" fontId="110" fillId="0" borderId="126" xfId="0" applyNumberFormat="1" applyFont="1" applyBorder="1"/>
    <xf numFmtId="175" fontId="148" fillId="0" borderId="0" xfId="0" applyNumberFormat="1" applyFont="1" applyAlignment="1">
      <alignment horizontal="center" vertical="top"/>
    </xf>
    <xf numFmtId="1" fontId="111" fillId="0" borderId="0" xfId="0" applyNumberFormat="1" applyFont="1"/>
    <xf numFmtId="1" fontId="110" fillId="0" borderId="0" xfId="0" applyNumberFormat="1" applyFont="1" applyAlignment="1">
      <alignment horizontal="right"/>
    </xf>
    <xf numFmtId="3" fontId="110" fillId="0" borderId="0" xfId="0" applyNumberFormat="1" applyFont="1" applyAlignment="1">
      <alignment horizontal="right"/>
    </xf>
    <xf numFmtId="1" fontId="111" fillId="0" borderId="0" xfId="0" applyNumberFormat="1" applyFont="1" applyAlignment="1">
      <alignment horizontal="right"/>
    </xf>
    <xf numFmtId="3" fontId="111" fillId="0" borderId="0" xfId="0" applyNumberFormat="1" applyFont="1" applyAlignment="1">
      <alignment horizontal="right"/>
    </xf>
    <xf numFmtId="166" fontId="149" fillId="0" borderId="0" xfId="0" applyNumberFormat="1" applyFont="1" applyAlignment="1">
      <alignment horizontal="center" vertical="center"/>
    </xf>
    <xf numFmtId="0" fontId="111" fillId="0" borderId="61" xfId="0" applyFont="1" applyBorder="1" applyAlignment="1">
      <alignment horizontal="left"/>
    </xf>
    <xf numFmtId="166" fontId="111" fillId="0" borderId="0" xfId="0" applyNumberFormat="1" applyFont="1" applyAlignment="1">
      <alignment horizontal="center"/>
    </xf>
    <xf numFmtId="175" fontId="111" fillId="0" borderId="0" xfId="0" applyNumberFormat="1" applyFont="1" applyAlignment="1">
      <alignment horizontal="right"/>
    </xf>
    <xf numFmtId="0" fontId="111" fillId="0" borderId="130" xfId="0" applyFont="1" applyBorder="1"/>
    <xf numFmtId="0" fontId="111" fillId="0" borderId="63" xfId="0" applyFont="1" applyBorder="1"/>
    <xf numFmtId="0" fontId="111" fillId="0" borderId="131" xfId="0" applyFont="1" applyBorder="1"/>
    <xf numFmtId="1" fontId="111" fillId="0" borderId="0" xfId="0" applyNumberFormat="1" applyFont="1" applyAlignment="1">
      <alignment horizontal="center"/>
    </xf>
    <xf numFmtId="0" fontId="111" fillId="0" borderId="76" xfId="0" applyFont="1" applyBorder="1" applyAlignment="1">
      <alignment horizontal="center"/>
    </xf>
    <xf numFmtId="175" fontId="111" fillId="2" borderId="1" xfId="0" applyNumberFormat="1" applyFont="1" applyFill="1" applyBorder="1" applyAlignment="1">
      <alignment horizontal="center"/>
    </xf>
    <xf numFmtId="166" fontId="111" fillId="0" borderId="62" xfId="0" applyNumberFormat="1" applyFont="1" applyBorder="1"/>
    <xf numFmtId="175" fontId="111" fillId="0" borderId="62" xfId="0" applyNumberFormat="1" applyFont="1" applyBorder="1" applyAlignment="1">
      <alignment horizontal="center"/>
    </xf>
    <xf numFmtId="166" fontId="111" fillId="0" borderId="63" xfId="0" applyNumberFormat="1" applyFont="1" applyBorder="1"/>
    <xf numFmtId="175" fontId="111" fillId="0" borderId="63" xfId="0" applyNumberFormat="1" applyFont="1" applyBorder="1" applyAlignment="1">
      <alignment horizontal="center"/>
    </xf>
    <xf numFmtId="166" fontId="111" fillId="0" borderId="64" xfId="0" applyNumberFormat="1" applyFont="1" applyBorder="1"/>
    <xf numFmtId="175" fontId="111" fillId="0" borderId="64" xfId="0" applyNumberFormat="1" applyFont="1" applyBorder="1" applyAlignment="1">
      <alignment horizontal="center"/>
    </xf>
    <xf numFmtId="3" fontId="111" fillId="0" borderId="0" xfId="0" applyNumberFormat="1" applyFont="1"/>
    <xf numFmtId="175" fontId="111" fillId="0" borderId="0" xfId="0" applyNumberFormat="1" applyFont="1"/>
    <xf numFmtId="10" fontId="112" fillId="0" borderId="0" xfId="0" applyNumberFormat="1" applyFont="1"/>
    <xf numFmtId="0" fontId="150" fillId="0" borderId="0" xfId="0" applyFont="1"/>
    <xf numFmtId="10" fontId="150" fillId="0" borderId="0" xfId="0" applyNumberFormat="1" applyFont="1"/>
    <xf numFmtId="37" fontId="114" fillId="3" borderId="12" xfId="0" applyNumberFormat="1" applyFont="1" applyFill="1" applyBorder="1"/>
    <xf numFmtId="9" fontId="121" fillId="0" borderId="0" xfId="0" applyNumberFormat="1" applyFont="1"/>
    <xf numFmtId="180" fontId="121" fillId="0" borderId="0" xfId="0" applyNumberFormat="1" applyFont="1"/>
    <xf numFmtId="0" fontId="121" fillId="21" borderId="1" xfId="0" applyFont="1" applyFill="1" applyBorder="1"/>
    <xf numFmtId="39" fontId="121" fillId="0" borderId="14" xfId="0" applyNumberFormat="1" applyFont="1" applyBorder="1"/>
    <xf numFmtId="2" fontId="121" fillId="0" borderId="0" xfId="0" applyNumberFormat="1" applyFont="1"/>
    <xf numFmtId="176" fontId="121" fillId="0" borderId="0" xfId="0" applyNumberFormat="1" applyFont="1"/>
    <xf numFmtId="39" fontId="114" fillId="6" borderId="23" xfId="0" applyNumberFormat="1" applyFont="1" applyFill="1" applyBorder="1"/>
    <xf numFmtId="172" fontId="121" fillId="0" borderId="9" xfId="0" applyNumberFormat="1" applyFont="1" applyBorder="1"/>
    <xf numFmtId="39" fontId="114" fillId="0" borderId="0" xfId="0" applyNumberFormat="1" applyFont="1"/>
    <xf numFmtId="175" fontId="120" fillId="0" borderId="0" xfId="0" applyNumberFormat="1" applyFont="1"/>
    <xf numFmtId="3" fontId="120" fillId="0" borderId="0" xfId="0" applyNumberFormat="1" applyFont="1"/>
    <xf numFmtId="4" fontId="120" fillId="0" borderId="0" xfId="0" applyNumberFormat="1" applyFont="1"/>
    <xf numFmtId="9" fontId="120" fillId="0" borderId="0" xfId="0" applyNumberFormat="1" applyFont="1"/>
    <xf numFmtId="2" fontId="112" fillId="0" borderId="0" xfId="0" applyNumberFormat="1" applyFont="1"/>
    <xf numFmtId="0" fontId="124" fillId="10" borderId="52" xfId="0" applyFont="1" applyFill="1" applyBorder="1" applyAlignment="1">
      <alignment horizontal="center"/>
    </xf>
    <xf numFmtId="0" fontId="124" fillId="10" borderId="132" xfId="0" applyFont="1" applyFill="1" applyBorder="1" applyAlignment="1">
      <alignment horizontal="center"/>
    </xf>
    <xf numFmtId="3" fontId="112" fillId="0" borderId="0" xfId="0" applyNumberFormat="1" applyFont="1"/>
    <xf numFmtId="37" fontId="122" fillId="0" borderId="96" xfId="0" applyNumberFormat="1" applyFont="1" applyBorder="1"/>
    <xf numFmtId="37" fontId="124" fillId="3" borderId="133" xfId="0" applyNumberFormat="1" applyFont="1" applyFill="1" applyBorder="1"/>
    <xf numFmtId="37" fontId="122" fillId="0" borderId="134" xfId="0" applyNumberFormat="1" applyFont="1" applyBorder="1"/>
    <xf numFmtId="37" fontId="122" fillId="0" borderId="135" xfId="0" applyNumberFormat="1" applyFont="1" applyBorder="1"/>
    <xf numFmtId="37" fontId="124" fillId="3" borderId="136" xfId="0" applyNumberFormat="1" applyFont="1" applyFill="1" applyBorder="1"/>
    <xf numFmtId="37" fontId="124" fillId="3" borderId="137" xfId="0" applyNumberFormat="1" applyFont="1" applyFill="1" applyBorder="1"/>
    <xf numFmtId="4" fontId="112" fillId="0" borderId="0" xfId="0" applyNumberFormat="1" applyFont="1"/>
    <xf numFmtId="175" fontId="112" fillId="0" borderId="0" xfId="0" applyNumberFormat="1" applyFont="1"/>
    <xf numFmtId="37" fontId="122" fillId="0" borderId="138" xfId="0" applyNumberFormat="1" applyFont="1" applyBorder="1"/>
    <xf numFmtId="172" fontId="120" fillId="0" borderId="0" xfId="0" applyNumberFormat="1" applyFont="1"/>
    <xf numFmtId="0" fontId="122" fillId="0" borderId="134" xfId="0" applyFont="1" applyBorder="1"/>
    <xf numFmtId="0" fontId="122" fillId="0" borderId="55" xfId="0" applyFont="1" applyBorder="1"/>
    <xf numFmtId="37" fontId="122" fillId="6" borderId="139" xfId="0" applyNumberFormat="1" applyFont="1" applyFill="1" applyBorder="1"/>
    <xf numFmtId="39" fontId="122" fillId="0" borderId="56" xfId="0" applyNumberFormat="1" applyFont="1" applyBorder="1"/>
    <xf numFmtId="39" fontId="122" fillId="0" borderId="55" xfId="0" applyNumberFormat="1" applyFont="1" applyBorder="1"/>
    <xf numFmtId="0" fontId="115" fillId="0" borderId="56" xfId="0" applyFont="1" applyBorder="1"/>
    <xf numFmtId="0" fontId="115" fillId="0" borderId="55" xfId="0" applyFont="1" applyBorder="1"/>
    <xf numFmtId="37" fontId="124" fillId="3" borderId="140" xfId="0" applyNumberFormat="1" applyFont="1" applyFill="1" applyBorder="1"/>
    <xf numFmtId="0" fontId="120" fillId="0" borderId="134" xfId="0" applyFont="1" applyBorder="1"/>
    <xf numFmtId="37" fontId="124" fillId="3" borderId="141" xfId="0" applyNumberFormat="1" applyFont="1" applyFill="1" applyBorder="1"/>
    <xf numFmtId="37" fontId="151" fillId="0" borderId="0" xfId="0" applyNumberFormat="1" applyFont="1"/>
    <xf numFmtId="173" fontId="128" fillId="6" borderId="1" xfId="0" applyNumberFormat="1" applyFont="1" applyFill="1" applyBorder="1" applyAlignment="1">
      <alignment horizontal="right"/>
    </xf>
    <xf numFmtId="0" fontId="128" fillId="6" borderId="1" xfId="0" applyFont="1" applyFill="1" applyBorder="1"/>
    <xf numFmtId="9" fontId="120" fillId="6" borderId="1" xfId="0" applyNumberFormat="1" applyFont="1" applyFill="1" applyBorder="1"/>
    <xf numFmtId="0" fontId="127" fillId="6" borderId="1" xfId="0" applyFont="1" applyFill="1" applyBorder="1" applyAlignment="1">
      <alignment horizontal="center"/>
    </xf>
    <xf numFmtId="173" fontId="120" fillId="6" borderId="1" xfId="0" applyNumberFormat="1" applyFont="1" applyFill="1" applyBorder="1" applyAlignment="1">
      <alignment horizontal="center"/>
    </xf>
    <xf numFmtId="0" fontId="152" fillId="6" borderId="1" xfId="0" applyFont="1" applyFill="1" applyBorder="1" applyAlignment="1">
      <alignment horizontal="center"/>
    </xf>
    <xf numFmtId="0" fontId="153" fillId="0" borderId="0" xfId="0" applyFont="1" applyAlignment="1">
      <alignment horizontal="center" vertical="top"/>
    </xf>
    <xf numFmtId="169" fontId="154" fillId="0" borderId="0" xfId="0" applyNumberFormat="1" applyFont="1" applyAlignment="1">
      <alignment horizontal="center" vertical="top"/>
    </xf>
    <xf numFmtId="0" fontId="155" fillId="24" borderId="142" xfId="0" applyFont="1" applyFill="1" applyBorder="1" applyAlignment="1">
      <alignment horizontal="center" vertical="center" wrapText="1"/>
    </xf>
    <xf numFmtId="49" fontId="111" fillId="4" borderId="1" xfId="0" applyNumberFormat="1" applyFont="1" applyFill="1" applyBorder="1" applyAlignment="1">
      <alignment horizontal="left" vertical="center"/>
    </xf>
    <xf numFmtId="0" fontId="111" fillId="4" borderId="1" xfId="0" applyFont="1" applyFill="1" applyBorder="1"/>
    <xf numFmtId="181" fontId="111" fillId="4" borderId="1" xfId="0" applyNumberFormat="1" applyFont="1" applyFill="1" applyBorder="1" applyAlignment="1">
      <alignment horizontal="right" vertical="center"/>
    </xf>
    <xf numFmtId="1" fontId="111" fillId="0" borderId="0" xfId="0" applyNumberFormat="1" applyFont="1" applyAlignment="1">
      <alignment horizontal="left" vertical="top"/>
    </xf>
    <xf numFmtId="49" fontId="111" fillId="0" borderId="0" xfId="0" applyNumberFormat="1" applyFont="1" applyAlignment="1">
      <alignment horizontal="left" vertical="top"/>
    </xf>
    <xf numFmtId="4" fontId="111" fillId="0" borderId="0" xfId="0" applyNumberFormat="1" applyFont="1" applyAlignment="1">
      <alignment horizontal="center" vertical="top"/>
    </xf>
    <xf numFmtId="0" fontId="111" fillId="8" borderId="1" xfId="0" applyFont="1" applyFill="1" applyBorder="1" applyAlignment="1">
      <alignment horizontal="center"/>
    </xf>
    <xf numFmtId="178" fontId="112" fillId="0" borderId="0" xfId="0" applyNumberFormat="1" applyFont="1" applyAlignment="1">
      <alignment horizontal="center"/>
    </xf>
    <xf numFmtId="182" fontId="112" fillId="0" borderId="0" xfId="0" applyNumberFormat="1" applyFont="1" applyAlignment="1">
      <alignment horizontal="center"/>
    </xf>
    <xf numFmtId="169" fontId="111" fillId="0" borderId="0" xfId="0" applyNumberFormat="1" applyFont="1" applyAlignment="1">
      <alignment horizontal="center" vertical="top"/>
    </xf>
    <xf numFmtId="167" fontId="111" fillId="4" borderId="1" xfId="0" applyNumberFormat="1" applyFont="1" applyFill="1" applyBorder="1"/>
    <xf numFmtId="4" fontId="111" fillId="25" borderId="1" xfId="0" applyNumberFormat="1" applyFont="1" applyFill="1" applyBorder="1" applyAlignment="1">
      <alignment horizontal="center" vertical="top"/>
    </xf>
    <xf numFmtId="4" fontId="111" fillId="10" borderId="1" xfId="0" applyNumberFormat="1" applyFont="1" applyFill="1" applyBorder="1" applyAlignment="1">
      <alignment horizontal="center" vertical="top"/>
    </xf>
    <xf numFmtId="0" fontId="111" fillId="4" borderId="1" xfId="0" applyFont="1" applyFill="1" applyBorder="1" applyAlignment="1">
      <alignment horizontal="left" vertical="top"/>
    </xf>
    <xf numFmtId="167" fontId="111" fillId="4" borderId="1" xfId="0" applyNumberFormat="1" applyFont="1" applyFill="1" applyBorder="1" applyAlignment="1">
      <alignment horizontal="left" vertical="top"/>
    </xf>
    <xf numFmtId="1" fontId="111" fillId="4" borderId="1" xfId="0" applyNumberFormat="1" applyFont="1" applyFill="1" applyBorder="1" applyAlignment="1">
      <alignment horizontal="center" vertical="top"/>
    </xf>
    <xf numFmtId="1" fontId="111" fillId="4" borderId="1" xfId="0" applyNumberFormat="1" applyFont="1" applyFill="1" applyBorder="1" applyAlignment="1">
      <alignment horizontal="center"/>
    </xf>
    <xf numFmtId="1" fontId="111" fillId="4" borderId="1" xfId="0" applyNumberFormat="1" applyFont="1" applyFill="1" applyBorder="1" applyAlignment="1">
      <alignment horizontal="center" vertical="center"/>
    </xf>
    <xf numFmtId="49" fontId="111" fillId="26" borderId="1" xfId="0" applyNumberFormat="1" applyFont="1" applyFill="1" applyBorder="1" applyAlignment="1">
      <alignment horizontal="left" vertical="top"/>
    </xf>
    <xf numFmtId="4" fontId="111" fillId="26" borderId="1" xfId="0" applyNumberFormat="1" applyFont="1" applyFill="1" applyBorder="1" applyAlignment="1">
      <alignment horizontal="center" vertical="top"/>
    </xf>
    <xf numFmtId="4" fontId="111" fillId="4" borderId="1" xfId="0" applyNumberFormat="1" applyFont="1" applyFill="1" applyBorder="1"/>
    <xf numFmtId="0" fontId="156" fillId="8" borderId="1" xfId="0" applyFont="1" applyFill="1" applyBorder="1" applyAlignment="1">
      <alignment horizontal="center"/>
    </xf>
    <xf numFmtId="4" fontId="111" fillId="4" borderId="1" xfId="0" applyNumberFormat="1" applyFont="1" applyFill="1" applyBorder="1" applyAlignment="1">
      <alignment horizontal="left" vertical="top"/>
    </xf>
    <xf numFmtId="169" fontId="112" fillId="0" borderId="0" xfId="0" applyNumberFormat="1" applyFont="1"/>
    <xf numFmtId="0" fontId="155" fillId="27" borderId="1" xfId="0" applyFont="1" applyFill="1" applyBorder="1" applyAlignment="1">
      <alignment horizontal="left" vertical="top"/>
    </xf>
    <xf numFmtId="0" fontId="112" fillId="27" borderId="1" xfId="0" applyFont="1" applyFill="1" applyBorder="1" applyAlignment="1">
      <alignment horizontal="center"/>
    </xf>
    <xf numFmtId="0" fontId="110" fillId="7" borderId="1" xfId="0" applyFont="1" applyFill="1" applyBorder="1"/>
    <xf numFmtId="0" fontId="157" fillId="23" borderId="143" xfId="0" applyFont="1" applyFill="1" applyBorder="1" applyAlignment="1">
      <alignment horizontal="left" vertical="top"/>
    </xf>
    <xf numFmtId="49" fontId="158" fillId="23" borderId="143" xfId="0" applyNumberFormat="1" applyFont="1" applyFill="1" applyBorder="1" applyAlignment="1">
      <alignment horizontal="left" vertical="top"/>
    </xf>
    <xf numFmtId="0" fontId="158" fillId="23" borderId="1" xfId="0" applyFont="1" applyFill="1" applyBorder="1" applyAlignment="1">
      <alignment horizontal="left" vertical="top"/>
    </xf>
    <xf numFmtId="0" fontId="111" fillId="23" borderId="1" xfId="0" applyFont="1" applyFill="1" applyBorder="1" applyAlignment="1">
      <alignment horizontal="center"/>
    </xf>
    <xf numFmtId="0" fontId="111" fillId="23" borderId="1" xfId="0" applyFont="1" applyFill="1" applyBorder="1"/>
    <xf numFmtId="49" fontId="111" fillId="23" borderId="1" xfId="0" applyNumberFormat="1" applyFont="1" applyFill="1" applyBorder="1" applyAlignment="1">
      <alignment horizontal="center"/>
    </xf>
    <xf numFmtId="0" fontId="111" fillId="7" borderId="1" xfId="0" applyFont="1" applyFill="1" applyBorder="1"/>
    <xf numFmtId="0" fontId="159" fillId="0" borderId="0" xfId="0" applyFont="1"/>
    <xf numFmtId="0" fontId="158" fillId="23" borderId="143" xfId="0" applyFont="1" applyFill="1" applyBorder="1" applyAlignment="1">
      <alignment horizontal="left" vertical="top"/>
    </xf>
    <xf numFmtId="0" fontId="112" fillId="23" borderId="1" xfId="0" applyFont="1" applyFill="1" applyBorder="1" applyAlignment="1">
      <alignment horizontal="center"/>
    </xf>
    <xf numFmtId="49" fontId="111" fillId="4" borderId="143" xfId="0" applyNumberFormat="1" applyFont="1" applyFill="1" applyBorder="1" applyAlignment="1">
      <alignment horizontal="left" vertical="center"/>
    </xf>
    <xf numFmtId="39" fontId="158" fillId="23" borderId="143" xfId="0" applyNumberFormat="1" applyFont="1" applyFill="1" applyBorder="1" applyAlignment="1">
      <alignment horizontal="left" vertical="top"/>
    </xf>
    <xf numFmtId="1" fontId="157" fillId="23" borderId="143" xfId="0" applyNumberFormat="1" applyFont="1" applyFill="1" applyBorder="1" applyAlignment="1">
      <alignment horizontal="left" vertical="top"/>
    </xf>
    <xf numFmtId="49" fontId="157" fillId="23" borderId="143" xfId="0" applyNumberFormat="1" applyFont="1" applyFill="1" applyBorder="1" applyAlignment="1">
      <alignment horizontal="left" vertical="top"/>
    </xf>
    <xf numFmtId="0" fontId="157" fillId="23" borderId="144" xfId="0" applyFont="1" applyFill="1" applyBorder="1" applyAlignment="1">
      <alignment horizontal="left" vertical="top"/>
    </xf>
    <xf numFmtId="49" fontId="158" fillId="23" borderId="144" xfId="0" applyNumberFormat="1" applyFont="1" applyFill="1" applyBorder="1" applyAlignment="1">
      <alignment horizontal="left" vertical="top"/>
    </xf>
    <xf numFmtId="0" fontId="158" fillId="23" borderId="142" xfId="0" applyFont="1" applyFill="1" applyBorder="1" applyAlignment="1">
      <alignment horizontal="left" vertical="top"/>
    </xf>
    <xf numFmtId="0" fontId="158" fillId="23" borderId="145" xfId="0" applyFont="1" applyFill="1" applyBorder="1" applyAlignment="1">
      <alignment horizontal="left" vertical="top"/>
    </xf>
    <xf numFmtId="0" fontId="158" fillId="23" borderId="144" xfId="0" applyFont="1" applyFill="1" applyBorder="1" applyAlignment="1">
      <alignment horizontal="left" vertical="top"/>
    </xf>
    <xf numFmtId="49" fontId="158" fillId="26" borderId="143" xfId="0" applyNumberFormat="1" applyFont="1" applyFill="1" applyBorder="1" applyAlignment="1">
      <alignment horizontal="left" vertical="top"/>
    </xf>
    <xf numFmtId="49" fontId="158" fillId="23" borderId="1" xfId="0" applyNumberFormat="1" applyFont="1" applyFill="1" applyBorder="1" applyAlignment="1">
      <alignment horizontal="left" vertical="top"/>
    </xf>
    <xf numFmtId="49" fontId="157" fillId="23" borderId="1" xfId="0" applyNumberFormat="1" applyFont="1" applyFill="1" applyBorder="1" applyAlignment="1">
      <alignment horizontal="left" vertical="top"/>
    </xf>
    <xf numFmtId="49" fontId="111" fillId="10" borderId="1" xfId="0" applyNumberFormat="1" applyFont="1" applyFill="1" applyBorder="1" applyAlignment="1">
      <alignment horizontal="left" vertical="top"/>
    </xf>
    <xf numFmtId="39" fontId="158" fillId="23" borderId="146" xfId="0" applyNumberFormat="1" applyFont="1" applyFill="1" applyBorder="1" applyAlignment="1">
      <alignment horizontal="left" vertical="top"/>
    </xf>
    <xf numFmtId="39" fontId="158" fillId="23" borderId="144" xfId="0" applyNumberFormat="1" applyFont="1" applyFill="1" applyBorder="1" applyAlignment="1">
      <alignment horizontal="left" vertical="top"/>
    </xf>
    <xf numFmtId="0" fontId="157" fillId="23" borderId="1" xfId="0" applyFont="1" applyFill="1" applyBorder="1" applyAlignment="1">
      <alignment horizontal="left" vertical="top"/>
    </xf>
    <xf numFmtId="39" fontId="158" fillId="23" borderId="1" xfId="0" applyNumberFormat="1" applyFont="1" applyFill="1" applyBorder="1" applyAlignment="1">
      <alignment horizontal="left" vertical="top"/>
    </xf>
    <xf numFmtId="0" fontId="162" fillId="23" borderId="143" xfId="0" applyFont="1" applyFill="1" applyBorder="1" applyAlignment="1">
      <alignment horizontal="left" vertical="top"/>
    </xf>
    <xf numFmtId="0" fontId="158" fillId="23" borderId="146" xfId="0" applyFont="1" applyFill="1" applyBorder="1" applyAlignment="1">
      <alignment horizontal="left" vertical="top"/>
    </xf>
    <xf numFmtId="0" fontId="163" fillId="28" borderId="143" xfId="0" applyFont="1" applyFill="1" applyBorder="1" applyAlignment="1">
      <alignment horizontal="left" vertical="top"/>
    </xf>
    <xf numFmtId="0" fontId="158" fillId="28" borderId="143" xfId="0" applyFont="1" applyFill="1" applyBorder="1" applyAlignment="1">
      <alignment horizontal="left" vertical="top"/>
    </xf>
    <xf numFmtId="0" fontId="157" fillId="4" borderId="143" xfId="0" applyFont="1" applyFill="1" applyBorder="1" applyAlignment="1">
      <alignment horizontal="left" vertical="top"/>
    </xf>
    <xf numFmtId="0" fontId="158" fillId="4" borderId="143" xfId="0" applyFont="1" applyFill="1" applyBorder="1" applyAlignment="1">
      <alignment horizontal="left" vertical="top"/>
    </xf>
    <xf numFmtId="0" fontId="158" fillId="4" borderId="1" xfId="0" applyFont="1" applyFill="1" applyBorder="1" applyAlignment="1">
      <alignment horizontal="left" vertical="top"/>
    </xf>
    <xf numFmtId="169" fontId="111" fillId="4" borderId="1" xfId="0" applyNumberFormat="1" applyFont="1" applyFill="1" applyBorder="1" applyAlignment="1">
      <alignment horizontal="center" vertical="top"/>
    </xf>
    <xf numFmtId="169" fontId="111" fillId="26" borderId="1" xfId="0" applyNumberFormat="1" applyFont="1" applyFill="1" applyBorder="1" applyAlignment="1">
      <alignment horizontal="center" vertical="top"/>
    </xf>
    <xf numFmtId="4" fontId="111" fillId="4" borderId="1" xfId="0" applyNumberFormat="1" applyFont="1" applyFill="1" applyBorder="1" applyAlignment="1">
      <alignment horizontal="center" vertical="top"/>
    </xf>
    <xf numFmtId="49" fontId="111" fillId="0" borderId="0" xfId="0" applyNumberFormat="1" applyFont="1" applyAlignment="1">
      <alignment horizontal="left" vertical="center"/>
    </xf>
    <xf numFmtId="181" fontId="111" fillId="0" borderId="0" xfId="0" applyNumberFormat="1" applyFont="1" applyAlignment="1">
      <alignment horizontal="right" vertical="center"/>
    </xf>
    <xf numFmtId="0" fontId="111" fillId="0" borderId="0" xfId="0" applyFont="1" applyAlignment="1">
      <alignment horizontal="left" vertical="top"/>
    </xf>
    <xf numFmtId="183" fontId="111" fillId="0" borderId="0" xfId="0" applyNumberFormat="1" applyFont="1" applyAlignment="1">
      <alignment horizontal="right" vertical="top"/>
    </xf>
    <xf numFmtId="1" fontId="157" fillId="23" borderId="147" xfId="0" applyNumberFormat="1" applyFont="1" applyFill="1" applyBorder="1" applyAlignment="1">
      <alignment horizontal="left" vertical="top"/>
    </xf>
    <xf numFmtId="49" fontId="158" fillId="23" borderId="147" xfId="0" applyNumberFormat="1" applyFont="1" applyFill="1" applyBorder="1" applyAlignment="1">
      <alignment horizontal="left" vertical="top"/>
    </xf>
    <xf numFmtId="49" fontId="157" fillId="23" borderId="147" xfId="0" applyNumberFormat="1" applyFont="1" applyFill="1" applyBorder="1" applyAlignment="1">
      <alignment horizontal="left" vertical="top"/>
    </xf>
    <xf numFmtId="1" fontId="157" fillId="4" borderId="143" xfId="0" applyNumberFormat="1" applyFont="1" applyFill="1" applyBorder="1" applyAlignment="1">
      <alignment horizontal="left" vertical="top"/>
    </xf>
    <xf numFmtId="0" fontId="158" fillId="23" borderId="147" xfId="0" applyFont="1" applyFill="1" applyBorder="1" applyAlignment="1">
      <alignment horizontal="left" vertical="top"/>
    </xf>
    <xf numFmtId="0" fontId="158" fillId="23" borderId="148" xfId="0" applyFont="1" applyFill="1" applyBorder="1" applyAlignment="1">
      <alignment horizontal="left" vertical="top"/>
    </xf>
    <xf numFmtId="0" fontId="158" fillId="23" borderId="149" xfId="0" applyFont="1" applyFill="1" applyBorder="1" applyAlignment="1">
      <alignment horizontal="left" vertical="top"/>
    </xf>
    <xf numFmtId="0" fontId="157" fillId="23" borderId="150" xfId="0" applyFont="1" applyFill="1" applyBorder="1" applyAlignment="1">
      <alignment horizontal="left" vertical="top"/>
    </xf>
    <xf numFmtId="39" fontId="158" fillId="23" borderId="149" xfId="0" applyNumberFormat="1" applyFont="1" applyFill="1" applyBorder="1" applyAlignment="1">
      <alignment horizontal="left" vertical="top"/>
    </xf>
    <xf numFmtId="39" fontId="158" fillId="23" borderId="147" xfId="0" applyNumberFormat="1" applyFont="1" applyFill="1" applyBorder="1" applyAlignment="1">
      <alignment horizontal="left" vertical="top"/>
    </xf>
    <xf numFmtId="0" fontId="157" fillId="23" borderId="147" xfId="0" applyFont="1" applyFill="1" applyBorder="1" applyAlignment="1">
      <alignment horizontal="left" vertical="top"/>
    </xf>
    <xf numFmtId="0" fontId="164" fillId="29" borderId="151" xfId="0" applyFont="1" applyFill="1" applyBorder="1"/>
    <xf numFmtId="0" fontId="164" fillId="29" borderId="152" xfId="0" applyFont="1" applyFill="1" applyBorder="1"/>
    <xf numFmtId="0" fontId="164" fillId="29" borderId="153" xfId="0" applyFont="1" applyFill="1" applyBorder="1"/>
    <xf numFmtId="3" fontId="165" fillId="29" borderId="154" xfId="0" applyNumberFormat="1" applyFont="1" applyFill="1" applyBorder="1" applyAlignment="1">
      <alignment horizontal="center"/>
    </xf>
    <xf numFmtId="3" fontId="165" fillId="29" borderId="0" xfId="0" applyNumberFormat="1" applyFont="1" applyFill="1" applyAlignment="1">
      <alignment horizontal="center"/>
    </xf>
    <xf numFmtId="3" fontId="165" fillId="29" borderId="155" xfId="0" applyNumberFormat="1" applyFont="1" applyFill="1" applyBorder="1" applyAlignment="1">
      <alignment horizontal="center"/>
    </xf>
    <xf numFmtId="3" fontId="165" fillId="29" borderId="156" xfId="0" applyNumberFormat="1" applyFont="1" applyFill="1" applyBorder="1" applyAlignment="1">
      <alignment horizontal="center"/>
    </xf>
    <xf numFmtId="3" fontId="165" fillId="29" borderId="157" xfId="0" applyNumberFormat="1" applyFont="1" applyFill="1" applyBorder="1" applyAlignment="1">
      <alignment horizontal="center"/>
    </xf>
    <xf numFmtId="3" fontId="165" fillId="29" borderId="158" xfId="0" applyNumberFormat="1" applyFont="1" applyFill="1" applyBorder="1" applyAlignment="1">
      <alignment horizontal="right"/>
    </xf>
    <xf numFmtId="3" fontId="165" fillId="29" borderId="158" xfId="0" applyNumberFormat="1" applyFont="1" applyFill="1" applyBorder="1" applyAlignment="1" applyProtection="1">
      <alignment horizontal="right"/>
      <protection locked="0"/>
    </xf>
    <xf numFmtId="3" fontId="165" fillId="29" borderId="154" xfId="0" applyNumberFormat="1" applyFont="1" applyFill="1" applyBorder="1"/>
    <xf numFmtId="3" fontId="165" fillId="29" borderId="0" xfId="0" applyNumberFormat="1" applyFont="1" applyFill="1"/>
    <xf numFmtId="3" fontId="165" fillId="29" borderId="155" xfId="0" applyNumberFormat="1" applyFont="1" applyFill="1" applyBorder="1"/>
    <xf numFmtId="3" fontId="165" fillId="29" borderId="154" xfId="0" applyNumberFormat="1" applyFont="1" applyFill="1" applyBorder="1" applyProtection="1">
      <protection locked="0"/>
    </xf>
    <xf numFmtId="3" fontId="165" fillId="29" borderId="155" xfId="0" applyNumberFormat="1" applyFont="1" applyFill="1" applyBorder="1" applyProtection="1">
      <protection locked="0"/>
    </xf>
    <xf numFmtId="0" fontId="165" fillId="29" borderId="154" xfId="0" applyFont="1" applyFill="1" applyBorder="1"/>
    <xf numFmtId="0" fontId="165" fillId="29" borderId="155" xfId="0" applyFont="1" applyFill="1" applyBorder="1"/>
    <xf numFmtId="3" fontId="165" fillId="29" borderId="159" xfId="0" applyNumberFormat="1" applyFont="1" applyFill="1" applyBorder="1"/>
    <xf numFmtId="3" fontId="165" fillId="29" borderId="160" xfId="0" applyNumberFormat="1" applyFont="1" applyFill="1" applyBorder="1"/>
    <xf numFmtId="3" fontId="165" fillId="29" borderId="161" xfId="0" applyNumberFormat="1" applyFont="1" applyFill="1" applyBorder="1"/>
    <xf numFmtId="3" fontId="165" fillId="29" borderId="159" xfId="0" applyNumberFormat="1" applyFont="1" applyFill="1" applyBorder="1" applyProtection="1">
      <protection locked="0"/>
    </xf>
    <xf numFmtId="3" fontId="165" fillId="29" borderId="161" xfId="0" applyNumberFormat="1" applyFont="1" applyFill="1" applyBorder="1" applyProtection="1">
      <protection locked="0"/>
    </xf>
    <xf numFmtId="0" fontId="165" fillId="29" borderId="0" xfId="0" applyFont="1" applyFill="1"/>
    <xf numFmtId="37" fontId="165" fillId="29" borderId="155" xfId="0" applyNumberFormat="1" applyFont="1" applyFill="1" applyBorder="1"/>
    <xf numFmtId="37" fontId="164" fillId="30" borderId="162" xfId="0" applyNumberFormat="1" applyFont="1" applyFill="1" applyBorder="1"/>
    <xf numFmtId="174" fontId="164" fillId="30" borderId="163" xfId="0" applyNumberFormat="1" applyFont="1" applyFill="1" applyBorder="1"/>
    <xf numFmtId="37" fontId="164" fillId="30" borderId="164" xfId="0" applyNumberFormat="1" applyFont="1" applyFill="1" applyBorder="1"/>
    <xf numFmtId="0" fontId="164" fillId="30" borderId="165" xfId="0" applyFont="1" applyFill="1" applyBorder="1"/>
    <xf numFmtId="0" fontId="164" fillId="30" borderId="166" xfId="0" applyFont="1" applyFill="1" applyBorder="1"/>
    <xf numFmtId="0" fontId="164" fillId="30" borderId="167" xfId="0" applyFont="1" applyFill="1" applyBorder="1"/>
    <xf numFmtId="0" fontId="164" fillId="31" borderId="154" xfId="0" applyFont="1" applyFill="1" applyBorder="1"/>
    <xf numFmtId="0" fontId="164" fillId="31" borderId="0" xfId="0" applyFont="1" applyFill="1"/>
    <xf numFmtId="0" fontId="164" fillId="31" borderId="155" xfId="0" applyFont="1" applyFill="1" applyBorder="1"/>
    <xf numFmtId="0" fontId="165" fillId="29" borderId="0" xfId="0" applyFont="1" applyFill="1" applyAlignment="1">
      <alignment horizontal="center"/>
    </xf>
    <xf numFmtId="9" fontId="165" fillId="29" borderId="154" xfId="2" applyFont="1" applyFill="1" applyBorder="1"/>
    <xf numFmtId="37" fontId="165" fillId="29" borderId="0" xfId="0" applyNumberFormat="1" applyFont="1" applyFill="1"/>
    <xf numFmtId="37" fontId="165" fillId="29" borderId="155" xfId="0" applyNumberFormat="1" applyFont="1" applyFill="1" applyBorder="1" applyProtection="1">
      <protection locked="0"/>
    </xf>
    <xf numFmtId="9" fontId="165" fillId="29" borderId="156" xfId="2" applyFont="1" applyFill="1" applyBorder="1"/>
    <xf numFmtId="37" fontId="165" fillId="29" borderId="157" xfId="0" applyNumberFormat="1" applyFont="1" applyFill="1" applyBorder="1"/>
    <xf numFmtId="37" fontId="165" fillId="29" borderId="158" xfId="0" applyNumberFormat="1" applyFont="1" applyFill="1" applyBorder="1"/>
    <xf numFmtId="37" fontId="165" fillId="29" borderId="158" xfId="0" applyNumberFormat="1" applyFont="1" applyFill="1" applyBorder="1" applyProtection="1">
      <protection locked="0"/>
    </xf>
    <xf numFmtId="0" fontId="165" fillId="29" borderId="156" xfId="0" applyFont="1" applyFill="1" applyBorder="1"/>
    <xf numFmtId="0" fontId="165" fillId="29" borderId="157" xfId="0" applyFont="1" applyFill="1" applyBorder="1"/>
    <xf numFmtId="0" fontId="165" fillId="29" borderId="159" xfId="0" applyFont="1" applyFill="1" applyBorder="1"/>
    <xf numFmtId="0" fontId="165" fillId="29" borderId="160" xfId="0" applyFont="1" applyFill="1" applyBorder="1"/>
    <xf numFmtId="37" fontId="165" fillId="29" borderId="161" xfId="0" applyNumberFormat="1" applyFont="1" applyFill="1" applyBorder="1"/>
    <xf numFmtId="37" fontId="165" fillId="29" borderId="161" xfId="0" applyNumberFormat="1" applyFont="1" applyFill="1" applyBorder="1" applyProtection="1">
      <protection locked="0"/>
    </xf>
    <xf numFmtId="0" fontId="164" fillId="30" borderId="168" xfId="0" applyFont="1" applyFill="1" applyBorder="1" applyAlignment="1">
      <alignment horizontal="center"/>
    </xf>
    <xf numFmtId="37" fontId="164" fillId="30" borderId="169" xfId="0" applyNumberFormat="1" applyFont="1" applyFill="1" applyBorder="1"/>
    <xf numFmtId="0" fontId="165" fillId="31" borderId="156" xfId="0" applyFont="1" applyFill="1" applyBorder="1"/>
    <xf numFmtId="0" fontId="165" fillId="31" borderId="157" xfId="0" applyFont="1" applyFill="1" applyBorder="1"/>
    <xf numFmtId="37" fontId="164" fillId="31" borderId="155" xfId="0" applyNumberFormat="1" applyFont="1" applyFill="1" applyBorder="1"/>
    <xf numFmtId="0" fontId="166" fillId="29" borderId="0" xfId="0" applyFont="1" applyFill="1"/>
    <xf numFmtId="37" fontId="166" fillId="29" borderId="0" xfId="0" applyNumberFormat="1" applyFont="1" applyFill="1"/>
    <xf numFmtId="0" fontId="167" fillId="29" borderId="0" xfId="0" applyFont="1" applyFill="1"/>
    <xf numFmtId="0" fontId="168" fillId="29" borderId="0" xfId="0" applyFont="1" applyFill="1"/>
    <xf numFmtId="0" fontId="165" fillId="29" borderId="154" xfId="0" applyFont="1" applyFill="1" applyBorder="1" applyAlignment="1">
      <alignment horizontal="center"/>
    </xf>
    <xf numFmtId="0" fontId="165" fillId="29" borderId="155" xfId="0" applyFont="1" applyFill="1" applyBorder="1" applyAlignment="1">
      <alignment horizontal="center"/>
    </xf>
    <xf numFmtId="3" fontId="165" fillId="29" borderId="158" xfId="0" applyNumberFormat="1" applyFont="1" applyFill="1" applyBorder="1" applyAlignment="1" applyProtection="1">
      <alignment horizontal="center"/>
      <protection locked="0"/>
    </xf>
    <xf numFmtId="3" fontId="165" fillId="29" borderId="156" xfId="0" applyNumberFormat="1" applyFont="1" applyFill="1" applyBorder="1"/>
    <xf numFmtId="3" fontId="165" fillId="29" borderId="157" xfId="0" applyNumberFormat="1" applyFont="1" applyFill="1" applyBorder="1"/>
    <xf numFmtId="3" fontId="165" fillId="29" borderId="158" xfId="0" applyNumberFormat="1" applyFont="1" applyFill="1" applyBorder="1"/>
    <xf numFmtId="0" fontId="164" fillId="29" borderId="154" xfId="0" applyFont="1" applyFill="1" applyBorder="1"/>
    <xf numFmtId="0" fontId="164" fillId="29" borderId="0" xfId="0" applyFont="1" applyFill="1"/>
    <xf numFmtId="0" fontId="164" fillId="29" borderId="155" xfId="0" applyFont="1" applyFill="1" applyBorder="1"/>
    <xf numFmtId="0" fontId="165" fillId="29" borderId="154" xfId="0" applyFont="1" applyFill="1" applyBorder="1" applyAlignment="1">
      <alignment horizontal="right"/>
    </xf>
    <xf numFmtId="175" fontId="165" fillId="29" borderId="0" xfId="0" applyNumberFormat="1" applyFont="1" applyFill="1"/>
    <xf numFmtId="37" fontId="167" fillId="29" borderId="0" xfId="0" applyNumberFormat="1" applyFont="1" applyFill="1"/>
    <xf numFmtId="37" fontId="165" fillId="29" borderId="154" xfId="0" applyNumberFormat="1" applyFont="1" applyFill="1" applyBorder="1"/>
    <xf numFmtId="37" fontId="165" fillId="29" borderId="154" xfId="0" applyNumberFormat="1" applyFont="1" applyFill="1" applyBorder="1" applyProtection="1">
      <protection locked="0"/>
    </xf>
    <xf numFmtId="37" fontId="165" fillId="29" borderId="0" xfId="0" applyNumberFormat="1" applyFont="1" applyFill="1" applyProtection="1">
      <protection locked="0"/>
    </xf>
    <xf numFmtId="175" fontId="165" fillId="29" borderId="155" xfId="0" applyNumberFormat="1" applyFont="1" applyFill="1" applyBorder="1"/>
    <xf numFmtId="37" fontId="165" fillId="29" borderId="156" xfId="0" applyNumberFormat="1" applyFont="1" applyFill="1" applyBorder="1"/>
    <xf numFmtId="2" fontId="165" fillId="29" borderId="157" xfId="0" applyNumberFormat="1" applyFont="1" applyFill="1" applyBorder="1"/>
    <xf numFmtId="175" fontId="165" fillId="29" borderId="158" xfId="0" applyNumberFormat="1" applyFont="1" applyFill="1" applyBorder="1"/>
    <xf numFmtId="174" fontId="165" fillId="29" borderId="0" xfId="0" applyNumberFormat="1" applyFont="1" applyFill="1"/>
    <xf numFmtId="176" fontId="165" fillId="29" borderId="0" xfId="0" applyNumberFormat="1" applyFont="1" applyFill="1"/>
    <xf numFmtId="37" fontId="164" fillId="29" borderId="154" xfId="0" applyNumberFormat="1" applyFont="1" applyFill="1" applyBorder="1"/>
    <xf numFmtId="174" fontId="164" fillId="29" borderId="0" xfId="0" applyNumberFormat="1" applyFont="1" applyFill="1"/>
    <xf numFmtId="37" fontId="164" fillId="29" borderId="156" xfId="0" applyNumberFormat="1" applyFont="1" applyFill="1" applyBorder="1"/>
    <xf numFmtId="176" fontId="165" fillId="29" borderId="157" xfId="0" applyNumberFormat="1" applyFont="1" applyFill="1" applyBorder="1"/>
    <xf numFmtId="37" fontId="164" fillId="31" borderId="162" xfId="0" applyNumberFormat="1" applyFont="1" applyFill="1" applyBorder="1"/>
    <xf numFmtId="37" fontId="164" fillId="31" borderId="163" xfId="0" applyNumberFormat="1" applyFont="1" applyFill="1" applyBorder="1"/>
    <xf numFmtId="37" fontId="164" fillId="31" borderId="164" xfId="0" applyNumberFormat="1" applyFont="1" applyFill="1" applyBorder="1"/>
    <xf numFmtId="37" fontId="164" fillId="31" borderId="156" xfId="0" applyNumberFormat="1" applyFont="1" applyFill="1" applyBorder="1"/>
    <xf numFmtId="39" fontId="164" fillId="31" borderId="157" xfId="0" applyNumberFormat="1" applyFont="1" applyFill="1" applyBorder="1"/>
    <xf numFmtId="175" fontId="164" fillId="29" borderId="155" xfId="0" applyNumberFormat="1" applyFont="1" applyFill="1" applyBorder="1"/>
    <xf numFmtId="174" fontId="165" fillId="29" borderId="0" xfId="0" applyNumberFormat="1" applyFont="1" applyFill="1" applyProtection="1">
      <protection locked="0"/>
    </xf>
    <xf numFmtId="174" fontId="165" fillId="29" borderId="157" xfId="0" applyNumberFormat="1" applyFont="1" applyFill="1" applyBorder="1"/>
    <xf numFmtId="37" fontId="164" fillId="30" borderId="163" xfId="0" applyNumberFormat="1" applyFont="1" applyFill="1" applyBorder="1"/>
    <xf numFmtId="175" fontId="164" fillId="30" borderId="167" xfId="0" applyNumberFormat="1" applyFont="1" applyFill="1" applyBorder="1"/>
    <xf numFmtId="175" fontId="164" fillId="31" borderId="155" xfId="0" applyNumberFormat="1" applyFont="1" applyFill="1" applyBorder="1"/>
    <xf numFmtId="0" fontId="165" fillId="29" borderId="158" xfId="0" applyFont="1" applyFill="1" applyBorder="1"/>
    <xf numFmtId="175" fontId="165" fillId="29" borderId="0" xfId="2" applyNumberFormat="1" applyFont="1" applyFill="1"/>
    <xf numFmtId="175" fontId="165" fillId="29" borderId="160" xfId="0" applyNumberFormat="1" applyFont="1" applyFill="1" applyBorder="1"/>
    <xf numFmtId="37" fontId="165" fillId="29" borderId="159" xfId="0" applyNumberFormat="1" applyFont="1" applyFill="1" applyBorder="1" applyProtection="1">
      <protection locked="0"/>
    </xf>
    <xf numFmtId="175" fontId="164" fillId="30" borderId="163" xfId="0" applyNumberFormat="1" applyFont="1" applyFill="1" applyBorder="1"/>
    <xf numFmtId="37" fontId="164" fillId="31" borderId="154" xfId="0" applyNumberFormat="1" applyFont="1" applyFill="1" applyBorder="1"/>
    <xf numFmtId="174" fontId="164" fillId="31" borderId="0" xfId="0" applyNumberFormat="1" applyFont="1" applyFill="1"/>
    <xf numFmtId="37" fontId="164" fillId="29" borderId="0" xfId="0" applyNumberFormat="1" applyFont="1" applyFill="1"/>
    <xf numFmtId="0" fontId="165" fillId="30" borderId="170" xfId="0" applyFont="1" applyFill="1" applyBorder="1"/>
    <xf numFmtId="0" fontId="165" fillId="30" borderId="171" xfId="0" applyFont="1" applyFill="1" applyBorder="1"/>
    <xf numFmtId="37" fontId="164" fillId="30" borderId="172" xfId="0" applyNumberFormat="1" applyFont="1" applyFill="1" applyBorder="1"/>
    <xf numFmtId="0" fontId="167" fillId="29" borderId="0" xfId="0" applyFont="1" applyFill="1" applyAlignment="1">
      <alignment horizontal="center"/>
    </xf>
    <xf numFmtId="0" fontId="167" fillId="29" borderId="166" xfId="0" applyFont="1" applyFill="1" applyBorder="1" applyAlignment="1">
      <alignment horizontal="center"/>
    </xf>
    <xf numFmtId="37" fontId="167" fillId="29" borderId="166" xfId="0" applyNumberFormat="1" applyFont="1" applyFill="1" applyBorder="1" applyAlignment="1">
      <alignment horizontal="center"/>
    </xf>
    <xf numFmtId="0" fontId="165" fillId="29" borderId="173" xfId="0" applyFont="1" applyFill="1" applyBorder="1" applyAlignment="1">
      <alignment horizontal="center"/>
    </xf>
    <xf numFmtId="0" fontId="165" fillId="29" borderId="157" xfId="0" applyFont="1" applyFill="1" applyBorder="1" applyAlignment="1">
      <alignment horizontal="center"/>
    </xf>
    <xf numFmtId="0" fontId="165" fillId="29" borderId="174" xfId="0" applyFont="1" applyFill="1" applyBorder="1" applyAlignment="1">
      <alignment horizontal="center"/>
    </xf>
    <xf numFmtId="37" fontId="169" fillId="29" borderId="173" xfId="0" applyNumberFormat="1" applyFont="1" applyFill="1" applyBorder="1"/>
    <xf numFmtId="37" fontId="169" fillId="29" borderId="157" xfId="0" applyNumberFormat="1" applyFont="1" applyFill="1" applyBorder="1"/>
    <xf numFmtId="37" fontId="169" fillId="29" borderId="174" xfId="0" applyNumberFormat="1" applyFont="1" applyFill="1" applyBorder="1"/>
    <xf numFmtId="37" fontId="170" fillId="30" borderId="173" xfId="0" applyNumberFormat="1" applyFont="1" applyFill="1" applyBorder="1"/>
    <xf numFmtId="37" fontId="170" fillId="30" borderId="157" xfId="0" applyNumberFormat="1" applyFont="1" applyFill="1" applyBorder="1"/>
    <xf numFmtId="37" fontId="170" fillId="30" borderId="174" xfId="0" applyNumberFormat="1" applyFont="1" applyFill="1" applyBorder="1"/>
    <xf numFmtId="37" fontId="169" fillId="29" borderId="175" xfId="0" applyNumberFormat="1" applyFont="1" applyFill="1" applyBorder="1"/>
    <xf numFmtId="0" fontId="169" fillId="29" borderId="0" xfId="0" applyFont="1" applyFill="1"/>
    <xf numFmtId="37" fontId="169" fillId="29" borderId="176" xfId="0" applyNumberFormat="1" applyFont="1" applyFill="1" applyBorder="1"/>
    <xf numFmtId="175" fontId="169" fillId="29" borderId="175" xfId="2" applyNumberFormat="1" applyFont="1" applyFill="1" applyBorder="1"/>
    <xf numFmtId="174" fontId="169" fillId="29" borderId="0" xfId="0" applyNumberFormat="1" applyFont="1" applyFill="1"/>
    <xf numFmtId="0" fontId="169" fillId="29" borderId="175" xfId="0" applyFont="1" applyFill="1" applyBorder="1"/>
    <xf numFmtId="175" fontId="169" fillId="29" borderId="173" xfId="2" applyNumberFormat="1" applyFont="1" applyFill="1" applyBorder="1"/>
    <xf numFmtId="174" fontId="169" fillId="29" borderId="157" xfId="0" applyNumberFormat="1" applyFont="1" applyFill="1" applyBorder="1"/>
    <xf numFmtId="0" fontId="169" fillId="29" borderId="173" xfId="0" applyFont="1" applyFill="1" applyBorder="1"/>
    <xf numFmtId="37" fontId="169" fillId="29" borderId="176" xfId="0" applyNumberFormat="1" applyFont="1" applyFill="1" applyBorder="1" applyProtection="1">
      <protection locked="0"/>
    </xf>
    <xf numFmtId="175" fontId="169" fillId="29" borderId="157" xfId="2" applyNumberFormat="1" applyFont="1" applyFill="1" applyBorder="1"/>
    <xf numFmtId="175" fontId="169" fillId="29" borderId="0" xfId="2" applyNumberFormat="1" applyFont="1" applyFill="1"/>
    <xf numFmtId="0" fontId="169" fillId="29" borderId="177" xfId="0" applyFont="1" applyFill="1" applyBorder="1"/>
    <xf numFmtId="174" fontId="169" fillId="29" borderId="160" xfId="0" applyNumberFormat="1" applyFont="1" applyFill="1" applyBorder="1"/>
    <xf numFmtId="37" fontId="169" fillId="29" borderId="178" xfId="0" applyNumberFormat="1" applyFont="1" applyFill="1" applyBorder="1"/>
    <xf numFmtId="37" fontId="169" fillId="29" borderId="174" xfId="0" applyNumberFormat="1" applyFont="1" applyFill="1" applyBorder="1" applyProtection="1">
      <protection locked="0"/>
    </xf>
    <xf numFmtId="0" fontId="171" fillId="29" borderId="175" xfId="0" applyFont="1" applyFill="1" applyBorder="1"/>
    <xf numFmtId="0" fontId="171" fillId="29" borderId="0" xfId="0" applyFont="1" applyFill="1"/>
    <xf numFmtId="37" fontId="171" fillId="29" borderId="176" xfId="0" applyNumberFormat="1" applyFont="1" applyFill="1" applyBorder="1"/>
    <xf numFmtId="175" fontId="170" fillId="29" borderId="175" xfId="0" applyNumberFormat="1" applyFont="1" applyFill="1" applyBorder="1"/>
    <xf numFmtId="0" fontId="170" fillId="29" borderId="0" xfId="0" applyFont="1" applyFill="1"/>
    <xf numFmtId="175" fontId="170" fillId="29" borderId="173" xfId="0" applyNumberFormat="1" applyFont="1" applyFill="1" applyBorder="1"/>
    <xf numFmtId="0" fontId="170" fillId="30" borderId="179" xfId="0" applyFont="1" applyFill="1" applyBorder="1" applyAlignment="1">
      <alignment horizontal="center"/>
    </xf>
    <xf numFmtId="175" fontId="170" fillId="30" borderId="180" xfId="0" applyNumberFormat="1" applyFont="1" applyFill="1" applyBorder="1"/>
    <xf numFmtId="37" fontId="170" fillId="30" borderId="181" xfId="0" applyNumberFormat="1" applyFont="1" applyFill="1" applyBorder="1"/>
    <xf numFmtId="0" fontId="170" fillId="30" borderId="182" xfId="0" applyFont="1" applyFill="1" applyBorder="1" applyAlignment="1">
      <alignment horizontal="center"/>
    </xf>
    <xf numFmtId="175" fontId="170" fillId="30" borderId="171" xfId="0" applyNumberFormat="1" applyFont="1" applyFill="1" applyBorder="1"/>
    <xf numFmtId="37" fontId="170" fillId="30" borderId="183" xfId="0" applyNumberFormat="1" applyFont="1" applyFill="1" applyBorder="1"/>
    <xf numFmtId="39" fontId="169" fillId="29" borderId="0" xfId="0" applyNumberFormat="1" applyFont="1" applyFill="1"/>
    <xf numFmtId="0" fontId="170" fillId="30" borderId="184" xfId="0" applyFont="1" applyFill="1" applyBorder="1" applyAlignment="1">
      <alignment horizontal="center"/>
    </xf>
    <xf numFmtId="175" fontId="170" fillId="30" borderId="184" xfId="0" applyNumberFormat="1" applyFont="1" applyFill="1" applyBorder="1"/>
    <xf numFmtId="37" fontId="170" fillId="30" borderId="184" xfId="0" applyNumberFormat="1" applyFont="1" applyFill="1" applyBorder="1"/>
    <xf numFmtId="0" fontId="170" fillId="30" borderId="185" xfId="0" applyFont="1" applyFill="1" applyBorder="1" applyAlignment="1">
      <alignment horizontal="center"/>
    </xf>
    <xf numFmtId="37" fontId="170" fillId="30" borderId="186" xfId="0" applyNumberFormat="1" applyFont="1" applyFill="1" applyBorder="1"/>
    <xf numFmtId="0" fontId="173" fillId="29" borderId="0" xfId="0" applyFont="1" applyFill="1"/>
    <xf numFmtId="0" fontId="173" fillId="29" borderId="175" xfId="0" applyFont="1" applyFill="1" applyBorder="1"/>
    <xf numFmtId="0" fontId="173" fillId="29" borderId="176" xfId="0" applyFont="1" applyFill="1" applyBorder="1"/>
    <xf numFmtId="37" fontId="169" fillId="29" borderId="0" xfId="0" applyNumberFormat="1" applyFont="1" applyFill="1"/>
    <xf numFmtId="0" fontId="167" fillId="29" borderId="175" xfId="0" applyFont="1" applyFill="1" applyBorder="1"/>
    <xf numFmtId="0" fontId="165" fillId="29" borderId="175" xfId="0" applyFont="1" applyFill="1" applyBorder="1"/>
    <xf numFmtId="0" fontId="164" fillId="29" borderId="175" xfId="0" applyFont="1" applyFill="1" applyBorder="1"/>
    <xf numFmtId="0" fontId="170" fillId="30" borderId="187" xfId="0" applyFont="1" applyFill="1" applyBorder="1" applyAlignment="1">
      <alignment horizontal="center"/>
    </xf>
    <xf numFmtId="175" fontId="170" fillId="30" borderId="187" xfId="0" applyNumberFormat="1" applyFont="1" applyFill="1" applyBorder="1"/>
    <xf numFmtId="37" fontId="170" fillId="30" borderId="187" xfId="0" applyNumberFormat="1" applyFont="1" applyFill="1" applyBorder="1"/>
    <xf numFmtId="0" fontId="170" fillId="30" borderId="188" xfId="0" applyFont="1" applyFill="1" applyBorder="1" applyAlignment="1">
      <alignment horizontal="center"/>
    </xf>
    <xf numFmtId="37" fontId="170" fillId="30" borderId="189" xfId="0" applyNumberFormat="1" applyFont="1" applyFill="1" applyBorder="1"/>
    <xf numFmtId="0" fontId="142" fillId="32" borderId="1" xfId="0" applyFont="1" applyFill="1" applyBorder="1"/>
    <xf numFmtId="0" fontId="142" fillId="32" borderId="1" xfId="0" applyFont="1" applyFill="1" applyBorder="1" applyAlignment="1">
      <alignment horizontal="center" vertical="center"/>
    </xf>
    <xf numFmtId="0" fontId="142" fillId="32" borderId="1" xfId="0" applyFont="1" applyFill="1" applyBorder="1" applyAlignment="1">
      <alignment horizontal="right"/>
    </xf>
    <xf numFmtId="175" fontId="114" fillId="3" borderId="13" xfId="2" applyNumberFormat="1" applyFont="1" applyFill="1" applyBorder="1"/>
    <xf numFmtId="3" fontId="121" fillId="0" borderId="95" xfId="0" applyNumberFormat="1" applyFont="1" applyBorder="1"/>
    <xf numFmtId="3" fontId="121" fillId="0" borderId="21" xfId="0" applyNumberFormat="1" applyFont="1" applyBorder="1"/>
    <xf numFmtId="175" fontId="114" fillId="3" borderId="36" xfId="2" applyNumberFormat="1" applyFont="1" applyFill="1" applyBorder="1"/>
    <xf numFmtId="0" fontId="142" fillId="32" borderId="1" xfId="0" applyFont="1" applyFill="1" applyBorder="1" applyAlignment="1">
      <alignment vertical="center"/>
    </xf>
    <xf numFmtId="0" fontId="115" fillId="0" borderId="1" xfId="0" applyFont="1" applyBorder="1" applyAlignment="1">
      <alignment horizontal="right" vertical="center"/>
    </xf>
    <xf numFmtId="0" fontId="115" fillId="0" borderId="1" xfId="0" applyFont="1" applyBorder="1" applyAlignment="1">
      <alignment horizontal="center" vertical="center"/>
    </xf>
    <xf numFmtId="0" fontId="115" fillId="0" borderId="1" xfId="0" applyFont="1" applyBorder="1"/>
    <xf numFmtId="37" fontId="122" fillId="0" borderId="110" xfId="0" applyNumberFormat="1" applyFont="1" applyBorder="1"/>
    <xf numFmtId="0" fontId="115" fillId="0" borderId="1" xfId="0" applyFont="1" applyBorder="1" applyAlignment="1">
      <alignment horizontal="right"/>
    </xf>
    <xf numFmtId="43" fontId="120" fillId="0" borderId="0" xfId="1" applyFont="1"/>
    <xf numFmtId="37" fontId="121" fillId="0" borderId="21" xfId="0" applyNumberFormat="1" applyFont="1" applyBorder="1"/>
    <xf numFmtId="37" fontId="122" fillId="0" borderId="1" xfId="0" applyNumberFormat="1" applyFont="1" applyBorder="1"/>
    <xf numFmtId="0" fontId="110" fillId="0" borderId="190" xfId="0" applyFont="1" applyBorder="1" applyAlignment="1">
      <alignment horizontal="center" vertical="center"/>
    </xf>
    <xf numFmtId="0" fontId="111" fillId="0" borderId="192" xfId="0" applyFont="1" applyBorder="1" applyAlignment="1">
      <alignment horizontal="center" vertical="center"/>
    </xf>
    <xf numFmtId="169" fontId="110" fillId="0" borderId="193" xfId="0" applyNumberFormat="1" applyFont="1" applyBorder="1" applyAlignment="1">
      <alignment horizontal="center" vertical="center"/>
    </xf>
    <xf numFmtId="169" fontId="111" fillId="0" borderId="193" xfId="0" applyNumberFormat="1" applyFont="1" applyBorder="1" applyAlignment="1">
      <alignment horizontal="center" vertical="center"/>
    </xf>
    <xf numFmtId="0" fontId="111" fillId="0" borderId="194" xfId="0" applyFont="1" applyBorder="1" applyAlignment="1">
      <alignment horizontal="center" vertical="center"/>
    </xf>
    <xf numFmtId="169" fontId="111" fillId="0" borderId="195" xfId="0" applyNumberFormat="1" applyFont="1" applyBorder="1" applyAlignment="1">
      <alignment horizontal="center" vertical="center"/>
    </xf>
    <xf numFmtId="0" fontId="164" fillId="29" borderId="151" xfId="0" applyFont="1" applyFill="1" applyBorder="1" applyAlignment="1">
      <alignment horizontal="center"/>
    </xf>
    <xf numFmtId="0" fontId="164" fillId="29" borderId="152" xfId="0" applyFont="1" applyFill="1" applyBorder="1" applyAlignment="1">
      <alignment horizontal="center"/>
    </xf>
    <xf numFmtId="0" fontId="164" fillId="29" borderId="153" xfId="0" applyFont="1" applyFill="1" applyBorder="1" applyAlignment="1">
      <alignment horizontal="center"/>
    </xf>
    <xf numFmtId="0" fontId="115" fillId="0" borderId="14" xfId="0" applyFont="1" applyBorder="1" applyAlignment="1">
      <alignment horizontal="center"/>
    </xf>
    <xf numFmtId="0" fontId="118" fillId="0" borderId="14" xfId="0" applyFont="1" applyBorder="1"/>
    <xf numFmtId="169" fontId="110" fillId="0" borderId="1" xfId="0" applyNumberFormat="1" applyFont="1" applyBorder="1" applyAlignment="1">
      <alignment horizontal="center" vertical="center"/>
    </xf>
    <xf numFmtId="169" fontId="111" fillId="0" borderId="1" xfId="0" applyNumberFormat="1" applyFont="1" applyBorder="1" applyAlignment="1">
      <alignment horizontal="center" vertical="center"/>
    </xf>
    <xf numFmtId="0" fontId="138" fillId="0" borderId="196" xfId="0" applyFont="1" applyBorder="1" applyAlignment="1">
      <alignment horizontal="center" vertical="center"/>
    </xf>
    <xf numFmtId="0" fontId="135" fillId="0" borderId="191" xfId="0" applyFont="1" applyBorder="1" applyAlignment="1">
      <alignment horizontal="center" vertical="center"/>
    </xf>
    <xf numFmtId="169" fontId="111" fillId="0" borderId="197" xfId="0" applyNumberFormat="1" applyFont="1" applyBorder="1" applyAlignment="1">
      <alignment horizontal="center" vertical="center"/>
    </xf>
    <xf numFmtId="175" fontId="124" fillId="0" borderId="8" xfId="0" applyNumberFormat="1" applyFont="1" applyBorder="1" applyAlignment="1">
      <alignment vertical="center"/>
    </xf>
    <xf numFmtId="175" fontId="124" fillId="0" borderId="9" xfId="0" applyNumberFormat="1" applyFont="1" applyBorder="1" applyAlignment="1">
      <alignment vertical="center"/>
    </xf>
    <xf numFmtId="0" fontId="174" fillId="0" borderId="0" xfId="0" applyFont="1"/>
    <xf numFmtId="0" fontId="174" fillId="0" borderId="0" xfId="0" applyFont="1" applyAlignment="1">
      <alignment horizontal="center"/>
    </xf>
    <xf numFmtId="0" fontId="174" fillId="0" borderId="0" xfId="0" applyFont="1" applyAlignment="1">
      <alignment horizontal="right" vertical="center"/>
    </xf>
    <xf numFmtId="0" fontId="174" fillId="0" borderId="0" xfId="0" applyFont="1" applyAlignment="1">
      <alignment horizontal="center" vertical="center"/>
    </xf>
    <xf numFmtId="0" fontId="174" fillId="0" borderId="0" xfId="0" applyFont="1" applyAlignment="1">
      <alignment horizontal="right"/>
    </xf>
    <xf numFmtId="0" fontId="121" fillId="0" borderId="1" xfId="0" applyFont="1" applyBorder="1"/>
    <xf numFmtId="0" fontId="121" fillId="0" borderId="20" xfId="0" applyFont="1" applyBorder="1"/>
    <xf numFmtId="14" fontId="112" fillId="0" borderId="0" xfId="0" applyNumberFormat="1" applyFont="1" applyAlignment="1">
      <alignment horizontal="left"/>
    </xf>
    <xf numFmtId="0" fontId="111" fillId="0" borderId="190" xfId="0" applyFont="1" applyBorder="1"/>
    <xf numFmtId="0" fontId="137" fillId="0" borderId="196" xfId="0" applyFont="1" applyBorder="1"/>
    <xf numFmtId="0" fontId="111" fillId="0" borderId="191" xfId="0" applyFont="1" applyBorder="1"/>
    <xf numFmtId="0" fontId="110" fillId="0" borderId="192" xfId="0" applyFont="1" applyBorder="1" applyAlignment="1">
      <alignment horizontal="left"/>
    </xf>
    <xf numFmtId="169" fontId="110" fillId="0" borderId="1" xfId="0" applyNumberFormat="1" applyFont="1" applyBorder="1" applyAlignment="1">
      <alignment horizontal="center"/>
    </xf>
    <xf numFmtId="0" fontId="111" fillId="0" borderId="193" xfId="0" applyFont="1" applyBorder="1"/>
    <xf numFmtId="169" fontId="111" fillId="0" borderId="1" xfId="0" applyNumberFormat="1" applyFont="1" applyBorder="1" applyAlignment="1">
      <alignment horizontal="right"/>
    </xf>
    <xf numFmtId="0" fontId="111" fillId="0" borderId="192" xfId="0" applyFont="1" applyBorder="1"/>
    <xf numFmtId="0" fontId="111" fillId="0" borderId="1" xfId="0" applyFont="1" applyBorder="1"/>
    <xf numFmtId="0" fontId="110" fillId="0" borderId="194" xfId="0" applyFont="1" applyBorder="1" applyAlignment="1">
      <alignment horizontal="left"/>
    </xf>
    <xf numFmtId="169" fontId="111" fillId="0" borderId="197" xfId="0" applyNumberFormat="1" applyFont="1" applyBorder="1" applyAlignment="1">
      <alignment horizontal="right"/>
    </xf>
    <xf numFmtId="177" fontId="112" fillId="0" borderId="0" xfId="0" applyNumberFormat="1" applyFont="1"/>
    <xf numFmtId="3" fontId="0" fillId="0" borderId="0" xfId="0" applyNumberFormat="1"/>
    <xf numFmtId="10" fontId="120" fillId="0" borderId="0" xfId="0" applyNumberFormat="1" applyFont="1"/>
    <xf numFmtId="172" fontId="120" fillId="0" borderId="0" xfId="1" applyNumberFormat="1" applyFont="1"/>
    <xf numFmtId="184" fontId="112" fillId="0" borderId="0" xfId="3" applyNumberFormat="1" applyFont="1"/>
    <xf numFmtId="184" fontId="112" fillId="10" borderId="1" xfId="3" applyNumberFormat="1" applyFont="1" applyFill="1" applyBorder="1" applyAlignment="1">
      <alignment horizontal="center" vertical="center"/>
    </xf>
    <xf numFmtId="184" fontId="112" fillId="10" borderId="1" xfId="3" applyNumberFormat="1" applyFont="1" applyFill="1" applyBorder="1" applyAlignment="1">
      <alignment horizontal="center"/>
    </xf>
    <xf numFmtId="17" fontId="120" fillId="0" borderId="0" xfId="0" applyNumberFormat="1" applyFont="1" applyAlignment="1">
      <alignment horizontal="right"/>
    </xf>
    <xf numFmtId="10" fontId="0" fillId="0" borderId="0" xfId="0" applyNumberFormat="1"/>
    <xf numFmtId="10" fontId="111" fillId="0" borderId="193" xfId="0" applyNumberFormat="1" applyFont="1" applyBorder="1" applyAlignment="1">
      <alignment horizontal="center"/>
    </xf>
    <xf numFmtId="0" fontId="112" fillId="34" borderId="0" xfId="0" applyFont="1" applyFill="1" applyAlignment="1">
      <alignment horizontal="center"/>
    </xf>
    <xf numFmtId="0" fontId="112" fillId="35" borderId="0" xfId="0" applyFont="1" applyFill="1" applyAlignment="1">
      <alignment horizontal="center"/>
    </xf>
    <xf numFmtId="3" fontId="124" fillId="3" borderId="29" xfId="0" applyNumberFormat="1" applyFont="1" applyFill="1" applyBorder="1" applyAlignment="1">
      <alignment horizontal="right"/>
    </xf>
    <xf numFmtId="1" fontId="121" fillId="0" borderId="14" xfId="0" applyNumberFormat="1" applyFont="1" applyBorder="1"/>
    <xf numFmtId="1" fontId="121" fillId="0" borderId="92" xfId="0" applyNumberFormat="1" applyFont="1" applyBorder="1"/>
    <xf numFmtId="37" fontId="122" fillId="33" borderId="0" xfId="0" applyNumberFormat="1" applyFont="1" applyFill="1"/>
    <xf numFmtId="37" fontId="122" fillId="0" borderId="111" xfId="0" applyNumberFormat="1" applyFont="1" applyBorder="1"/>
    <xf numFmtId="172" fontId="121" fillId="0" borderId="0" xfId="1" applyNumberFormat="1" applyFont="1"/>
    <xf numFmtId="49" fontId="155" fillId="27" borderId="1" xfId="0" applyNumberFormat="1" applyFont="1" applyFill="1" applyBorder="1" applyAlignment="1">
      <alignment horizontal="left" vertical="top"/>
    </xf>
    <xf numFmtId="49" fontId="157" fillId="23" borderId="144" xfId="0" applyNumberFormat="1" applyFont="1" applyFill="1" applyBorder="1" applyAlignment="1">
      <alignment horizontal="left" vertical="top"/>
    </xf>
    <xf numFmtId="49" fontId="160" fillId="23" borderId="143" xfId="0" applyNumberFormat="1" applyFont="1" applyFill="1" applyBorder="1" applyAlignment="1">
      <alignment horizontal="left" vertical="top"/>
    </xf>
    <xf numFmtId="49" fontId="157" fillId="23" borderId="143" xfId="0" quotePrefix="1" applyNumberFormat="1" applyFont="1" applyFill="1" applyBorder="1" applyAlignment="1">
      <alignment horizontal="left" vertical="top"/>
    </xf>
    <xf numFmtId="0" fontId="0" fillId="36" borderId="0" xfId="0" applyFill="1"/>
    <xf numFmtId="1" fontId="112" fillId="36" borderId="0" xfId="0" applyNumberFormat="1" applyFont="1" applyFill="1" applyAlignment="1">
      <alignment horizontal="center"/>
    </xf>
    <xf numFmtId="49" fontId="106" fillId="0" borderId="1" xfId="10" applyNumberFormat="1" applyAlignment="1">
      <alignment horizontal="left" vertical="center"/>
    </xf>
    <xf numFmtId="43" fontId="106" fillId="0" borderId="1" xfId="1" applyFont="1" applyBorder="1" applyAlignment="1">
      <alignment horizontal="left" vertical="center"/>
    </xf>
    <xf numFmtId="0" fontId="105" fillId="36" borderId="1" xfId="11" applyFill="1"/>
    <xf numFmtId="165" fontId="105" fillId="36" borderId="1" xfId="12" applyFont="1" applyFill="1" applyAlignment="1">
      <alignment horizontal="right" vertical="center"/>
    </xf>
    <xf numFmtId="49" fontId="111" fillId="37" borderId="1" xfId="0" applyNumberFormat="1" applyFont="1" applyFill="1" applyBorder="1" applyAlignment="1">
      <alignment horizontal="left" vertical="center"/>
    </xf>
    <xf numFmtId="0" fontId="111" fillId="37" borderId="1" xfId="0" applyFont="1" applyFill="1" applyBorder="1" applyAlignment="1">
      <alignment horizontal="left" vertical="top"/>
    </xf>
    <xf numFmtId="0" fontId="111" fillId="37" borderId="1" xfId="0" applyFont="1" applyFill="1" applyBorder="1"/>
    <xf numFmtId="181" fontId="111" fillId="37" borderId="1" xfId="0" applyNumberFormat="1" applyFont="1" applyFill="1" applyBorder="1" applyAlignment="1">
      <alignment horizontal="right" vertical="center"/>
    </xf>
    <xf numFmtId="4" fontId="111" fillId="37" borderId="1" xfId="0" applyNumberFormat="1" applyFont="1" applyFill="1" applyBorder="1"/>
    <xf numFmtId="37" fontId="0" fillId="0" borderId="0" xfId="0" applyNumberFormat="1"/>
    <xf numFmtId="49" fontId="111" fillId="10" borderId="143" xfId="0" applyNumberFormat="1" applyFont="1" applyFill="1" applyBorder="1" applyAlignment="1">
      <alignment horizontal="left" vertical="top"/>
    </xf>
    <xf numFmtId="49" fontId="161" fillId="23" borderId="143" xfId="0" applyNumberFormat="1" applyFont="1" applyFill="1" applyBorder="1" applyAlignment="1">
      <alignment horizontal="left" vertical="top"/>
    </xf>
    <xf numFmtId="49" fontId="111" fillId="0" borderId="1" xfId="0" applyNumberFormat="1" applyFont="1" applyBorder="1" applyAlignment="1">
      <alignment horizontal="left" vertical="top"/>
    </xf>
    <xf numFmtId="0" fontId="158" fillId="23" borderId="0" xfId="0" applyFont="1" applyFill="1" applyAlignment="1">
      <alignment horizontal="left" vertical="top"/>
    </xf>
    <xf numFmtId="49" fontId="111" fillId="10" borderId="144" xfId="0" applyNumberFormat="1" applyFont="1" applyFill="1" applyBorder="1" applyAlignment="1">
      <alignment horizontal="left" vertical="top"/>
    </xf>
    <xf numFmtId="3" fontId="114" fillId="0" borderId="0" xfId="0" applyNumberFormat="1" applyFont="1"/>
    <xf numFmtId="49" fontId="158" fillId="23" borderId="145" xfId="0" applyNumberFormat="1" applyFont="1" applyFill="1" applyBorder="1" applyAlignment="1">
      <alignment horizontal="left" vertical="top"/>
    </xf>
    <xf numFmtId="0" fontId="82" fillId="36" borderId="1" xfId="690" applyFill="1"/>
    <xf numFmtId="165" fontId="82" fillId="36" borderId="1" xfId="691" applyFont="1" applyFill="1" applyAlignment="1">
      <alignment horizontal="right" vertical="center"/>
    </xf>
    <xf numFmtId="0" fontId="77" fillId="36" borderId="1" xfId="1397" applyFill="1"/>
    <xf numFmtId="165" fontId="77" fillId="36" borderId="1" xfId="1398" applyFont="1" applyFill="1" applyAlignment="1">
      <alignment horizontal="right" vertical="center"/>
    </xf>
    <xf numFmtId="0" fontId="75" fillId="33" borderId="1" xfId="2755" applyFill="1"/>
    <xf numFmtId="185" fontId="75" fillId="33" borderId="1" xfId="2755" applyNumberFormat="1" applyFill="1" applyAlignment="1">
      <alignment horizontal="right" vertical="center"/>
    </xf>
    <xf numFmtId="186" fontId="75" fillId="33" borderId="1" xfId="2755" applyNumberFormat="1" applyFill="1" applyAlignment="1">
      <alignment horizontal="right" vertical="center"/>
    </xf>
    <xf numFmtId="49" fontId="75" fillId="33" borderId="1" xfId="2755" applyNumberFormat="1" applyFill="1" applyAlignment="1">
      <alignment horizontal="left" vertical="center"/>
    </xf>
    <xf numFmtId="49" fontId="176" fillId="36" borderId="1" xfId="2807" applyNumberFormat="1" applyFont="1" applyFill="1" applyAlignment="1">
      <alignment horizontal="left" vertical="center"/>
    </xf>
    <xf numFmtId="165" fontId="176" fillId="36" borderId="1" xfId="2808" applyFont="1" applyFill="1" applyAlignment="1">
      <alignment horizontal="right" vertical="center"/>
    </xf>
    <xf numFmtId="49" fontId="73" fillId="36" borderId="1" xfId="2807" applyNumberFormat="1" applyFill="1" applyAlignment="1">
      <alignment horizontal="left" vertical="center"/>
    </xf>
    <xf numFmtId="0" fontId="73" fillId="36" borderId="1" xfId="2807" applyFill="1"/>
    <xf numFmtId="165" fontId="73" fillId="36" borderId="1" xfId="2808" applyFont="1" applyFill="1" applyAlignment="1">
      <alignment horizontal="right" vertical="center"/>
    </xf>
    <xf numFmtId="186" fontId="71" fillId="34" borderId="1" xfId="2811" applyNumberFormat="1" applyFill="1" applyAlignment="1">
      <alignment horizontal="right" vertical="center"/>
    </xf>
    <xf numFmtId="0" fontId="71" fillId="0" borderId="1" xfId="2811"/>
    <xf numFmtId="49" fontId="176" fillId="0" borderId="1" xfId="2811" applyNumberFormat="1" applyFont="1" applyAlignment="1">
      <alignment horizontal="left" vertical="center"/>
    </xf>
    <xf numFmtId="49" fontId="71" fillId="0" borderId="1" xfId="2811" applyNumberFormat="1" applyAlignment="1">
      <alignment horizontal="left" vertical="center"/>
    </xf>
    <xf numFmtId="185" fontId="176" fillId="0" borderId="1" xfId="2811" applyNumberFormat="1" applyFont="1" applyAlignment="1">
      <alignment horizontal="right" vertical="center"/>
    </xf>
    <xf numFmtId="185" fontId="71" fillId="0" borderId="1" xfId="2811" applyNumberFormat="1" applyAlignment="1">
      <alignment horizontal="right" vertical="center"/>
    </xf>
    <xf numFmtId="186" fontId="176" fillId="0" borderId="1" xfId="2811" applyNumberFormat="1" applyFont="1" applyAlignment="1">
      <alignment horizontal="right" vertical="center"/>
    </xf>
    <xf numFmtId="186" fontId="71" fillId="0" borderId="1" xfId="2811" applyNumberFormat="1" applyAlignment="1">
      <alignment horizontal="right" vertical="center"/>
    </xf>
    <xf numFmtId="49" fontId="135" fillId="0" borderId="1" xfId="4224" applyNumberFormat="1" applyFont="1" applyAlignment="1">
      <alignment horizontal="center" vertical="center"/>
    </xf>
    <xf numFmtId="186" fontId="71" fillId="34" borderId="1" xfId="5565" applyNumberFormat="1" applyFill="1" applyAlignment="1">
      <alignment horizontal="right" vertical="center"/>
    </xf>
    <xf numFmtId="0" fontId="71" fillId="0" borderId="1" xfId="5565"/>
    <xf numFmtId="49" fontId="176" fillId="0" borderId="1" xfId="5565" applyNumberFormat="1" applyFont="1" applyAlignment="1">
      <alignment horizontal="left" vertical="center"/>
    </xf>
    <xf numFmtId="49" fontId="71" fillId="0" borderId="1" xfId="5565" applyNumberFormat="1" applyAlignment="1">
      <alignment horizontal="left" vertical="center"/>
    </xf>
    <xf numFmtId="185" fontId="176" fillId="0" borderId="1" xfId="5565" applyNumberFormat="1" applyFont="1" applyAlignment="1">
      <alignment horizontal="right" vertical="center"/>
    </xf>
    <xf numFmtId="185" fontId="71" fillId="0" borderId="1" xfId="5565" applyNumberFormat="1" applyAlignment="1">
      <alignment horizontal="right" vertical="center"/>
    </xf>
    <xf numFmtId="186" fontId="176" fillId="0" borderId="1" xfId="5565" applyNumberFormat="1" applyFont="1" applyAlignment="1">
      <alignment horizontal="right" vertical="center"/>
    </xf>
    <xf numFmtId="186" fontId="71" fillId="0" borderId="1" xfId="5565" applyNumberFormat="1" applyAlignment="1">
      <alignment horizontal="right" vertical="center"/>
    </xf>
    <xf numFmtId="49" fontId="135" fillId="0" borderId="1" xfId="5551" applyNumberFormat="1" applyFont="1" applyAlignment="1">
      <alignment horizontal="center" vertical="center"/>
    </xf>
    <xf numFmtId="165" fontId="121" fillId="0" borderId="8" xfId="0" applyNumberFormat="1" applyFont="1" applyBorder="1"/>
    <xf numFmtId="165" fontId="120" fillId="0" borderId="0" xfId="0" applyNumberFormat="1" applyFont="1"/>
    <xf numFmtId="43" fontId="125" fillId="0" borderId="0" xfId="1" applyFont="1"/>
    <xf numFmtId="10" fontId="125" fillId="0" borderId="0" xfId="2" applyNumberFormat="1" applyFont="1"/>
    <xf numFmtId="3" fontId="121" fillId="0" borderId="1" xfId="0" applyNumberFormat="1" applyFont="1" applyBorder="1"/>
    <xf numFmtId="3" fontId="121" fillId="0" borderId="20" xfId="0" applyNumberFormat="1" applyFont="1" applyBorder="1"/>
    <xf numFmtId="3" fontId="121" fillId="0" borderId="23" xfId="0" applyNumberFormat="1" applyFont="1" applyBorder="1"/>
    <xf numFmtId="0" fontId="68" fillId="0" borderId="1" xfId="5626"/>
    <xf numFmtId="2" fontId="180" fillId="0" borderId="1" xfId="5626" applyNumberFormat="1" applyFont="1" applyAlignment="1">
      <alignment horizontal="center"/>
    </xf>
    <xf numFmtId="0" fontId="180" fillId="0" borderId="1" xfId="5626" applyFont="1"/>
    <xf numFmtId="2" fontId="68" fillId="0" borderId="1" xfId="5626" applyNumberFormat="1" applyAlignment="1">
      <alignment horizontal="center"/>
    </xf>
    <xf numFmtId="0" fontId="181" fillId="0" borderId="1" xfId="5626" applyFont="1"/>
    <xf numFmtId="2" fontId="178" fillId="38" borderId="198" xfId="5626" applyNumberFormat="1" applyFont="1" applyFill="1" applyBorder="1" applyAlignment="1">
      <alignment horizontal="center"/>
    </xf>
    <xf numFmtId="2" fontId="178" fillId="38" borderId="200" xfId="5626" applyNumberFormat="1" applyFont="1" applyFill="1" applyBorder="1" applyAlignment="1">
      <alignment horizontal="center"/>
    </xf>
    <xf numFmtId="0" fontId="68" fillId="0" borderId="160" xfId="5626" applyBorder="1"/>
    <xf numFmtId="0" fontId="68" fillId="0" borderId="201" xfId="5626" applyBorder="1"/>
    <xf numFmtId="0" fontId="178" fillId="0" borderId="202" xfId="5627" applyFont="1" applyBorder="1"/>
    <xf numFmtId="0" fontId="68" fillId="29" borderId="203" xfId="5626" applyFill="1" applyBorder="1"/>
    <xf numFmtId="37" fontId="178" fillId="0" borderId="198" xfId="5626" applyNumberFormat="1" applyFont="1" applyBorder="1" applyAlignment="1">
      <alignment horizontal="center"/>
    </xf>
    <xf numFmtId="37" fontId="178" fillId="0" borderId="200" xfId="5626" applyNumberFormat="1" applyFont="1" applyBorder="1" applyAlignment="1">
      <alignment horizontal="center"/>
    </xf>
    <xf numFmtId="175" fontId="178" fillId="0" borderId="200" xfId="5628" applyNumberFormat="1" applyFont="1" applyBorder="1" applyAlignment="1">
      <alignment horizontal="center"/>
    </xf>
    <xf numFmtId="0" fontId="179" fillId="0" borderId="1" xfId="5626" applyFont="1"/>
    <xf numFmtId="0" fontId="68" fillId="0" borderId="202" xfId="5626" applyBorder="1"/>
    <xf numFmtId="0" fontId="68" fillId="0" borderId="203" xfId="5626" applyBorder="1"/>
    <xf numFmtId="37" fontId="0" fillId="0" borderId="204" xfId="5629" applyNumberFormat="1" applyFont="1" applyBorder="1" applyAlignment="1">
      <alignment horizontal="center"/>
    </xf>
    <xf numFmtId="37" fontId="0" fillId="0" borderId="201" xfId="5629" applyNumberFormat="1" applyFont="1" applyBorder="1" applyAlignment="1">
      <alignment horizontal="center"/>
    </xf>
    <xf numFmtId="37" fontId="0" fillId="0" borderId="205" xfId="5629" applyNumberFormat="1" applyFont="1" applyBorder="1" applyAlignment="1">
      <alignment horizontal="center"/>
    </xf>
    <xf numFmtId="175" fontId="0" fillId="0" borderId="206" xfId="5628" applyNumberFormat="1" applyFont="1" applyBorder="1" applyAlignment="1">
      <alignment horizontal="center" vertical="center"/>
    </xf>
    <xf numFmtId="0" fontId="68" fillId="0" borderId="203" xfId="5626" applyBorder="1" applyAlignment="1">
      <alignment horizontal="left"/>
    </xf>
    <xf numFmtId="37" fontId="68" fillId="0" borderId="204" xfId="5626" applyNumberFormat="1" applyBorder="1" applyAlignment="1">
      <alignment horizontal="center"/>
    </xf>
    <xf numFmtId="37" fontId="68" fillId="0" borderId="201" xfId="5626" applyNumberFormat="1" applyBorder="1" applyAlignment="1">
      <alignment horizontal="center"/>
    </xf>
    <xf numFmtId="175" fontId="0" fillId="0" borderId="201" xfId="5628" applyNumberFormat="1" applyFont="1" applyBorder="1" applyAlignment="1">
      <alignment horizontal="center" vertical="center"/>
    </xf>
    <xf numFmtId="0" fontId="178" fillId="0" borderId="203" xfId="5626" applyFont="1" applyBorder="1"/>
    <xf numFmtId="37" fontId="178" fillId="0" borderId="204" xfId="5629" applyNumberFormat="1" applyFont="1" applyBorder="1" applyAlignment="1">
      <alignment horizontal="center"/>
    </xf>
    <xf numFmtId="37" fontId="178" fillId="0" borderId="201" xfId="5629" applyNumberFormat="1" applyFont="1" applyBorder="1" applyAlignment="1">
      <alignment horizontal="center"/>
    </xf>
    <xf numFmtId="175" fontId="0" fillId="0" borderId="204" xfId="5628" applyNumberFormat="1" applyFont="1" applyBorder="1" applyAlignment="1">
      <alignment horizontal="center"/>
    </xf>
    <xf numFmtId="175" fontId="0" fillId="0" borderId="201" xfId="5628" applyNumberFormat="1" applyFont="1" applyBorder="1" applyAlignment="1">
      <alignment horizontal="center"/>
    </xf>
    <xf numFmtId="0" fontId="68" fillId="0" borderId="202" xfId="5626" applyBorder="1" applyAlignment="1">
      <alignment horizontal="left"/>
    </xf>
    <xf numFmtId="37" fontId="0" fillId="0" borderId="206" xfId="5629" applyNumberFormat="1" applyFont="1" applyFill="1" applyBorder="1" applyAlignment="1">
      <alignment horizontal="center"/>
    </xf>
    <xf numFmtId="0" fontId="179" fillId="0" borderId="204" xfId="5626" applyFont="1" applyBorder="1"/>
    <xf numFmtId="175" fontId="0" fillId="0" borderId="207" xfId="5628" applyNumberFormat="1" applyFont="1" applyBorder="1" applyAlignment="1">
      <alignment horizontal="center"/>
    </xf>
    <xf numFmtId="175" fontId="0" fillId="0" borderId="208" xfId="5628" applyNumberFormat="1" applyFont="1" applyBorder="1" applyAlignment="1">
      <alignment horizontal="center" vertical="center"/>
    </xf>
    <xf numFmtId="37" fontId="0" fillId="0" borderId="206" xfId="5629" applyNumberFormat="1" applyFont="1" applyBorder="1" applyAlignment="1">
      <alignment horizontal="center"/>
    </xf>
    <xf numFmtId="0" fontId="68" fillId="0" borderId="209" xfId="5626" applyBorder="1" applyAlignment="1">
      <alignment horizontal="left"/>
    </xf>
    <xf numFmtId="0" fontId="68" fillId="0" borderId="204" xfId="5626" applyBorder="1"/>
    <xf numFmtId="175" fontId="0" fillId="0" borderId="208" xfId="5628" applyNumberFormat="1" applyFont="1" applyBorder="1" applyAlignment="1">
      <alignment horizontal="center"/>
    </xf>
    <xf numFmtId="2" fontId="68" fillId="0" borderId="208" xfId="5626" applyNumberFormat="1" applyBorder="1" applyAlignment="1">
      <alignment horizontal="center"/>
    </xf>
    <xf numFmtId="0" fontId="68" fillId="0" borderId="1" xfId="5626" applyAlignment="1">
      <alignment horizontal="left"/>
    </xf>
    <xf numFmtId="2" fontId="0" fillId="0" borderId="1" xfId="5629" applyNumberFormat="1" applyFont="1" applyBorder="1" applyAlignment="1">
      <alignment horizontal="center"/>
    </xf>
    <xf numFmtId="37" fontId="178" fillId="0" borderId="207" xfId="5629" applyNumberFormat="1" applyFont="1" applyBorder="1" applyAlignment="1">
      <alignment horizontal="center"/>
    </xf>
    <xf numFmtId="37" fontId="182" fillId="0" borderId="205" xfId="5629" applyNumberFormat="1" applyFont="1" applyBorder="1" applyAlignment="1">
      <alignment horizontal="center"/>
    </xf>
    <xf numFmtId="0" fontId="178" fillId="0" borderId="209" xfId="5626" applyFont="1" applyBorder="1"/>
    <xf numFmtId="37" fontId="178" fillId="0" borderId="208" xfId="5629" applyNumberFormat="1" applyFont="1" applyBorder="1" applyAlignment="1">
      <alignment horizontal="center"/>
    </xf>
    <xf numFmtId="0" fontId="177" fillId="0" borderId="1" xfId="5626" applyFont="1"/>
    <xf numFmtId="0" fontId="68" fillId="29" borderId="210" xfId="5626" applyFill="1" applyBorder="1"/>
    <xf numFmtId="0" fontId="178" fillId="0" borderId="1" xfId="5626" applyFont="1"/>
    <xf numFmtId="0" fontId="68" fillId="0" borderId="1" xfId="5626" applyAlignment="1">
      <alignment horizontal="center"/>
    </xf>
    <xf numFmtId="2" fontId="177" fillId="0" borderId="1" xfId="5626" applyNumberFormat="1" applyFont="1" applyAlignment="1">
      <alignment horizontal="center"/>
    </xf>
    <xf numFmtId="2" fontId="68" fillId="0" borderId="1" xfId="5626" applyNumberFormat="1"/>
    <xf numFmtId="1" fontId="111" fillId="36" borderId="209" xfId="5626" applyNumberFormat="1" applyFont="1" applyFill="1" applyBorder="1" applyAlignment="1">
      <alignment horizontal="left" vertical="top"/>
    </xf>
    <xf numFmtId="187" fontId="68" fillId="33" borderId="1" xfId="5626" applyNumberFormat="1" applyFill="1" applyAlignment="1">
      <alignment horizontal="center"/>
    </xf>
    <xf numFmtId="0" fontId="178" fillId="0" borderId="1" xfId="5626" applyFont="1" applyAlignment="1">
      <alignment horizontal="center" vertical="center"/>
    </xf>
    <xf numFmtId="0" fontId="178" fillId="0" borderId="202" xfId="5626" applyFont="1" applyBorder="1" applyAlignment="1">
      <alignment horizontal="center" vertical="center"/>
    </xf>
    <xf numFmtId="0" fontId="178" fillId="0" borderId="210" xfId="5626" applyFont="1" applyBorder="1" applyAlignment="1">
      <alignment horizontal="center" vertical="center"/>
    </xf>
    <xf numFmtId="0" fontId="178" fillId="0" borderId="210" xfId="5626" applyFont="1" applyBorder="1" applyAlignment="1">
      <alignment horizontal="center" wrapText="1"/>
    </xf>
    <xf numFmtId="0" fontId="68" fillId="0" borderId="1" xfId="5626" applyAlignment="1">
      <alignment horizontal="center" vertical="center"/>
    </xf>
    <xf numFmtId="0" fontId="178" fillId="0" borderId="202" xfId="5626" applyFont="1" applyBorder="1" applyAlignment="1">
      <alignment horizontal="center"/>
    </xf>
    <xf numFmtId="3" fontId="68" fillId="36" borderId="203" xfId="5626" applyNumberFormat="1" applyFill="1" applyBorder="1" applyAlignment="1">
      <alignment horizontal="center"/>
    </xf>
    <xf numFmtId="2" fontId="178" fillId="0" borderId="203" xfId="5626" applyNumberFormat="1" applyFont="1" applyBorder="1" applyAlignment="1">
      <alignment horizontal="center"/>
    </xf>
    <xf numFmtId="0" fontId="178" fillId="0" borderId="203" xfId="5626" applyFont="1" applyBorder="1" applyAlignment="1">
      <alignment horizontal="center"/>
    </xf>
    <xf numFmtId="0" fontId="178" fillId="0" borderId="209" xfId="5626" applyFont="1" applyBorder="1" applyAlignment="1">
      <alignment horizontal="center"/>
    </xf>
    <xf numFmtId="3" fontId="68" fillId="36" borderId="209" xfId="5626" applyNumberFormat="1" applyFill="1" applyBorder="1" applyAlignment="1">
      <alignment horizontal="center"/>
    </xf>
    <xf numFmtId="175" fontId="121" fillId="0" borderId="0" xfId="2" applyNumberFormat="1" applyFont="1"/>
    <xf numFmtId="175" fontId="121" fillId="0" borderId="8" xfId="2" applyNumberFormat="1" applyFont="1" applyBorder="1"/>
    <xf numFmtId="175" fontId="121" fillId="0" borderId="93" xfId="2" applyNumberFormat="1" applyFont="1" applyBorder="1"/>
    <xf numFmtId="175" fontId="114" fillId="3" borderId="35" xfId="2" applyNumberFormat="1" applyFont="1" applyFill="1" applyBorder="1"/>
    <xf numFmtId="175" fontId="122" fillId="0" borderId="71" xfId="2" applyNumberFormat="1" applyFont="1" applyBorder="1"/>
    <xf numFmtId="175" fontId="122" fillId="0" borderId="85" xfId="2" applyNumberFormat="1" applyFont="1" applyBorder="1"/>
    <xf numFmtId="175" fontId="122" fillId="0" borderId="14" xfId="2" applyNumberFormat="1" applyFont="1" applyBorder="1"/>
    <xf numFmtId="175" fontId="122" fillId="0" borderId="0" xfId="2" applyNumberFormat="1" applyFont="1"/>
    <xf numFmtId="187" fontId="68" fillId="0" borderId="1" xfId="5626" applyNumberFormat="1"/>
    <xf numFmtId="4" fontId="111" fillId="36" borderId="0" xfId="0" applyNumberFormat="1" applyFont="1" applyFill="1" applyAlignment="1">
      <alignment horizontal="center" vertical="top"/>
    </xf>
    <xf numFmtId="10" fontId="111" fillId="0" borderId="195" xfId="0" applyNumberFormat="1" applyFont="1" applyBorder="1" applyAlignment="1">
      <alignment horizontal="center"/>
    </xf>
    <xf numFmtId="49" fontId="184" fillId="23" borderId="143" xfId="11272" applyNumberFormat="1" applyFill="1" applyBorder="1" applyAlignment="1">
      <alignment horizontal="left" vertical="top"/>
    </xf>
    <xf numFmtId="185" fontId="57" fillId="36" borderId="1" xfId="11277" applyNumberFormat="1" applyFill="1" applyAlignment="1">
      <alignment horizontal="right" vertical="center"/>
    </xf>
    <xf numFmtId="0" fontId="56" fillId="0" borderId="0" xfId="0" applyFont="1"/>
    <xf numFmtId="9" fontId="121" fillId="0" borderId="0" xfId="2" applyFont="1" applyAlignment="1">
      <alignment horizontal="right"/>
    </xf>
    <xf numFmtId="9" fontId="121" fillId="0" borderId="0" xfId="2" applyFont="1"/>
    <xf numFmtId="9" fontId="121" fillId="0" borderId="8" xfId="2" applyFont="1" applyFill="1" applyBorder="1"/>
    <xf numFmtId="175" fontId="121" fillId="0" borderId="0" xfId="2" applyNumberFormat="1" applyFont="1" applyFill="1"/>
    <xf numFmtId="0" fontId="53" fillId="0" borderId="1" xfId="11280"/>
    <xf numFmtId="49" fontId="135" fillId="0" borderId="204" xfId="11280" applyNumberFormat="1" applyFont="1" applyBorder="1" applyAlignment="1">
      <alignment horizontal="center" vertical="center"/>
    </xf>
    <xf numFmtId="49" fontId="135" fillId="0" borderId="1" xfId="11280" applyNumberFormat="1" applyFont="1" applyAlignment="1">
      <alignment horizontal="center" vertical="center"/>
    </xf>
    <xf numFmtId="3" fontId="135" fillId="0" borderId="1" xfId="11280" applyNumberFormat="1" applyFont="1" applyAlignment="1">
      <alignment horizontal="center" vertical="center"/>
    </xf>
    <xf numFmtId="49" fontId="135" fillId="0" borderId="201" xfId="11280" applyNumberFormat="1" applyFont="1" applyBorder="1" applyAlignment="1">
      <alignment horizontal="center" vertical="center"/>
    </xf>
    <xf numFmtId="0" fontId="53" fillId="0" borderId="204" xfId="11280" applyBorder="1" applyAlignment="1">
      <alignment horizontal="center"/>
    </xf>
    <xf numFmtId="0" fontId="53" fillId="0" borderId="1" xfId="11280" applyAlignment="1">
      <alignment horizontal="center"/>
    </xf>
    <xf numFmtId="3" fontId="53" fillId="0" borderId="1" xfId="11280" applyNumberFormat="1" applyAlignment="1">
      <alignment horizontal="center"/>
    </xf>
    <xf numFmtId="0" fontId="53" fillId="0" borderId="201" xfId="11280" applyBorder="1" applyAlignment="1">
      <alignment horizontal="center"/>
    </xf>
    <xf numFmtId="0" fontId="157" fillId="39" borderId="143" xfId="0" applyFont="1" applyFill="1" applyBorder="1" applyAlignment="1">
      <alignment horizontal="left" vertical="top"/>
    </xf>
    <xf numFmtId="0" fontId="158" fillId="39" borderId="143" xfId="0" applyFont="1" applyFill="1" applyBorder="1" applyAlignment="1">
      <alignment horizontal="left" vertical="top"/>
    </xf>
    <xf numFmtId="49" fontId="157" fillId="39" borderId="143" xfId="0" applyNumberFormat="1" applyFont="1" applyFill="1" applyBorder="1" applyAlignment="1">
      <alignment horizontal="left" vertical="top"/>
    </xf>
    <xf numFmtId="9" fontId="123" fillId="0" borderId="0" xfId="2" applyFont="1"/>
    <xf numFmtId="0" fontId="52" fillId="0" borderId="1" xfId="11280" applyFont="1" applyAlignment="1">
      <alignment horizontal="center"/>
    </xf>
    <xf numFmtId="0" fontId="52" fillId="0" borderId="201" xfId="11280" applyFont="1" applyBorder="1" applyAlignment="1">
      <alignment horizontal="center"/>
    </xf>
    <xf numFmtId="0" fontId="48" fillId="0" borderId="0" xfId="0" applyFont="1"/>
    <xf numFmtId="43" fontId="68" fillId="0" borderId="1" xfId="1" applyFont="1" applyBorder="1"/>
    <xf numFmtId="43" fontId="68" fillId="0" borderId="1" xfId="1" applyFont="1" applyBorder="1" applyAlignment="1">
      <alignment horizontal="center"/>
    </xf>
    <xf numFmtId="165" fontId="68" fillId="0" borderId="1" xfId="5626" applyNumberFormat="1"/>
    <xf numFmtId="0" fontId="124" fillId="3" borderId="127" xfId="0" applyFont="1" applyFill="1" applyBorder="1"/>
    <xf numFmtId="0" fontId="124" fillId="3" borderId="128" xfId="0" applyFont="1" applyFill="1" applyBorder="1"/>
    <xf numFmtId="0" fontId="124" fillId="3" borderId="128" xfId="0" applyFont="1" applyFill="1" applyBorder="1" applyAlignment="1">
      <alignment horizontal="center"/>
    </xf>
    <xf numFmtId="175" fontId="124" fillId="3" borderId="128" xfId="0" applyNumberFormat="1" applyFont="1" applyFill="1" applyBorder="1"/>
    <xf numFmtId="37" fontId="124" fillId="3" borderId="128" xfId="0" applyNumberFormat="1" applyFont="1" applyFill="1" applyBorder="1"/>
    <xf numFmtId="175" fontId="124" fillId="3" borderId="129" xfId="0" applyNumberFormat="1" applyFont="1" applyFill="1" applyBorder="1"/>
    <xf numFmtId="9" fontId="124" fillId="3" borderId="108" xfId="2" applyFont="1" applyFill="1" applyBorder="1"/>
    <xf numFmtId="3" fontId="114" fillId="3" borderId="27" xfId="0" applyNumberFormat="1" applyFont="1" applyFill="1" applyBorder="1"/>
    <xf numFmtId="0" fontId="36" fillId="0" borderId="1" xfId="11280" applyFont="1" applyAlignment="1">
      <alignment horizontal="center"/>
    </xf>
    <xf numFmtId="0" fontId="36" fillId="0" borderId="201" xfId="11280" applyFont="1" applyBorder="1" applyAlignment="1">
      <alignment horizontal="center"/>
    </xf>
    <xf numFmtId="9" fontId="121" fillId="0" borderId="14" xfId="2" applyFont="1" applyBorder="1" applyAlignment="1">
      <alignment horizontal="right"/>
    </xf>
    <xf numFmtId="0" fontId="26" fillId="0" borderId="0" xfId="0" applyFont="1"/>
    <xf numFmtId="3" fontId="36" fillId="0" borderId="0" xfId="0" applyNumberFormat="1" applyFont="1"/>
    <xf numFmtId="0" fontId="21" fillId="0" borderId="1" xfId="11280" applyFont="1" applyAlignment="1">
      <alignment horizontal="center"/>
    </xf>
    <xf numFmtId="175" fontId="121" fillId="0" borderId="1" xfId="0" applyNumberFormat="1" applyFont="1" applyBorder="1"/>
    <xf numFmtId="0" fontId="16" fillId="0" borderId="1" xfId="11280" applyFont="1" applyAlignment="1">
      <alignment horizontal="center"/>
    </xf>
    <xf numFmtId="0" fontId="7" fillId="0" borderId="1" xfId="11280" applyFont="1" applyAlignment="1">
      <alignment horizontal="center"/>
    </xf>
    <xf numFmtId="0" fontId="7" fillId="0" borderId="201" xfId="11280" applyFont="1" applyBorder="1" applyAlignment="1">
      <alignment horizontal="center"/>
    </xf>
    <xf numFmtId="0" fontId="165" fillId="29" borderId="214" xfId="0" applyFont="1" applyFill="1" applyBorder="1"/>
    <xf numFmtId="0" fontId="164" fillId="29" borderId="214" xfId="0" applyFont="1" applyFill="1" applyBorder="1"/>
    <xf numFmtId="3" fontId="164" fillId="29" borderId="214" xfId="0" applyNumberFormat="1" applyFont="1" applyFill="1" applyBorder="1"/>
    <xf numFmtId="3" fontId="164" fillId="29" borderId="215" xfId="0" applyNumberFormat="1" applyFont="1" applyFill="1" applyBorder="1"/>
    <xf numFmtId="3" fontId="164" fillId="29" borderId="216" xfId="0" applyNumberFormat="1" applyFont="1" applyFill="1" applyBorder="1"/>
    <xf numFmtId="0" fontId="164" fillId="29" borderId="159" xfId="0" applyFont="1" applyFill="1" applyBorder="1"/>
    <xf numFmtId="3" fontId="165" fillId="29" borderId="214" xfId="0" applyNumberFormat="1" applyFont="1" applyFill="1" applyBorder="1"/>
    <xf numFmtId="3" fontId="165" fillId="29" borderId="215" xfId="0" applyNumberFormat="1" applyFont="1" applyFill="1" applyBorder="1"/>
    <xf numFmtId="3" fontId="165" fillId="29" borderId="216" xfId="0" applyNumberFormat="1" applyFont="1" applyFill="1" applyBorder="1"/>
    <xf numFmtId="0" fontId="164" fillId="29" borderId="156" xfId="0" applyFont="1" applyFill="1" applyBorder="1"/>
    <xf numFmtId="0" fontId="164" fillId="30" borderId="162" xfId="0" applyFont="1" applyFill="1" applyBorder="1"/>
    <xf numFmtId="0" fontId="164" fillId="29" borderId="154" xfId="0" applyFont="1" applyFill="1" applyBorder="1" applyAlignment="1">
      <alignment horizontal="left"/>
    </xf>
    <xf numFmtId="0" fontId="164" fillId="30" borderId="217" xfId="0" applyFont="1" applyFill="1" applyBorder="1"/>
    <xf numFmtId="0" fontId="164" fillId="30" borderId="217" xfId="0" applyFont="1" applyFill="1" applyBorder="1" applyAlignment="1">
      <alignment horizontal="center"/>
    </xf>
    <xf numFmtId="175" fontId="164" fillId="30" borderId="218" xfId="0" applyNumberFormat="1" applyFont="1" applyFill="1" applyBorder="1"/>
    <xf numFmtId="37" fontId="164" fillId="30" borderId="219" xfId="0" applyNumberFormat="1" applyFont="1" applyFill="1" applyBorder="1"/>
    <xf numFmtId="0" fontId="169" fillId="29" borderId="154" xfId="0" applyFont="1" applyFill="1" applyBorder="1"/>
    <xf numFmtId="0" fontId="169" fillId="29" borderId="156" xfId="0" applyFont="1" applyFill="1" applyBorder="1"/>
    <xf numFmtId="0" fontId="165" fillId="29" borderId="215" xfId="0" applyFont="1" applyFill="1" applyBorder="1"/>
    <xf numFmtId="37" fontId="165" fillId="29" borderId="216" xfId="0" applyNumberFormat="1" applyFont="1" applyFill="1" applyBorder="1"/>
    <xf numFmtId="37" fontId="165" fillId="29" borderId="216" xfId="0" applyNumberFormat="1" applyFont="1" applyFill="1" applyBorder="1" applyProtection="1">
      <protection locked="0"/>
    </xf>
    <xf numFmtId="0" fontId="169" fillId="31" borderId="154" xfId="0" applyFont="1" applyFill="1" applyBorder="1"/>
    <xf numFmtId="0" fontId="164" fillId="30" borderId="220" xfId="0" applyFont="1" applyFill="1" applyBorder="1"/>
    <xf numFmtId="37" fontId="164" fillId="30" borderId="221" xfId="0" applyNumberFormat="1" applyFont="1" applyFill="1" applyBorder="1"/>
    <xf numFmtId="0" fontId="164" fillId="30" borderId="211" xfId="0" applyFont="1" applyFill="1" applyBorder="1"/>
    <xf numFmtId="175" fontId="164" fillId="30" borderId="222" xfId="0" applyNumberFormat="1" applyFont="1" applyFill="1" applyBorder="1"/>
    <xf numFmtId="0" fontId="164" fillId="30" borderId="223" xfId="0" applyFont="1" applyFill="1" applyBorder="1"/>
    <xf numFmtId="0" fontId="165" fillId="30" borderId="223" xfId="0" applyFont="1" applyFill="1" applyBorder="1"/>
    <xf numFmtId="10" fontId="165" fillId="30" borderId="224" xfId="2" applyNumberFormat="1" applyFont="1" applyFill="1" applyBorder="1"/>
    <xf numFmtId="37" fontId="164" fillId="30" borderId="225" xfId="0" applyNumberFormat="1" applyFont="1" applyFill="1" applyBorder="1"/>
    <xf numFmtId="0" fontId="165" fillId="30" borderId="224" xfId="0" applyFont="1" applyFill="1" applyBorder="1"/>
    <xf numFmtId="0" fontId="185" fillId="29" borderId="0" xfId="0" applyFont="1" applyFill="1"/>
    <xf numFmtId="173" fontId="167" fillId="29" borderId="0" xfId="0" applyNumberFormat="1" applyFont="1" applyFill="1" applyAlignment="1">
      <alignment horizontal="left"/>
    </xf>
    <xf numFmtId="175" fontId="165" fillId="29" borderId="154" xfId="2" applyNumberFormat="1" applyFont="1" applyFill="1" applyBorder="1"/>
    <xf numFmtId="0" fontId="164" fillId="30" borderId="220" xfId="0" applyFont="1" applyFill="1" applyBorder="1" applyAlignment="1">
      <alignment horizontal="center"/>
    </xf>
    <xf numFmtId="175" fontId="164" fillId="30" borderId="226" xfId="0" applyNumberFormat="1" applyFont="1" applyFill="1" applyBorder="1"/>
    <xf numFmtId="10" fontId="164" fillId="30" borderId="224" xfId="2" applyNumberFormat="1" applyFont="1" applyFill="1" applyBorder="1"/>
    <xf numFmtId="0" fontId="164" fillId="30" borderId="224" xfId="0" applyFont="1" applyFill="1" applyBorder="1"/>
    <xf numFmtId="37" fontId="165" fillId="29" borderId="214" xfId="0" applyNumberFormat="1" applyFont="1" applyFill="1" applyBorder="1"/>
    <xf numFmtId="37" fontId="165" fillId="29" borderId="215" xfId="0" applyNumberFormat="1" applyFont="1" applyFill="1" applyBorder="1"/>
    <xf numFmtId="37" fontId="165" fillId="29" borderId="214" xfId="0" applyNumberFormat="1" applyFont="1" applyFill="1" applyBorder="1" applyProtection="1">
      <protection locked="0"/>
    </xf>
    <xf numFmtId="37" fontId="165" fillId="29" borderId="215" xfId="0" applyNumberFormat="1" applyFont="1" applyFill="1" applyBorder="1" applyProtection="1">
      <protection locked="0"/>
    </xf>
    <xf numFmtId="0" fontId="164" fillId="31" borderId="162" xfId="0" applyFont="1" applyFill="1" applyBorder="1"/>
    <xf numFmtId="0" fontId="164" fillId="31" borderId="156" xfId="0" applyFont="1" applyFill="1" applyBorder="1"/>
    <xf numFmtId="0" fontId="164" fillId="31" borderId="214" xfId="0" applyFont="1" applyFill="1" applyBorder="1"/>
    <xf numFmtId="37" fontId="165" fillId="29" borderId="227" xfId="0" applyNumberFormat="1" applyFont="1" applyFill="1" applyBorder="1"/>
    <xf numFmtId="0" fontId="165" fillId="31" borderId="154" xfId="0" applyFont="1" applyFill="1" applyBorder="1"/>
    <xf numFmtId="172" fontId="165" fillId="29" borderId="0" xfId="1" applyNumberFormat="1" applyFont="1" applyFill="1"/>
    <xf numFmtId="172" fontId="165" fillId="29" borderId="0" xfId="1" applyNumberFormat="1" applyFont="1" applyFill="1" applyProtection="1">
      <protection locked="0"/>
    </xf>
    <xf numFmtId="0" fontId="165" fillId="31" borderId="228" xfId="0" applyFont="1" applyFill="1" applyBorder="1"/>
    <xf numFmtId="172" fontId="165" fillId="29" borderId="215" xfId="1" applyNumberFormat="1" applyFont="1" applyFill="1" applyBorder="1"/>
    <xf numFmtId="37" fontId="164" fillId="31" borderId="214" xfId="0" applyNumberFormat="1" applyFont="1" applyFill="1" applyBorder="1"/>
    <xf numFmtId="174" fontId="164" fillId="31" borderId="215" xfId="0" applyNumberFormat="1" applyFont="1" applyFill="1" applyBorder="1"/>
    <xf numFmtId="37" fontId="164" fillId="31" borderId="216" xfId="0" applyNumberFormat="1" applyFont="1" applyFill="1" applyBorder="1"/>
    <xf numFmtId="175" fontId="164" fillId="30" borderId="224" xfId="2" applyNumberFormat="1" applyFont="1" applyFill="1" applyBorder="1"/>
    <xf numFmtId="0" fontId="169" fillId="29" borderId="214" xfId="0" applyFont="1" applyFill="1" applyBorder="1"/>
    <xf numFmtId="0" fontId="164" fillId="30" borderId="229" xfId="0" applyFont="1" applyFill="1" applyBorder="1"/>
    <xf numFmtId="37" fontId="164" fillId="29" borderId="214" xfId="0" applyNumberFormat="1" applyFont="1" applyFill="1" applyBorder="1"/>
    <xf numFmtId="175" fontId="164" fillId="29" borderId="215" xfId="0" applyNumberFormat="1" applyFont="1" applyFill="1" applyBorder="1"/>
    <xf numFmtId="37" fontId="164" fillId="29" borderId="216" xfId="0" applyNumberFormat="1" applyFont="1" applyFill="1" applyBorder="1"/>
    <xf numFmtId="0" fontId="164" fillId="30" borderId="230" xfId="0" applyFont="1" applyFill="1" applyBorder="1"/>
    <xf numFmtId="37" fontId="164" fillId="30" borderId="230" xfId="0" applyNumberFormat="1" applyFont="1" applyFill="1" applyBorder="1"/>
    <xf numFmtId="174" fontId="164" fillId="30" borderId="231" xfId="0" applyNumberFormat="1" applyFont="1" applyFill="1" applyBorder="1"/>
    <xf numFmtId="37" fontId="164" fillId="30" borderId="232" xfId="0" applyNumberFormat="1" applyFont="1" applyFill="1" applyBorder="1"/>
    <xf numFmtId="43" fontId="164" fillId="30" borderId="224" xfId="1" applyFont="1" applyFill="1" applyBorder="1"/>
    <xf numFmtId="0" fontId="169" fillId="29" borderId="228" xfId="0" applyFont="1" applyFill="1" applyBorder="1"/>
    <xf numFmtId="0" fontId="164" fillId="30" borderId="170" xfId="0" applyFont="1" applyFill="1" applyBorder="1"/>
    <xf numFmtId="0" fontId="170" fillId="29" borderId="0" xfId="0" applyFont="1" applyFill="1" applyAlignment="1">
      <alignment horizontal="center" vertical="center"/>
    </xf>
    <xf numFmtId="0" fontId="164" fillId="29" borderId="233" xfId="0" applyFont="1" applyFill="1" applyBorder="1" applyAlignment="1">
      <alignment horizontal="center"/>
    </xf>
    <xf numFmtId="0" fontId="165" fillId="29" borderId="173" xfId="0" applyFont="1" applyFill="1" applyBorder="1"/>
    <xf numFmtId="0" fontId="170" fillId="30" borderId="173" xfId="0" applyFont="1" applyFill="1" applyBorder="1"/>
    <xf numFmtId="0" fontId="170" fillId="29" borderId="175" xfId="0" applyFont="1" applyFill="1" applyBorder="1"/>
    <xf numFmtId="0" fontId="170" fillId="30" borderId="234" xfId="0" applyFont="1" applyFill="1" applyBorder="1"/>
    <xf numFmtId="175" fontId="170" fillId="30" borderId="234" xfId="0" applyNumberFormat="1" applyFont="1" applyFill="1" applyBorder="1"/>
    <xf numFmtId="172" fontId="170" fillId="30" borderId="218" xfId="1" applyNumberFormat="1" applyFont="1" applyFill="1" applyBorder="1"/>
    <xf numFmtId="37" fontId="170" fillId="30" borderId="235" xfId="0" applyNumberFormat="1" applyFont="1" applyFill="1" applyBorder="1"/>
    <xf numFmtId="0" fontId="170" fillId="30" borderId="218" xfId="0" applyFont="1" applyFill="1" applyBorder="1"/>
    <xf numFmtId="0" fontId="169" fillId="31" borderId="175" xfId="0" applyFont="1" applyFill="1" applyBorder="1"/>
    <xf numFmtId="174" fontId="170" fillId="30" borderId="218" xfId="0" applyNumberFormat="1" applyFont="1" applyFill="1" applyBorder="1"/>
    <xf numFmtId="0" fontId="169" fillId="29" borderId="236" xfId="0" applyFont="1" applyFill="1" applyBorder="1"/>
    <xf numFmtId="174" fontId="169" fillId="29" borderId="215" xfId="0" applyNumberFormat="1" applyFont="1" applyFill="1" applyBorder="1"/>
    <xf numFmtId="37" fontId="169" fillId="29" borderId="237" xfId="0" applyNumberFormat="1" applyFont="1" applyFill="1" applyBorder="1"/>
    <xf numFmtId="0" fontId="169" fillId="29" borderId="176" xfId="0" applyFont="1" applyFill="1" applyBorder="1"/>
    <xf numFmtId="175" fontId="170" fillId="29" borderId="236" xfId="0" applyNumberFormat="1" applyFont="1" applyFill="1" applyBorder="1"/>
    <xf numFmtId="0" fontId="170" fillId="29" borderId="215" xfId="0" applyFont="1" applyFill="1" applyBorder="1"/>
    <xf numFmtId="37" fontId="169" fillId="31" borderId="237" xfId="0" applyNumberFormat="1" applyFont="1" applyFill="1" applyBorder="1"/>
    <xf numFmtId="0" fontId="169" fillId="30" borderId="218" xfId="0" applyFont="1" applyFill="1" applyBorder="1"/>
    <xf numFmtId="0" fontId="170" fillId="31" borderId="236" xfId="0" applyFont="1" applyFill="1" applyBorder="1"/>
    <xf numFmtId="0" fontId="169" fillId="31" borderId="215" xfId="0" applyFont="1" applyFill="1" applyBorder="1"/>
    <xf numFmtId="0" fontId="170" fillId="30" borderId="179" xfId="0" applyFont="1" applyFill="1" applyBorder="1"/>
    <xf numFmtId="0" fontId="170" fillId="30" borderId="238" xfId="0" applyFont="1" applyFill="1" applyBorder="1"/>
    <xf numFmtId="0" fontId="173" fillId="29" borderId="239" xfId="0" applyFont="1" applyFill="1" applyBorder="1"/>
    <xf numFmtId="0" fontId="169" fillId="29" borderId="239" xfId="0" applyFont="1" applyFill="1" applyBorder="1"/>
    <xf numFmtId="0" fontId="165" fillId="29" borderId="239" xfId="0" applyFont="1" applyFill="1" applyBorder="1"/>
    <xf numFmtId="0" fontId="165" fillId="29" borderId="240" xfId="0" applyFont="1" applyFill="1" applyBorder="1"/>
    <xf numFmtId="0" fontId="170" fillId="30" borderId="241" xfId="0" applyFont="1" applyFill="1" applyBorder="1"/>
    <xf numFmtId="37" fontId="164" fillId="29" borderId="164" xfId="0" applyNumberFormat="1" applyFont="1" applyFill="1" applyBorder="1"/>
    <xf numFmtId="0" fontId="164" fillId="29" borderId="167" xfId="0" applyFont="1" applyFill="1" applyBorder="1"/>
    <xf numFmtId="37" fontId="165" fillId="40" borderId="155" xfId="0" applyNumberFormat="1" applyFont="1" applyFill="1" applyBorder="1" applyProtection="1">
      <protection locked="0"/>
    </xf>
    <xf numFmtId="37" fontId="165" fillId="40" borderId="158" xfId="0" applyNumberFormat="1" applyFont="1" applyFill="1" applyBorder="1" applyProtection="1">
      <protection locked="0"/>
    </xf>
    <xf numFmtId="37" fontId="164" fillId="29" borderId="219" xfId="0" applyNumberFormat="1" applyFont="1" applyFill="1" applyBorder="1"/>
    <xf numFmtId="37" fontId="165" fillId="40" borderId="216" xfId="0" applyNumberFormat="1" applyFont="1" applyFill="1" applyBorder="1" applyProtection="1">
      <protection locked="0"/>
    </xf>
    <xf numFmtId="37" fontId="165" fillId="40" borderId="161" xfId="0" applyNumberFormat="1" applyFont="1" applyFill="1" applyBorder="1" applyProtection="1">
      <protection locked="0"/>
    </xf>
    <xf numFmtId="37" fontId="164" fillId="29" borderId="221" xfId="0" applyNumberFormat="1" applyFont="1" applyFill="1" applyBorder="1"/>
    <xf numFmtId="37" fontId="164" fillId="29" borderId="169" xfId="0" applyNumberFormat="1" applyFont="1" applyFill="1" applyBorder="1"/>
    <xf numFmtId="37" fontId="164" fillId="29" borderId="155" xfId="0" applyNumberFormat="1" applyFont="1" applyFill="1" applyBorder="1"/>
    <xf numFmtId="37" fontId="164" fillId="29" borderId="225" xfId="0" applyNumberFormat="1" applyFont="1" applyFill="1" applyBorder="1"/>
    <xf numFmtId="3" fontId="164" fillId="29" borderId="154" xfId="0" applyNumberFormat="1" applyFont="1" applyFill="1" applyBorder="1"/>
    <xf numFmtId="3" fontId="164" fillId="29" borderId="0" xfId="0" applyNumberFormat="1" applyFont="1" applyFill="1"/>
    <xf numFmtId="3" fontId="164" fillId="29" borderId="155" xfId="0" applyNumberFormat="1" applyFont="1" applyFill="1" applyBorder="1"/>
    <xf numFmtId="9" fontId="165" fillId="29" borderId="154" xfId="0" applyNumberFormat="1" applyFont="1" applyFill="1" applyBorder="1"/>
    <xf numFmtId="9" fontId="165" fillId="29" borderId="159" xfId="0" applyNumberFormat="1" applyFont="1" applyFill="1" applyBorder="1"/>
    <xf numFmtId="0" fontId="165" fillId="29" borderId="168" xfId="0" applyFont="1" applyFill="1" applyBorder="1" applyAlignment="1">
      <alignment horizontal="right"/>
    </xf>
    <xf numFmtId="37" fontId="165" fillId="36" borderId="0" xfId="0" applyNumberFormat="1" applyFont="1" applyFill="1" applyProtection="1">
      <protection locked="0"/>
    </xf>
    <xf numFmtId="37" fontId="165" fillId="36" borderId="155" xfId="0" applyNumberFormat="1" applyFont="1" applyFill="1" applyBorder="1" applyProtection="1">
      <protection locked="0"/>
    </xf>
    <xf numFmtId="174" fontId="165" fillId="29" borderId="215" xfId="0" applyNumberFormat="1" applyFont="1" applyFill="1" applyBorder="1" applyProtection="1">
      <protection locked="0"/>
    </xf>
    <xf numFmtId="37" fontId="165" fillId="0" borderId="214" xfId="0" applyNumberFormat="1" applyFont="1" applyBorder="1" applyProtection="1">
      <protection locked="0"/>
    </xf>
    <xf numFmtId="175" fontId="164" fillId="29" borderId="167" xfId="0" applyNumberFormat="1" applyFont="1" applyFill="1" applyBorder="1"/>
    <xf numFmtId="37" fontId="164" fillId="29" borderId="232" xfId="0" applyNumberFormat="1" applyFont="1" applyFill="1" applyBorder="1"/>
    <xf numFmtId="0" fontId="188" fillId="29" borderId="0" xfId="0" applyFont="1" applyFill="1"/>
    <xf numFmtId="37" fontId="165" fillId="36" borderId="216" xfId="0" applyNumberFormat="1" applyFont="1" applyFill="1" applyBorder="1" applyProtection="1">
      <protection locked="0"/>
    </xf>
    <xf numFmtId="37" fontId="165" fillId="40" borderId="158" xfId="0" applyNumberFormat="1" applyFont="1" applyFill="1" applyBorder="1"/>
    <xf numFmtId="37" fontId="164" fillId="29" borderId="172" xfId="0" applyNumberFormat="1" applyFont="1" applyFill="1" applyBorder="1"/>
    <xf numFmtId="37" fontId="170" fillId="29" borderId="174" xfId="0" applyNumberFormat="1" applyFont="1" applyFill="1" applyBorder="1"/>
    <xf numFmtId="37" fontId="170" fillId="29" borderId="235" xfId="0" applyNumberFormat="1" applyFont="1" applyFill="1" applyBorder="1"/>
    <xf numFmtId="37" fontId="169" fillId="40" borderId="176" xfId="0" applyNumberFormat="1" applyFont="1" applyFill="1" applyBorder="1" applyProtection="1">
      <protection locked="0"/>
    </xf>
    <xf numFmtId="37" fontId="169" fillId="36" borderId="176" xfId="0" applyNumberFormat="1" applyFont="1" applyFill="1" applyBorder="1"/>
    <xf numFmtId="37" fontId="169" fillId="36" borderId="176" xfId="0" applyNumberFormat="1" applyFont="1" applyFill="1" applyBorder="1" applyProtection="1">
      <protection locked="0"/>
    </xf>
    <xf numFmtId="37" fontId="169" fillId="36" borderId="174" xfId="0" applyNumberFormat="1" applyFont="1" applyFill="1" applyBorder="1" applyProtection="1">
      <protection locked="0"/>
    </xf>
    <xf numFmtId="37" fontId="169" fillId="41" borderId="237" xfId="0" applyNumberFormat="1" applyFont="1" applyFill="1" applyBorder="1"/>
    <xf numFmtId="0" fontId="172" fillId="31" borderId="236" xfId="0" applyFont="1" applyFill="1" applyBorder="1"/>
    <xf numFmtId="0" fontId="171" fillId="31" borderId="215" xfId="0" applyFont="1" applyFill="1" applyBorder="1"/>
    <xf numFmtId="37" fontId="171" fillId="31" borderId="237" xfId="0" applyNumberFormat="1" applyFont="1" applyFill="1" applyBorder="1"/>
    <xf numFmtId="37" fontId="171" fillId="29" borderId="237" xfId="0" applyNumberFormat="1" applyFont="1" applyFill="1" applyBorder="1"/>
    <xf numFmtId="37" fontId="170" fillId="29" borderId="183" xfId="0" applyNumberFormat="1" applyFont="1" applyFill="1" applyBorder="1"/>
    <xf numFmtId="37" fontId="170" fillId="29" borderId="186" xfId="0" applyNumberFormat="1" applyFont="1" applyFill="1" applyBorder="1"/>
    <xf numFmtId="37" fontId="170" fillId="29" borderId="189" xfId="0" applyNumberFormat="1" applyFont="1" applyFill="1" applyBorder="1"/>
    <xf numFmtId="185" fontId="6" fillId="36" borderId="1" xfId="11325" applyNumberFormat="1" applyFill="1" applyAlignment="1">
      <alignment horizontal="right" vertical="center"/>
    </xf>
    <xf numFmtId="0" fontId="6" fillId="0" borderId="0" xfId="0" applyFont="1"/>
    <xf numFmtId="185" fontId="4" fillId="36" borderId="1" xfId="11327" applyNumberFormat="1" applyFill="1" applyAlignment="1">
      <alignment horizontal="right" vertical="center"/>
    </xf>
    <xf numFmtId="0" fontId="4" fillId="36" borderId="1" xfId="11327" applyFill="1"/>
    <xf numFmtId="3" fontId="114" fillId="36" borderId="14" xfId="0" applyNumberFormat="1" applyFont="1" applyFill="1" applyBorder="1"/>
    <xf numFmtId="3" fontId="114" fillId="36" borderId="92" xfId="0" applyNumberFormat="1" applyFont="1" applyFill="1" applyBorder="1"/>
    <xf numFmtId="37" fontId="121" fillId="36" borderId="0" xfId="0" applyNumberFormat="1" applyFont="1" applyFill="1"/>
    <xf numFmtId="172" fontId="122" fillId="0" borderId="73" xfId="0" applyNumberFormat="1" applyFont="1" applyBorder="1"/>
    <xf numFmtId="0" fontId="164" fillId="29" borderId="151" xfId="0" applyFont="1" applyFill="1" applyBorder="1" applyAlignment="1">
      <alignment horizontal="center"/>
    </xf>
    <xf numFmtId="0" fontId="164" fillId="29" borderId="152" xfId="0" applyFont="1" applyFill="1" applyBorder="1" applyAlignment="1">
      <alignment horizontal="center"/>
    </xf>
    <xf numFmtId="0" fontId="164" fillId="29" borderId="153" xfId="0" applyFont="1" applyFill="1" applyBorder="1" applyAlignment="1">
      <alignment horizontal="center"/>
    </xf>
    <xf numFmtId="0" fontId="110" fillId="8" borderId="44" xfId="0" applyFont="1" applyFill="1" applyBorder="1" applyAlignment="1">
      <alignment horizontal="center" vertical="center" wrapText="1"/>
    </xf>
    <xf numFmtId="0" fontId="118" fillId="0" borderId="49" xfId="0" applyFont="1" applyBorder="1"/>
    <xf numFmtId="0" fontId="134" fillId="9" borderId="50" xfId="0" applyFont="1" applyFill="1" applyBorder="1" applyAlignment="1">
      <alignment horizontal="center" vertical="center" wrapText="1"/>
    </xf>
    <xf numFmtId="0" fontId="118" fillId="0" borderId="51" xfId="0" applyFont="1" applyBorder="1"/>
    <xf numFmtId="0" fontId="112" fillId="13" borderId="89" xfId="0" applyFont="1" applyFill="1" applyBorder="1" applyAlignment="1">
      <alignment horizontal="left" vertical="top" wrapText="1"/>
    </xf>
    <xf numFmtId="0" fontId="118" fillId="0" borderId="69" xfId="0" applyFont="1" applyBorder="1"/>
    <xf numFmtId="0" fontId="118" fillId="0" borderId="83" xfId="0" applyFont="1" applyBorder="1"/>
    <xf numFmtId="0" fontId="134" fillId="0" borderId="14" xfId="0" applyFont="1" applyBorder="1" applyAlignment="1">
      <alignment horizontal="center"/>
    </xf>
    <xf numFmtId="0" fontId="118" fillId="0" borderId="14" xfId="0" applyFont="1" applyBorder="1"/>
    <xf numFmtId="0" fontId="114" fillId="0" borderId="17" xfId="0" applyFont="1" applyBorder="1" applyAlignment="1">
      <alignment horizontal="center"/>
    </xf>
    <xf numFmtId="0" fontId="118" fillId="0" borderId="17" xfId="0" applyFont="1" applyBorder="1"/>
    <xf numFmtId="0" fontId="118" fillId="0" borderId="4" xfId="0" applyFont="1" applyBorder="1"/>
    <xf numFmtId="0" fontId="114" fillId="0" borderId="16" xfId="0" applyFont="1" applyBorder="1" applyAlignment="1">
      <alignment horizontal="center"/>
    </xf>
    <xf numFmtId="0" fontId="118" fillId="0" borderId="18" xfId="0" applyFont="1" applyBorder="1"/>
    <xf numFmtId="0" fontId="114" fillId="0" borderId="3" xfId="0" applyFont="1" applyBorder="1" applyAlignment="1">
      <alignment horizontal="center"/>
    </xf>
    <xf numFmtId="0" fontId="114" fillId="0" borderId="104" xfId="0" applyFont="1" applyBorder="1" applyAlignment="1">
      <alignment horizontal="center" vertical="center"/>
    </xf>
    <xf numFmtId="0" fontId="118" fillId="0" borderId="102" xfId="0" applyFont="1" applyBorder="1"/>
    <xf numFmtId="0" fontId="118" fillId="0" borderId="105" xfId="0" applyFont="1" applyBorder="1"/>
    <xf numFmtId="0" fontId="114" fillId="0" borderId="102" xfId="0" applyFont="1" applyBorder="1" applyAlignment="1">
      <alignment horizontal="center" vertical="center"/>
    </xf>
    <xf numFmtId="0" fontId="118" fillId="0" borderId="103" xfId="0" applyFont="1" applyBorder="1"/>
    <xf numFmtId="0" fontId="180" fillId="0" borderId="211" xfId="11280" applyFont="1" applyBorder="1" applyAlignment="1">
      <alignment horizontal="center" wrapText="1"/>
    </xf>
    <xf numFmtId="0" fontId="180" fillId="0" borderId="212" xfId="11280" applyFont="1" applyBorder="1" applyAlignment="1">
      <alignment horizontal="center" wrapText="1"/>
    </xf>
    <xf numFmtId="0" fontId="180" fillId="0" borderId="213" xfId="11280" applyFont="1" applyBorder="1" applyAlignment="1">
      <alignment horizontal="center" wrapText="1"/>
    </xf>
    <xf numFmtId="0" fontId="178" fillId="0" borderId="198" xfId="5626" applyFont="1" applyBorder="1" applyAlignment="1">
      <alignment horizontal="center"/>
    </xf>
    <xf numFmtId="0" fontId="178" fillId="0" borderId="200" xfId="5626" applyFont="1" applyBorder="1" applyAlignment="1">
      <alignment horizontal="center"/>
    </xf>
    <xf numFmtId="0" fontId="180" fillId="0" borderId="1" xfId="5626" applyFont="1" applyAlignment="1">
      <alignment horizontal="left" vertical="center"/>
    </xf>
    <xf numFmtId="2" fontId="178" fillId="38" borderId="198" xfId="5626" applyNumberFormat="1" applyFont="1" applyFill="1" applyBorder="1" applyAlignment="1">
      <alignment horizontal="center"/>
    </xf>
    <xf numFmtId="2" fontId="178" fillId="38" borderId="199" xfId="5626" applyNumberFormat="1" applyFont="1" applyFill="1" applyBorder="1" applyAlignment="1">
      <alignment horizontal="center"/>
    </xf>
    <xf numFmtId="2" fontId="178" fillId="38" borderId="200" xfId="5626" applyNumberFormat="1" applyFont="1" applyFill="1" applyBorder="1" applyAlignment="1">
      <alignment horizontal="center"/>
    </xf>
    <xf numFmtId="2" fontId="178" fillId="38" borderId="198" xfId="5626" applyNumberFormat="1" applyFont="1" applyFill="1" applyBorder="1" applyAlignment="1">
      <alignment horizontal="center" wrapText="1"/>
    </xf>
    <xf numFmtId="2" fontId="178" fillId="38" borderId="199" xfId="5626" applyNumberFormat="1" applyFont="1" applyFill="1" applyBorder="1" applyAlignment="1">
      <alignment horizontal="center" wrapText="1"/>
    </xf>
    <xf numFmtId="2" fontId="178" fillId="38" borderId="200" xfId="5626" applyNumberFormat="1" applyFont="1" applyFill="1" applyBorder="1" applyAlignment="1">
      <alignment horizontal="center" wrapText="1"/>
    </xf>
    <xf numFmtId="0" fontId="178" fillId="0" borderId="1" xfId="5626" applyFont="1" applyAlignment="1">
      <alignment horizontal="center"/>
    </xf>
    <xf numFmtId="0" fontId="110" fillId="0" borderId="127" xfId="0" applyFont="1" applyBorder="1" applyAlignment="1">
      <alignment horizontal="center"/>
    </xf>
    <xf numFmtId="0" fontId="118" fillId="0" borderId="128" xfId="0" applyFont="1" applyBorder="1"/>
    <xf numFmtId="0" fontId="118" fillId="0" borderId="129" xfId="0" applyFont="1" applyBorder="1"/>
    <xf numFmtId="0" fontId="111" fillId="0" borderId="130" xfId="0" applyFont="1" applyBorder="1" applyAlignment="1">
      <alignment horizontal="center"/>
    </xf>
    <xf numFmtId="0" fontId="118" fillId="0" borderId="63" xfId="0" applyFont="1" applyBorder="1"/>
    <xf numFmtId="0" fontId="118" fillId="0" borderId="131" xfId="0" applyFont="1" applyBorder="1"/>
    <xf numFmtId="3" fontId="121" fillId="0" borderId="7" xfId="0" applyNumberFormat="1" applyFont="1" applyFill="1" applyBorder="1"/>
    <xf numFmtId="49" fontId="176" fillId="36" borderId="1" xfId="11330" applyNumberFormat="1" applyFont="1" applyFill="1" applyAlignment="1">
      <alignment horizontal="left" vertical="center"/>
    </xf>
    <xf numFmtId="185" fontId="176" fillId="36" borderId="1" xfId="11330" applyNumberFormat="1" applyFont="1" applyFill="1" applyAlignment="1">
      <alignment horizontal="right" vertical="center"/>
    </xf>
    <xf numFmtId="49" fontId="1" fillId="36" borderId="1" xfId="11330" applyNumberFormat="1" applyFill="1" applyAlignment="1">
      <alignment horizontal="left" vertical="center"/>
    </xf>
    <xf numFmtId="0" fontId="1" fillId="36" borderId="1" xfId="11330" applyFill="1"/>
    <xf numFmtId="185" fontId="1" fillId="36" borderId="1" xfId="11330" applyNumberFormat="1" applyFill="1" applyAlignment="1">
      <alignment horizontal="right" vertical="center"/>
    </xf>
  </cellXfs>
  <cellStyles count="11331">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Lien hypertexte" xfId="11272" builtinId="8"/>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3" xr:uid="{238BF07F-CB3C-42EB-B181-5E9AA0E8FAA5}"/>
    <cellStyle name="Normal 101" xfId="11324" xr:uid="{97CC59CD-2559-46D3-8D70-B91069F1F789}"/>
    <cellStyle name="Normal 102" xfId="11325" xr:uid="{7BB3516A-D388-4154-A212-3909650ED81A}"/>
    <cellStyle name="Normal 103" xfId="11326" xr:uid="{5BA48BA2-9435-46C4-AE0F-6794215CD1AF}"/>
    <cellStyle name="Normal 104" xfId="11327" xr:uid="{6D5D11A4-9902-478B-8C27-6616DC0FCC57}"/>
    <cellStyle name="Normal 105" xfId="11328" xr:uid="{D0143423-4C8E-4905-A554-2A461D0A64C4}"/>
    <cellStyle name="Normal 106" xfId="11329" xr:uid="{92568BAC-A7D2-4E1C-A8C3-18393B67F002}"/>
    <cellStyle name="Normal 107" xfId="11330" xr:uid="{BF80C9A8-55A5-466D-BD8A-80BCF01F8443}"/>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68" xfId="11291" xr:uid="{600A4A58-6404-49F8-82AB-A8C3F974108A}"/>
    <cellStyle name="Normal 69" xfId="11292"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3" xr:uid="{1883FC8F-6585-4F48-B4B0-DF8E5A22FE1B}"/>
    <cellStyle name="Normal 71" xfId="11294" xr:uid="{711455D6-6E99-4139-9341-1BDF191EA091}"/>
    <cellStyle name="Normal 72" xfId="11295" xr:uid="{061519F0-9FAD-4748-B127-76ED0700C3F2}"/>
    <cellStyle name="Normal 73" xfId="11296" xr:uid="{442F629E-B2A0-42FB-8B73-6CA63FCE5BE9}"/>
    <cellStyle name="Normal 74" xfId="11297" xr:uid="{FC33F227-1618-4FBE-8BC2-7AC457BA0452}"/>
    <cellStyle name="Normal 75" xfId="11298" xr:uid="{31748543-2F71-4D2A-912A-D47120DC29D5}"/>
    <cellStyle name="Normal 76" xfId="11299" xr:uid="{5E9DBD4B-EB7C-4188-B9BC-7389413A0710}"/>
    <cellStyle name="Normal 77" xfId="11300" xr:uid="{55ECA8CB-02F3-4D6E-8D08-01DC4076DD30}"/>
    <cellStyle name="Normal 78" xfId="11301" xr:uid="{7D0B7173-4BE6-4511-9BE9-043DE37E087E}"/>
    <cellStyle name="Normal 79" xfId="11302"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3" xr:uid="{54A19DAF-6C4F-4819-A4A7-7D685112CF92}"/>
    <cellStyle name="Normal 81" xfId="11304" xr:uid="{5EE509DB-6C8A-4DE9-9CD1-DD28BF4989F7}"/>
    <cellStyle name="Normal 82" xfId="11305" xr:uid="{149AB5EE-2DF9-47A3-968E-BF33D553B4F1}"/>
    <cellStyle name="Normal 83" xfId="11306" xr:uid="{53EE0592-0265-450B-B069-CBA989AB8141}"/>
    <cellStyle name="Normal 84" xfId="11307" xr:uid="{EB74581D-E881-4CAA-AA78-C2AA5BC2F9EB}"/>
    <cellStyle name="Normal 85" xfId="11308" xr:uid="{348008D7-98A5-4D91-95E3-DB21DC73913D}"/>
    <cellStyle name="Normal 86" xfId="11309" xr:uid="{FAAB7D59-5A19-463F-A584-41553A72DFD8}"/>
    <cellStyle name="Normal 87" xfId="11310" xr:uid="{7F2EF642-8FF3-47DD-A21A-34554D1F223C}"/>
    <cellStyle name="Normal 88" xfId="11311" xr:uid="{3637A557-3BF4-495B-9115-C34636062E47}"/>
    <cellStyle name="Normal 89" xfId="11312" xr:uid="{FBAD1D9A-7E52-4262-86A8-733179D2AAF8}"/>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3" xr:uid="{05AFCAA9-4364-4778-A002-5C675318E313}"/>
    <cellStyle name="Normal 91" xfId="11314" xr:uid="{B2CB1E12-99E3-4DCC-A141-B2D5B78FD1B0}"/>
    <cellStyle name="Normal 92" xfId="11315" xr:uid="{08B7B02B-E3BF-479A-B452-CE8F2246E876}"/>
    <cellStyle name="Normal 93" xfId="11316" xr:uid="{E900E4D2-56E0-4B14-8D1E-6214E619D279}"/>
    <cellStyle name="Normal 94" xfId="11317" xr:uid="{E9CAAA5F-E373-4ECC-96A0-3288C40472F3}"/>
    <cellStyle name="Normal 95" xfId="11318" xr:uid="{5B4E41AD-1D9F-4247-A80C-FA01BE94726C}"/>
    <cellStyle name="Normal 96" xfId="11319" xr:uid="{E34DD765-D0E3-48B4-861E-7E0F0EF4F848}"/>
    <cellStyle name="Normal 97" xfId="11320" xr:uid="{AF0EDBE3-BEA7-4DB8-B03D-B666D364AABF}"/>
    <cellStyle name="Normal 98" xfId="11321" xr:uid="{5AEFF0A1-B515-4679-AF25-69AF7B0DEF2A}"/>
    <cellStyle name="Normal 99" xfId="11322"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13">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theme" Target="theme/theme1.xml"/><Relationship Id="rId10" Type="http://schemas.openxmlformats.org/officeDocument/2006/relationships/worksheet" Target="worksheets/sheet9.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chartsheet" Target="chartsheets/sheet1.xml"/><Relationship Id="rId14" Type="http://schemas.openxmlformats.org/officeDocument/2006/relationships/worksheet" Target="worksheets/sheet13.xml"/><Relationship Id="rId22" Type="http://schemas.openxmlformats.org/officeDocument/2006/relationships/externalLink" Target="externalLinks/externalLink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Print_Mois!$AD$498:$AE$498</c:f>
              <c:strCache>
                <c:ptCount val="2"/>
                <c:pt idx="0">
                  <c:v>%vte</c:v>
                </c:pt>
                <c:pt idx="1">
                  <c:v>4.2%</c:v>
                </c:pt>
              </c:strCache>
            </c:strRef>
          </c:tx>
          <c:spPr>
            <a:solidFill>
              <a:schemeClr val="accent1"/>
            </a:solidFill>
            <a:ln>
              <a:noFill/>
            </a:ln>
            <a:effectLst/>
          </c:spPr>
          <c:invertIfNegative val="0"/>
          <c:cat>
            <c:multiLvlStrRef>
              <c:f>Print_Mois!$AF$491:$AL$497</c:f>
              <c:multiLvlStrCache>
                <c:ptCount val="7"/>
                <c:lvl>
                  <c:pt idx="0">
                    <c:v>(49,424)</c:v>
                  </c:pt>
                  <c:pt idx="2">
                    <c:v>(49,424)</c:v>
                  </c:pt>
                  <c:pt idx="3">
                    <c:v>0.0%</c:v>
                  </c:pt>
                  <c:pt idx="6">
                    <c:v>(1,079)</c:v>
                  </c:pt>
                </c:lvl>
                <c:lvl>
                  <c:pt idx="0">
                    <c:v>0 </c:v>
                  </c:pt>
                  <c:pt idx="2">
                    <c:v>0 </c:v>
                  </c:pt>
                  <c:pt idx="3">
                    <c:v>0.0%</c:v>
                  </c:pt>
                  <c:pt idx="6">
                    <c:v>0 </c:v>
                  </c:pt>
                </c:lvl>
                <c:lvl>
                  <c:pt idx="0">
                    <c:v>0 </c:v>
                  </c:pt>
                  <c:pt idx="2">
                    <c:v>0 </c:v>
                  </c:pt>
                  <c:pt idx="3">
                    <c:v>0.0%</c:v>
                  </c:pt>
                  <c:pt idx="6">
                    <c:v>0 </c:v>
                  </c:pt>
                </c:lvl>
                <c:lvl>
                  <c:pt idx="0">
                    <c:v>27,447 </c:v>
                  </c:pt>
                  <c:pt idx="2">
                    <c:v>27,447 </c:v>
                  </c:pt>
                  <c:pt idx="3">
                    <c:v>0.0%</c:v>
                  </c:pt>
                  <c:pt idx="6">
                    <c:v>0 </c:v>
                  </c:pt>
                </c:lvl>
                <c:lvl>
                  <c:pt idx="0">
                    <c:v>0 </c:v>
                  </c:pt>
                  <c:pt idx="2">
                    <c:v>0 </c:v>
                  </c:pt>
                  <c:pt idx="3">
                    <c:v>0.0%</c:v>
                  </c:pt>
                  <c:pt idx="6">
                    <c:v>0 </c:v>
                  </c:pt>
                </c:lvl>
                <c:lvl>
                  <c:pt idx="0">
                    <c:v>9,517 </c:v>
                  </c:pt>
                  <c:pt idx="2">
                    <c:v>0 </c:v>
                  </c:pt>
                  <c:pt idx="3">
                    <c:v>0.0%</c:v>
                  </c:pt>
                  <c:pt idx="6">
                    <c:v>42,648 </c:v>
                  </c:pt>
                </c:lvl>
              </c:multiLvlStrCache>
            </c:multiLvlStrRef>
          </c:cat>
          <c:val>
            <c:numRef>
              <c:f>Print_Mois!$AF$498:$AL$498</c:f>
              <c:numCache>
                <c:formatCode>#,##0_);\(#,##0\)</c:formatCode>
                <c:ptCount val="7"/>
                <c:pt idx="0">
                  <c:v>245121.41000000015</c:v>
                </c:pt>
                <c:pt idx="2">
                  <c:v>-48117.810148562421</c:v>
                </c:pt>
                <c:pt idx="3" formatCode="0.0%">
                  <c:v>-0.16409063604856367</c:v>
                </c:pt>
                <c:pt idx="4" formatCode="General">
                  <c:v>0</c:v>
                </c:pt>
                <c:pt idx="5" formatCode="0.0%">
                  <c:v>1.7628754999451501E-2</c:v>
                </c:pt>
                <c:pt idx="6">
                  <c:v>80421.769999999495</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113"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65221" cy="6288186"/>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Shared%20drives\Volkswagen%20PA%20-%20Contr&#244;leurs\2-%20Budget\2026%20Bud-VW\VW_Budget_2026%20(V3).xlsx" TargetMode="External"/><Relationship Id="rId1" Type="http://schemas.openxmlformats.org/officeDocument/2006/relationships/externalLinkPath" Target="/Shared%20drives/Volkswagen%20PA%20-%20Contr&#244;leurs/2-%20Budget/2026%20Bud-VW/VW_Budget_2026%20(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ramètre"/>
      <sheetName val="Bud neuf (BMW Sherbrooke)"/>
      <sheetName val="Bud usagé (BMW Sherbrooke)"/>
      <sheetName val="Global V1-2022"/>
      <sheetName val="ParamètreHypothèse2025"/>
      <sheetName val="Mensuel"/>
      <sheetName val="Global"/>
      <sheetName val="Paie 41-2024"/>
      <sheetName val="Paie 41-2023"/>
      <sheetName val="Budget 2024"/>
      <sheetName val="Forecast 2024"/>
      <sheetName val="Sommaire Headcount "/>
      <sheetName val="Salaire"/>
      <sheetName val="DAS-VAC"/>
      <sheetName val="Sommaire depenses"/>
      <sheetName val="DEPA"/>
      <sheetName val="INFORMATIQUE"/>
      <sheetName val="Vehicules neuf 2026"/>
      <sheetName val="Vehicules usages 2026"/>
      <sheetName val="Bud fixes"/>
      <sheetName val="New_carline"/>
      <sheetName val="Bud men fixes"/>
      <sheetName val="Saisonalité "/>
      <sheetName val="Marge"/>
      <sheetName val="Used"/>
      <sheetName val="Net Profit V1 vs V2"/>
      <sheetName val="Inventaire"/>
      <sheetName val="F&amp;I"/>
      <sheetName val="Autres Revenus"/>
      <sheetName val="Service"/>
      <sheetName val="Pièces"/>
      <sheetName val="Carroserie"/>
      <sheetName val="SG&amp;A Bridge"/>
      <sheetName val="Selling &amp; Mark."/>
      <sheetName val="G&amp;A"/>
      <sheetName val="Effectif"/>
      <sheetName val="Sommaire P&amp;L"/>
      <sheetName val="Bridge F2024-B2025"/>
      <sheetName val="CAPEX"/>
      <sheetName val="Liste de provisions"/>
      <sheetName val="CAPEX (3)"/>
      <sheetName val="2022P-08"/>
      <sheetName val="2021"/>
      <sheetName val="Bud2023 VS 2022P-08"/>
      <sheetName val="ParamètreHypothèse2022 figer"/>
      <sheetName val="Car line (old with formulas )"/>
      <sheetName val="New_carline (1)"/>
      <sheetName val="Used(1)"/>
      <sheetName val="Inventaire(1)"/>
      <sheetName val="F&amp;I(1)"/>
      <sheetName val="Autres Revenus(1)"/>
      <sheetName val="Service(1)"/>
      <sheetName val="Pièces(1)"/>
      <sheetName val="Carroserie(1)"/>
      <sheetName val="SG&amp;A Bridge(1)"/>
      <sheetName val="Selling &amp; Mark.(1)"/>
      <sheetName val="G&amp;A(1)"/>
      <sheetName val="Effectif(1)"/>
      <sheetName val="Sommaire P&amp;L(1)"/>
      <sheetName val="Subvention(1)"/>
      <sheetName val="Bridge_(1)"/>
      <sheetName val="CAPEX (2)"/>
      <sheetName val="Revenu Divers"/>
      <sheetName val="2021 REV AUTRES"/>
      <sheetName val="Car line &amp; Holdback"/>
      <sheetName val="véh neufs"/>
      <sheetName val="véh usagés"/>
      <sheetName val="BPO 2022"/>
      <sheetName val="EF MANUF NEUFS P9 AAD"/>
      <sheetName val="SUMMARY FRONT N&amp;U"/>
      <sheetName val="F&amp;I neuf"/>
      <sheetName val="F&amp;I used"/>
      <sheetName val="Bridge"/>
      <sheetName val="Capex(5)"/>
      <sheetName val="Sommaire Headcount"/>
      <sheetName val="Budget or vs revised"/>
      <sheetName val="tot elimination mit plan"/>
      <sheetName val="Feuil1 (2)"/>
      <sheetName val="Mensuel (2)"/>
      <sheetName val="2019"/>
      <sheetName val="Sommaire dépenses"/>
      <sheetName val="Résumé Charges Groupe 2023"/>
      <sheetName val="informatique sauf interco"/>
      <sheetName val="Serv Ext Achat Gen"/>
      <sheetName val="Paie 40-2021"/>
      <sheetName val="sal et comm vendeurs neuf"/>
      <sheetName val="sal et comm vendeurs used"/>
      <sheetName val="Headcount"/>
      <sheetName val="FEV2021update"/>
      <sheetName val="EF Manuf 2020aad"/>
      <sheetName val="BPO"/>
      <sheetName val="Margin adj Louis -81k -318u"/>
      <sheetName val="Paie 41-2022"/>
      <sheetName val="Sommaire PP41-2022"/>
      <sheetName val="seasonlité neuf et used"/>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5">
          <cell r="E15">
            <v>13053.253076923074</v>
          </cell>
          <cell r="F15">
            <v>13053.253076923074</v>
          </cell>
          <cell r="G15">
            <v>13053.253076923074</v>
          </cell>
          <cell r="H15">
            <v>13053.253076923074</v>
          </cell>
          <cell r="I15">
            <v>16316.566346153846</v>
          </cell>
          <cell r="J15">
            <v>13053.253076923074</v>
          </cell>
          <cell r="K15">
            <v>16316.566346153846</v>
          </cell>
          <cell r="L15">
            <v>13053.253076923074</v>
          </cell>
          <cell r="M15">
            <v>13053.253076923074</v>
          </cell>
          <cell r="N15">
            <v>16316.566346153846</v>
          </cell>
          <cell r="O15">
            <v>13053.253076923074</v>
          </cell>
          <cell r="P15">
            <v>16316.566346153846</v>
          </cell>
        </row>
        <row r="33">
          <cell r="E33">
            <v>26496.555448717947</v>
          </cell>
          <cell r="F33">
            <v>20698.717948717946</v>
          </cell>
          <cell r="G33">
            <v>20698.717948717946</v>
          </cell>
          <cell r="H33">
            <v>20698.717948717946</v>
          </cell>
          <cell r="I33">
            <v>23102.564102564102</v>
          </cell>
          <cell r="J33">
            <v>20698.717948717946</v>
          </cell>
          <cell r="K33">
            <v>23102.564102564102</v>
          </cell>
          <cell r="L33">
            <v>20698.717948717946</v>
          </cell>
          <cell r="M33">
            <v>20698.717948717946</v>
          </cell>
          <cell r="N33">
            <v>23102.564102564102</v>
          </cell>
          <cell r="O33">
            <v>20698.717948717946</v>
          </cell>
          <cell r="P33">
            <v>23102.564102564102</v>
          </cell>
        </row>
        <row r="40">
          <cell r="E40">
            <v>12515.972435897434</v>
          </cell>
          <cell r="F40">
            <v>11227.564102564102</v>
          </cell>
          <cell r="G40">
            <v>11227.564102564102</v>
          </cell>
          <cell r="H40">
            <v>11227.564102564102</v>
          </cell>
          <cell r="I40">
            <v>12669.871794871795</v>
          </cell>
          <cell r="J40">
            <v>11227.564102564102</v>
          </cell>
          <cell r="K40">
            <v>12669.871794871795</v>
          </cell>
          <cell r="L40">
            <v>11227.564102564102</v>
          </cell>
          <cell r="M40">
            <v>11227.564102564102</v>
          </cell>
          <cell r="N40">
            <v>12669.871794871795</v>
          </cell>
          <cell r="O40">
            <v>11227.564102564102</v>
          </cell>
          <cell r="P40">
            <v>12669.871794871795</v>
          </cell>
        </row>
        <row r="46">
          <cell r="E46">
            <v>10052.764903846155</v>
          </cell>
          <cell r="F46">
            <v>7153.8461538461543</v>
          </cell>
          <cell r="G46">
            <v>7153.8461538461543</v>
          </cell>
          <cell r="H46">
            <v>7153.8461538461543</v>
          </cell>
          <cell r="I46">
            <v>8192.3076923076933</v>
          </cell>
          <cell r="J46">
            <v>7153.8461538461543</v>
          </cell>
          <cell r="K46">
            <v>8192.3076923076933</v>
          </cell>
          <cell r="L46">
            <v>7153.8461538461543</v>
          </cell>
          <cell r="M46">
            <v>7153.8461538461543</v>
          </cell>
          <cell r="N46">
            <v>8192.3076923076933</v>
          </cell>
          <cell r="O46">
            <v>7153.8461538461543</v>
          </cell>
          <cell r="P46">
            <v>8192.3076923076933</v>
          </cell>
        </row>
        <row r="50">
          <cell r="E50">
            <v>322.10208333333338</v>
          </cell>
          <cell r="F50">
            <v>0</v>
          </cell>
          <cell r="G50">
            <v>0</v>
          </cell>
          <cell r="H50">
            <v>0</v>
          </cell>
          <cell r="I50">
            <v>0</v>
          </cell>
          <cell r="J50">
            <v>0</v>
          </cell>
          <cell r="K50">
            <v>0</v>
          </cell>
          <cell r="L50">
            <v>0</v>
          </cell>
          <cell r="M50">
            <v>0</v>
          </cell>
          <cell r="N50">
            <v>0</v>
          </cell>
          <cell r="O50">
            <v>0</v>
          </cell>
          <cell r="P50">
            <v>0</v>
          </cell>
        </row>
        <row r="55">
          <cell r="E55">
            <v>7346.047435897437</v>
          </cell>
          <cell r="F55">
            <v>4769.2307692307695</v>
          </cell>
          <cell r="G55">
            <v>4769.2307692307695</v>
          </cell>
          <cell r="H55">
            <v>4769.2307692307695</v>
          </cell>
          <cell r="I55">
            <v>5461.538461538461</v>
          </cell>
          <cell r="J55">
            <v>4769.2307692307695</v>
          </cell>
          <cell r="K55">
            <v>5461.538461538461</v>
          </cell>
          <cell r="L55">
            <v>4769.2307692307695</v>
          </cell>
          <cell r="M55">
            <v>4769.2307692307695</v>
          </cell>
          <cell r="N55">
            <v>5461.538461538461</v>
          </cell>
          <cell r="O55">
            <v>4769.2307692307695</v>
          </cell>
          <cell r="P55">
            <v>5461.538461538461</v>
          </cell>
        </row>
        <row r="90">
          <cell r="E90">
            <v>15088.420585468717</v>
          </cell>
          <cell r="F90">
            <v>18491.133085468718</v>
          </cell>
          <cell r="G90">
            <v>18491.133085468718</v>
          </cell>
          <cell r="H90">
            <v>18491.133085468718</v>
          </cell>
          <cell r="I90">
            <v>22799.576773502566</v>
          </cell>
          <cell r="J90">
            <v>18491.133085468718</v>
          </cell>
          <cell r="K90">
            <v>22799.576773502566</v>
          </cell>
          <cell r="L90">
            <v>18491.133085468718</v>
          </cell>
          <cell r="M90">
            <v>18491.133085468718</v>
          </cell>
          <cell r="N90">
            <v>22799.576773502566</v>
          </cell>
          <cell r="O90">
            <v>18491.133085468718</v>
          </cell>
          <cell r="P90">
            <v>22799.576773502566</v>
          </cell>
        </row>
        <row r="102">
          <cell r="E102">
            <v>5038.8964937271794</v>
          </cell>
          <cell r="F102">
            <v>5795.0548270605132</v>
          </cell>
          <cell r="G102">
            <v>5795.0548270605132</v>
          </cell>
          <cell r="H102">
            <v>5795.0548270605132</v>
          </cell>
          <cell r="I102">
            <v>7104.1997838256402</v>
          </cell>
          <cell r="J102">
            <v>5795.0548270605132</v>
          </cell>
          <cell r="K102">
            <v>7104.1997838256402</v>
          </cell>
          <cell r="L102">
            <v>5795.0548270605132</v>
          </cell>
          <cell r="M102">
            <v>5795.0548270605132</v>
          </cell>
          <cell r="N102">
            <v>7104.1997838256402</v>
          </cell>
          <cell r="O102">
            <v>5795.0548270605132</v>
          </cell>
          <cell r="P102">
            <v>7104.1997838256402</v>
          </cell>
        </row>
        <row r="115">
          <cell r="E115">
            <v>11984.70794672</v>
          </cell>
          <cell r="F115">
            <v>13686.064196719999</v>
          </cell>
          <cell r="G115">
            <v>13686.064196719999</v>
          </cell>
          <cell r="H115">
            <v>13686.064196719999</v>
          </cell>
          <cell r="I115">
            <v>17079.455245900001</v>
          </cell>
          <cell r="J115">
            <v>13686.064196719999</v>
          </cell>
          <cell r="K115">
            <v>17079.455245900001</v>
          </cell>
          <cell r="L115">
            <v>13686.064196719999</v>
          </cell>
          <cell r="M115">
            <v>13686.064196719999</v>
          </cell>
          <cell r="N115">
            <v>17079.455245900001</v>
          </cell>
          <cell r="O115">
            <v>13686.064196719999</v>
          </cell>
          <cell r="P115">
            <v>17079.455245900001</v>
          </cell>
        </row>
        <row r="126">
          <cell r="E126">
            <v>5615.7540314133321</v>
          </cell>
          <cell r="F126">
            <v>5804.7936147466653</v>
          </cell>
          <cell r="G126">
            <v>5804.7936147466653</v>
          </cell>
          <cell r="H126">
            <v>5804.7936147466653</v>
          </cell>
          <cell r="I126">
            <v>7002.8670184333323</v>
          </cell>
          <cell r="J126">
            <v>5804.7936147466653</v>
          </cell>
          <cell r="K126">
            <v>7002.8670184333323</v>
          </cell>
          <cell r="L126">
            <v>5804.7936147466653</v>
          </cell>
          <cell r="M126">
            <v>5804.7936147466653</v>
          </cell>
          <cell r="N126">
            <v>7002.8670184333323</v>
          </cell>
          <cell r="O126">
            <v>5804.7936147466653</v>
          </cell>
          <cell r="P126">
            <v>7002.8670184333323</v>
          </cell>
        </row>
        <row r="140">
          <cell r="E140">
            <v>28107.154600537433</v>
          </cell>
          <cell r="F140">
            <v>29619.471267204099</v>
          </cell>
          <cell r="G140">
            <v>29619.471267204099</v>
          </cell>
          <cell r="H140">
            <v>29619.471267204099</v>
          </cell>
          <cell r="I140">
            <v>36686.839084005122</v>
          </cell>
          <cell r="J140">
            <v>29619.471267204099</v>
          </cell>
          <cell r="K140">
            <v>36686.839084005122</v>
          </cell>
          <cell r="L140">
            <v>29619.471267204099</v>
          </cell>
          <cell r="M140">
            <v>29619.471267204099</v>
          </cell>
          <cell r="N140">
            <v>36686.839084005122</v>
          </cell>
          <cell r="O140">
            <v>29619.471267204099</v>
          </cell>
          <cell r="P140">
            <v>36686.839084005122</v>
          </cell>
        </row>
        <row r="161">
          <cell r="E161">
            <v>341.84999999999997</v>
          </cell>
          <cell r="F161">
            <v>0</v>
          </cell>
          <cell r="G161">
            <v>0</v>
          </cell>
          <cell r="H161">
            <v>0</v>
          </cell>
          <cell r="I161">
            <v>0</v>
          </cell>
          <cell r="J161">
            <v>0</v>
          </cell>
          <cell r="K161">
            <v>0</v>
          </cell>
          <cell r="L161">
            <v>0</v>
          </cell>
          <cell r="M161">
            <v>0</v>
          </cell>
          <cell r="N161">
            <v>0</v>
          </cell>
          <cell r="O161">
            <v>0</v>
          </cell>
          <cell r="P161">
            <v>0</v>
          </cell>
        </row>
        <row r="167">
          <cell r="E167">
            <v>3623.6333333333332</v>
          </cell>
          <cell r="F167">
            <v>0</v>
          </cell>
          <cell r="G167">
            <v>0</v>
          </cell>
          <cell r="H167">
            <v>0</v>
          </cell>
          <cell r="I167">
            <v>0</v>
          </cell>
          <cell r="J167">
            <v>0</v>
          </cell>
          <cell r="K167">
            <v>0</v>
          </cell>
          <cell r="L167">
            <v>0</v>
          </cell>
          <cell r="M167">
            <v>0</v>
          </cell>
          <cell r="N167">
            <v>0</v>
          </cell>
          <cell r="O167">
            <v>0</v>
          </cell>
          <cell r="P167">
            <v>0</v>
          </cell>
        </row>
        <row r="177">
          <cell r="E177">
            <v>20062.377097999997</v>
          </cell>
          <cell r="F177">
            <v>19891.452097999998</v>
          </cell>
          <cell r="G177">
            <v>35049.351564666664</v>
          </cell>
          <cell r="H177">
            <v>35049.351564666664</v>
          </cell>
          <cell r="I177">
            <v>24864.315122499997</v>
          </cell>
          <cell r="J177">
            <v>19891.452097999998</v>
          </cell>
          <cell r="K177">
            <v>24864.315122499997</v>
          </cell>
          <cell r="L177">
            <v>19891.452097999998</v>
          </cell>
          <cell r="M177">
            <v>19891.452097999998</v>
          </cell>
          <cell r="N177">
            <v>40022.214589166659</v>
          </cell>
          <cell r="O177">
            <v>35049.351564666664</v>
          </cell>
          <cell r="P177">
            <v>24864.315122499997</v>
          </cell>
        </row>
        <row r="181">
          <cell r="E181">
            <v>18.991666666666667</v>
          </cell>
          <cell r="F181">
            <v>0</v>
          </cell>
          <cell r="G181">
            <v>0</v>
          </cell>
          <cell r="H181">
            <v>0</v>
          </cell>
          <cell r="I181">
            <v>0</v>
          </cell>
          <cell r="J181">
            <v>0</v>
          </cell>
          <cell r="K181">
            <v>0</v>
          </cell>
          <cell r="L181">
            <v>0</v>
          </cell>
          <cell r="M181">
            <v>0</v>
          </cell>
          <cell r="N181">
            <v>0</v>
          </cell>
          <cell r="O181">
            <v>0</v>
          </cell>
          <cell r="P181">
            <v>0</v>
          </cell>
        </row>
        <row r="185">
          <cell r="E185">
            <v>151.93333333333334</v>
          </cell>
          <cell r="F185">
            <v>0</v>
          </cell>
          <cell r="G185">
            <v>0</v>
          </cell>
          <cell r="H185">
            <v>0</v>
          </cell>
          <cell r="I185">
            <v>0</v>
          </cell>
          <cell r="J185">
            <v>0</v>
          </cell>
          <cell r="K185">
            <v>0</v>
          </cell>
          <cell r="L185">
            <v>0</v>
          </cell>
          <cell r="M185">
            <v>0</v>
          </cell>
          <cell r="N185">
            <v>0</v>
          </cell>
          <cell r="O185">
            <v>0</v>
          </cell>
          <cell r="P185">
            <v>0</v>
          </cell>
        </row>
        <row r="206">
          <cell r="E206">
            <v>26582.196004975034</v>
          </cell>
          <cell r="F206">
            <v>26214.917022316586</v>
          </cell>
          <cell r="G206">
            <v>29097.697573702389</v>
          </cell>
          <cell r="H206">
            <v>42074.212906812798</v>
          </cell>
          <cell r="I206">
            <v>45535.035739912259</v>
          </cell>
          <cell r="J206">
            <v>34250.336052268896</v>
          </cell>
          <cell r="K206">
            <v>38569.755532328607</v>
          </cell>
          <cell r="L206">
            <v>33775.083626791886</v>
          </cell>
          <cell r="M206">
            <v>33080.915935609577</v>
          </cell>
          <cell r="N206">
            <v>44587.883258591624</v>
          </cell>
          <cell r="O206">
            <v>49632.426279108688</v>
          </cell>
          <cell r="P206">
            <v>40249.902880081616</v>
          </cell>
        </row>
        <row r="209">
          <cell r="E209">
            <v>0</v>
          </cell>
          <cell r="F209">
            <v>0</v>
          </cell>
          <cell r="G209">
            <v>0</v>
          </cell>
          <cell r="H209">
            <v>0</v>
          </cell>
          <cell r="I209">
            <v>0</v>
          </cell>
          <cell r="J209">
            <v>0</v>
          </cell>
          <cell r="K209">
            <v>0</v>
          </cell>
          <cell r="L209">
            <v>0</v>
          </cell>
          <cell r="M209">
            <v>0</v>
          </cell>
          <cell r="N209">
            <v>0</v>
          </cell>
          <cell r="O209">
            <v>0</v>
          </cell>
          <cell r="P209">
            <v>0</v>
          </cell>
        </row>
      </sheetData>
      <sheetData sheetId="13">
        <row r="43">
          <cell r="F43">
            <v>11375.380652366253</v>
          </cell>
          <cell r="G43">
            <v>9716.083521385257</v>
          </cell>
          <cell r="H43">
            <v>12643.918376575097</v>
          </cell>
          <cell r="I43">
            <v>13199.320131258635</v>
          </cell>
          <cell r="J43">
            <v>14866.607467335434</v>
          </cell>
          <cell r="K43">
            <v>11600.208785435867</v>
          </cell>
          <cell r="L43">
            <v>12704.781325943057</v>
          </cell>
          <cell r="M43">
            <v>12034.036621891559</v>
          </cell>
          <cell r="N43">
            <v>12210.090540119405</v>
          </cell>
          <cell r="O43">
            <v>14026.191794424054</v>
          </cell>
          <cell r="P43">
            <v>13429.854049486477</v>
          </cell>
          <cell r="Q43">
            <v>10597.435184550675</v>
          </cell>
        </row>
        <row r="44">
          <cell r="F44">
            <v>7189.0136792688036</v>
          </cell>
          <cell r="G44">
            <v>6702.5659209354708</v>
          </cell>
          <cell r="H44">
            <v>7341.2871709354713</v>
          </cell>
          <cell r="I44">
            <v>9032.3236709354715</v>
          </cell>
          <cell r="J44">
            <v>9123.2126522110048</v>
          </cell>
          <cell r="K44">
            <v>7570.2166709354715</v>
          </cell>
          <cell r="L44">
            <v>7446.9311522110047</v>
          </cell>
          <cell r="M44">
            <v>7570.2166709354715</v>
          </cell>
          <cell r="N44">
            <v>7326.5321709354712</v>
          </cell>
          <cell r="O44">
            <v>8041.3874022110049</v>
          </cell>
          <cell r="P44">
            <v>7448.3744209354718</v>
          </cell>
          <cell r="Q44">
            <v>6413.1731522110049</v>
          </cell>
        </row>
        <row r="45">
          <cell r="F45">
            <v>16347.02915127694</v>
          </cell>
          <cell r="G45">
            <v>15661.626154361753</v>
          </cell>
          <cell r="H45">
            <v>19392.749967965792</v>
          </cell>
          <cell r="I45">
            <v>21824.108692371785</v>
          </cell>
          <cell r="J45">
            <v>22160.637532309549</v>
          </cell>
          <cell r="K45">
            <v>18060.580821222648</v>
          </cell>
          <cell r="L45">
            <v>20449.168665803896</v>
          </cell>
          <cell r="M45">
            <v>18844.726189813166</v>
          </cell>
          <cell r="N45">
            <v>19200.314459678488</v>
          </cell>
          <cell r="O45">
            <v>23583.722047089708</v>
          </cell>
          <cell r="P45">
            <v>23803.518749052651</v>
          </cell>
          <cell r="Q45">
            <v>18067.484061123407</v>
          </cell>
        </row>
        <row r="46">
          <cell r="F46">
            <v>713.1408287961824</v>
          </cell>
          <cell r="G46">
            <v>695.88268087951576</v>
          </cell>
          <cell r="H46">
            <v>695.88268087951576</v>
          </cell>
          <cell r="I46">
            <v>695.88268087951576</v>
          </cell>
          <cell r="J46">
            <v>841.12366359939483</v>
          </cell>
          <cell r="K46">
            <v>695.88268087951576</v>
          </cell>
          <cell r="L46">
            <v>841.12366359939483</v>
          </cell>
          <cell r="M46">
            <v>695.88268087951576</v>
          </cell>
          <cell r="N46">
            <v>695.88268087951576</v>
          </cell>
          <cell r="O46">
            <v>841.12366359939483</v>
          </cell>
          <cell r="P46">
            <v>695.88268087951576</v>
          </cell>
          <cell r="Q46">
            <v>841.12366359939483</v>
          </cell>
        </row>
        <row r="47">
          <cell r="F47">
            <v>4337.4917093148451</v>
          </cell>
          <cell r="G47">
            <v>4199.426525981512</v>
          </cell>
          <cell r="H47">
            <v>4199.426525981512</v>
          </cell>
          <cell r="I47">
            <v>4199.426525981512</v>
          </cell>
          <cell r="J47">
            <v>5154.2269074768892</v>
          </cell>
          <cell r="K47">
            <v>4199.426525981512</v>
          </cell>
          <cell r="L47">
            <v>5154.2269074768892</v>
          </cell>
          <cell r="M47">
            <v>4199.426525981512</v>
          </cell>
          <cell r="N47">
            <v>4199.426525981512</v>
          </cell>
          <cell r="O47">
            <v>5154.2269074768892</v>
          </cell>
          <cell r="P47">
            <v>4199.426525981512</v>
          </cell>
          <cell r="Q47">
            <v>5154.2269074768892</v>
          </cell>
        </row>
        <row r="51">
          <cell r="F51">
            <v>13830.859295388043</v>
          </cell>
          <cell r="G51">
            <v>11813.387893842868</v>
          </cell>
          <cell r="H51">
            <v>15373.222343324787</v>
          </cell>
          <cell r="I51">
            <v>16048.512582499487</v>
          </cell>
          <cell r="J51">
            <v>18075.698947068635</v>
          </cell>
          <cell r="K51">
            <v>14104.218611366958</v>
          </cell>
          <cell r="L51">
            <v>15447.223109957196</v>
          </cell>
          <cell r="M51">
            <v>14631.69210415009</v>
          </cell>
          <cell r="N51">
            <v>14845.748850541657</v>
          </cell>
          <cell r="O51">
            <v>17053.871961502377</v>
          </cell>
          <cell r="P51">
            <v>16328.80932889105</v>
          </cell>
          <cell r="Q51">
            <v>12884.987272845756</v>
          </cell>
        </row>
        <row r="52">
          <cell r="F52">
            <v>8740.8272047497358</v>
          </cell>
          <cell r="G52">
            <v>8149.3753047497357</v>
          </cell>
          <cell r="H52">
            <v>8925.9703047497369</v>
          </cell>
          <cell r="I52">
            <v>10982.032304749737</v>
          </cell>
          <cell r="J52">
            <v>11092.540493437169</v>
          </cell>
          <cell r="K52">
            <v>9204.3163047497364</v>
          </cell>
          <cell r="L52">
            <v>9054.4184934371697</v>
          </cell>
          <cell r="M52">
            <v>9204.3163047497364</v>
          </cell>
          <cell r="N52">
            <v>8908.0303047497364</v>
          </cell>
          <cell r="O52">
            <v>9777.1934934371693</v>
          </cell>
          <cell r="P52">
            <v>9056.1733047497364</v>
          </cell>
          <cell r="Q52">
            <v>7797.5144934371692</v>
          </cell>
        </row>
        <row r="53">
          <cell r="F53">
            <v>19875.683020935841</v>
          </cell>
          <cell r="G53">
            <v>19042.329597373762</v>
          </cell>
          <cell r="H53">
            <v>23578.85018131524</v>
          </cell>
          <cell r="I53">
            <v>26535.039643588603</v>
          </cell>
          <cell r="J53">
            <v>26944.211272764034</v>
          </cell>
          <cell r="K53">
            <v>21959.120293645155</v>
          </cell>
          <cell r="L53">
            <v>24863.306395426767</v>
          </cell>
          <cell r="M53">
            <v>22912.530521534951</v>
          </cell>
          <cell r="N53">
            <v>23344.87573071041</v>
          </cell>
          <cell r="O53">
            <v>28674.481431703785</v>
          </cell>
          <cell r="P53">
            <v>28941.723236733622</v>
          </cell>
          <cell r="Q53">
            <v>21967.513660220535</v>
          </cell>
        </row>
        <row r="54">
          <cell r="F54">
            <v>867.07871695042445</v>
          </cell>
          <cell r="G54">
            <v>846.09524195042445</v>
          </cell>
          <cell r="H54">
            <v>846.09524195042445</v>
          </cell>
          <cell r="I54">
            <v>846.09524195042445</v>
          </cell>
          <cell r="J54">
            <v>1022.6878024380308</v>
          </cell>
          <cell r="K54">
            <v>846.09524195042445</v>
          </cell>
          <cell r="L54">
            <v>1022.6878024380308</v>
          </cell>
          <cell r="M54">
            <v>846.09524195042445</v>
          </cell>
          <cell r="N54">
            <v>846.09524195042445</v>
          </cell>
          <cell r="O54">
            <v>1022.6878024380308</v>
          </cell>
          <cell r="P54">
            <v>846.09524195042445</v>
          </cell>
          <cell r="Q54">
            <v>1022.6878024380308</v>
          </cell>
        </row>
        <row r="55">
          <cell r="F55">
            <v>5273.7784659510899</v>
          </cell>
          <cell r="G55">
            <v>5105.910665951089</v>
          </cell>
          <cell r="H55">
            <v>5105.910665951089</v>
          </cell>
          <cell r="I55">
            <v>5105.910665951089</v>
          </cell>
          <cell r="J55">
            <v>6266.8133324388609</v>
          </cell>
          <cell r="K55">
            <v>5105.910665951089</v>
          </cell>
          <cell r="L55">
            <v>6266.8133324388609</v>
          </cell>
          <cell r="M55">
            <v>5105.910665951089</v>
          </cell>
          <cell r="N55">
            <v>5105.910665951089</v>
          </cell>
          <cell r="O55">
            <v>6266.8133324388609</v>
          </cell>
          <cell r="P55">
            <v>5105.910665951089</v>
          </cell>
          <cell r="Q55">
            <v>6266.8133324388609</v>
          </cell>
        </row>
        <row r="59">
          <cell r="F59">
            <v>7125.8992456673177</v>
          </cell>
          <cell r="G59">
            <v>6086.4628931320849</v>
          </cell>
          <cell r="H59">
            <v>7920.5515116695087</v>
          </cell>
          <cell r="I59">
            <v>8268.4727870703864</v>
          </cell>
          <cell r="J59">
            <v>9312.9144575114478</v>
          </cell>
          <cell r="K59">
            <v>7266.738719334714</v>
          </cell>
          <cell r="L59">
            <v>7958.6779936083803</v>
          </cell>
          <cell r="M59">
            <v>7538.5022362686323</v>
          </cell>
          <cell r="N59">
            <v>7648.7879947355914</v>
          </cell>
          <cell r="O59">
            <v>8786.4514236436135</v>
          </cell>
          <cell r="P59">
            <v>8412.8865455373434</v>
          </cell>
          <cell r="Q59">
            <v>6638.5695297053126</v>
          </cell>
        </row>
        <row r="60">
          <cell r="F60">
            <v>4503.4261902732333</v>
          </cell>
          <cell r="G60">
            <v>4198.6998852732331</v>
          </cell>
          <cell r="H60">
            <v>4598.815135273233</v>
          </cell>
          <cell r="I60">
            <v>5658.1340352732332</v>
          </cell>
          <cell r="J60">
            <v>5715.0697759665409</v>
          </cell>
          <cell r="K60">
            <v>4742.2238352732338</v>
          </cell>
          <cell r="L60">
            <v>4664.9938759665411</v>
          </cell>
          <cell r="M60">
            <v>4742.2238352732338</v>
          </cell>
          <cell r="N60">
            <v>4589.5721352732326</v>
          </cell>
          <cell r="O60">
            <v>5037.3801259665406</v>
          </cell>
          <cell r="P60">
            <v>4665.8979852732336</v>
          </cell>
          <cell r="Q60">
            <v>4017.4150759665413</v>
          </cell>
        </row>
        <row r="61">
          <cell r="F61">
            <v>10240.297556438682</v>
          </cell>
          <cell r="G61">
            <v>9810.9393795164815</v>
          </cell>
          <cell r="H61">
            <v>12148.233680373285</v>
          </cell>
          <cell r="I61">
            <v>13671.313903327171</v>
          </cell>
          <cell r="J61">
            <v>13882.126242706685</v>
          </cell>
          <cell r="K61">
            <v>11313.72067303022</v>
          </cell>
          <cell r="L61">
            <v>12810.007860252485</v>
          </cell>
          <cell r="M61">
            <v>11804.934203486484</v>
          </cell>
          <cell r="N61">
            <v>12027.685974300795</v>
          </cell>
          <cell r="O61">
            <v>14773.591520247384</v>
          </cell>
          <cell r="P61">
            <v>14911.279145882321</v>
          </cell>
          <cell r="Q61">
            <v>11318.045081461447</v>
          </cell>
        </row>
        <row r="62">
          <cell r="F62">
            <v>446.73403460271862</v>
          </cell>
          <cell r="G62">
            <v>435.92298335271863</v>
          </cell>
          <cell r="H62">
            <v>435.92298335271863</v>
          </cell>
          <cell r="I62">
            <v>435.92298335271863</v>
          </cell>
          <cell r="J62">
            <v>526.90654169089839</v>
          </cell>
          <cell r="K62">
            <v>435.92298335271863</v>
          </cell>
          <cell r="L62">
            <v>526.90654169089839</v>
          </cell>
          <cell r="M62">
            <v>435.92298335271863</v>
          </cell>
          <cell r="N62">
            <v>435.92298335271863</v>
          </cell>
          <cell r="O62">
            <v>526.90654169089839</v>
          </cell>
          <cell r="P62">
            <v>435.92298335271863</v>
          </cell>
          <cell r="Q62">
            <v>526.90654169089839</v>
          </cell>
        </row>
        <row r="63">
          <cell r="F63">
            <v>2717.1423835443652</v>
          </cell>
          <cell r="G63">
            <v>2630.6539735443653</v>
          </cell>
          <cell r="H63">
            <v>2630.6539735443653</v>
          </cell>
          <cell r="I63">
            <v>2630.6539735443653</v>
          </cell>
          <cell r="J63">
            <v>3228.7712169304564</v>
          </cell>
          <cell r="K63">
            <v>2630.6539735443653</v>
          </cell>
          <cell r="L63">
            <v>3228.7712169304564</v>
          </cell>
          <cell r="M63">
            <v>2630.6539735443653</v>
          </cell>
          <cell r="N63">
            <v>2630.6539735443653</v>
          </cell>
          <cell r="O63">
            <v>3228.7712169304564</v>
          </cell>
          <cell r="P63">
            <v>2630.6539735443653</v>
          </cell>
          <cell r="Q63">
            <v>3228.7712169304564</v>
          </cell>
        </row>
        <row r="67">
          <cell r="F67">
            <v>3106.9321605581836</v>
          </cell>
          <cell r="G67">
            <v>2653.7320631096295</v>
          </cell>
          <cell r="H67">
            <v>3453.4050191526694</v>
          </cell>
          <cell r="I67">
            <v>3605.1006525904641</v>
          </cell>
          <cell r="J67">
            <v>4060.4830968052729</v>
          </cell>
          <cell r="K67">
            <v>3168.338963423012</v>
          </cell>
          <cell r="L67">
            <v>3470.028379772993</v>
          </cell>
          <cell r="M67">
            <v>3286.8293857148751</v>
          </cell>
          <cell r="N67">
            <v>3334.9145968608063</v>
          </cell>
          <cell r="O67">
            <v>3830.9422522215477</v>
          </cell>
          <cell r="P67">
            <v>3668.0658637363949</v>
          </cell>
          <cell r="Q67">
            <v>2894.4536627407133</v>
          </cell>
        </row>
        <row r="68">
          <cell r="F68">
            <v>1963.5191546901578</v>
          </cell>
          <cell r="G68">
            <v>1830.6567713568245</v>
          </cell>
          <cell r="H68">
            <v>2005.1092713568246</v>
          </cell>
          <cell r="I68">
            <v>2466.9782713568247</v>
          </cell>
          <cell r="J68">
            <v>2491.8025746126973</v>
          </cell>
          <cell r="K68">
            <v>2067.6362713568246</v>
          </cell>
          <cell r="L68">
            <v>2033.9635746126974</v>
          </cell>
          <cell r="M68">
            <v>2067.6362713568246</v>
          </cell>
          <cell r="N68">
            <v>2001.0792713568246</v>
          </cell>
          <cell r="O68">
            <v>2196.3260746126975</v>
          </cell>
          <cell r="P68">
            <v>2034.3577713568247</v>
          </cell>
          <cell r="Q68">
            <v>1751.6155746126974</v>
          </cell>
        </row>
        <row r="69">
          <cell r="F69">
            <v>4464.8273452826879</v>
          </cell>
          <cell r="G69">
            <v>4277.6247646274387</v>
          </cell>
          <cell r="H69">
            <v>5296.6982291360309</v>
          </cell>
          <cell r="I69">
            <v>5960.7697750090338</v>
          </cell>
          <cell r="J69">
            <v>6052.6851409832243</v>
          </cell>
          <cell r="K69">
            <v>4932.8458630652158</v>
          </cell>
          <cell r="L69">
            <v>5585.2354946248524</v>
          </cell>
          <cell r="M69">
            <v>5147.0177258520534</v>
          </cell>
          <cell r="N69">
            <v>5244.1387511016128</v>
          </cell>
          <cell r="O69">
            <v>6441.3690172667921</v>
          </cell>
          <cell r="P69">
            <v>6501.4015966575525</v>
          </cell>
          <cell r="Q69">
            <v>4934.7313294698297</v>
          </cell>
        </row>
        <row r="70">
          <cell r="F70">
            <v>194.77855235842867</v>
          </cell>
          <cell r="G70">
            <v>190.06487319176199</v>
          </cell>
          <cell r="H70">
            <v>190.06487319176199</v>
          </cell>
          <cell r="I70">
            <v>190.06487319176199</v>
          </cell>
          <cell r="J70">
            <v>229.73421648970253</v>
          </cell>
          <cell r="K70">
            <v>190.06487319176199</v>
          </cell>
          <cell r="L70">
            <v>229.73421648970253</v>
          </cell>
          <cell r="M70">
            <v>190.06487319176199</v>
          </cell>
          <cell r="N70">
            <v>190.06487319176199</v>
          </cell>
          <cell r="O70">
            <v>229.73421648970253</v>
          </cell>
          <cell r="P70">
            <v>190.06487319176199</v>
          </cell>
          <cell r="Q70">
            <v>229.73421648970253</v>
          </cell>
        </row>
        <row r="71">
          <cell r="F71">
            <v>1184.6893655397373</v>
          </cell>
          <cell r="G71">
            <v>1146.9799322064041</v>
          </cell>
          <cell r="H71">
            <v>1146.9799322064041</v>
          </cell>
          <cell r="I71">
            <v>1146.9799322064041</v>
          </cell>
          <cell r="J71">
            <v>1407.7624152580049</v>
          </cell>
          <cell r="K71">
            <v>1146.9799322064041</v>
          </cell>
          <cell r="L71">
            <v>1407.7624152580049</v>
          </cell>
          <cell r="M71">
            <v>1146.9799322064041</v>
          </cell>
          <cell r="N71">
            <v>1146.9799322064041</v>
          </cell>
          <cell r="O71">
            <v>1407.7624152580049</v>
          </cell>
          <cell r="P71">
            <v>1146.9799322064041</v>
          </cell>
          <cell r="Q71">
            <v>1407.7624152580049</v>
          </cell>
        </row>
      </sheetData>
      <sheetData sheetId="14"/>
      <sheetData sheetId="15">
        <row r="6">
          <cell r="C6">
            <v>0</v>
          </cell>
          <cell r="D6">
            <v>0</v>
          </cell>
          <cell r="E6">
            <v>0</v>
          </cell>
          <cell r="F6">
            <v>0</v>
          </cell>
          <cell r="G6">
            <v>0</v>
          </cell>
          <cell r="H6">
            <v>0</v>
          </cell>
          <cell r="I6">
            <v>0</v>
          </cell>
          <cell r="J6">
            <v>0</v>
          </cell>
          <cell r="K6">
            <v>0</v>
          </cell>
          <cell r="L6">
            <v>0</v>
          </cell>
          <cell r="M6">
            <v>0</v>
          </cell>
          <cell r="N6">
            <v>0</v>
          </cell>
        </row>
        <row r="7">
          <cell r="C7">
            <v>0</v>
          </cell>
          <cell r="D7">
            <v>0</v>
          </cell>
          <cell r="E7">
            <v>0</v>
          </cell>
          <cell r="F7">
            <v>0</v>
          </cell>
          <cell r="G7">
            <v>0</v>
          </cell>
          <cell r="H7">
            <v>0</v>
          </cell>
          <cell r="I7">
            <v>0</v>
          </cell>
          <cell r="J7">
            <v>0</v>
          </cell>
          <cell r="K7">
            <v>0</v>
          </cell>
          <cell r="L7">
            <v>0</v>
          </cell>
          <cell r="M7">
            <v>0</v>
          </cell>
          <cell r="N7">
            <v>0</v>
          </cell>
        </row>
        <row r="8">
          <cell r="C8">
            <v>15755.5</v>
          </cell>
          <cell r="D8">
            <v>4456.25</v>
          </cell>
          <cell r="E8">
            <v>5697.5</v>
          </cell>
          <cell r="F8">
            <v>15300</v>
          </cell>
          <cell r="G8">
            <v>9905</v>
          </cell>
          <cell r="H8">
            <v>5715</v>
          </cell>
          <cell r="I8">
            <v>7330</v>
          </cell>
          <cell r="J8">
            <v>3620</v>
          </cell>
          <cell r="K8">
            <v>4312.5</v>
          </cell>
          <cell r="L8">
            <v>7125</v>
          </cell>
          <cell r="M8">
            <v>11375</v>
          </cell>
          <cell r="N8">
            <v>6225</v>
          </cell>
        </row>
        <row r="9">
          <cell r="C9">
            <v>0</v>
          </cell>
          <cell r="D9">
            <v>0</v>
          </cell>
          <cell r="E9">
            <v>0</v>
          </cell>
          <cell r="F9">
            <v>0</v>
          </cell>
          <cell r="G9">
            <v>0</v>
          </cell>
          <cell r="H9">
            <v>0</v>
          </cell>
          <cell r="I9">
            <v>0</v>
          </cell>
          <cell r="J9">
            <v>0</v>
          </cell>
          <cell r="K9">
            <v>0</v>
          </cell>
          <cell r="L9">
            <v>0</v>
          </cell>
          <cell r="M9">
            <v>0</v>
          </cell>
          <cell r="N9">
            <v>0</v>
          </cell>
        </row>
        <row r="10">
          <cell r="C10">
            <v>7777.5</v>
          </cell>
          <cell r="D10">
            <v>2956.25</v>
          </cell>
          <cell r="E10">
            <v>4197.5</v>
          </cell>
          <cell r="F10">
            <v>13800</v>
          </cell>
          <cell r="G10">
            <v>8405</v>
          </cell>
          <cell r="H10">
            <v>4215</v>
          </cell>
          <cell r="I10">
            <v>5830</v>
          </cell>
          <cell r="J10">
            <v>2120</v>
          </cell>
          <cell r="K10">
            <v>2812.5</v>
          </cell>
          <cell r="L10">
            <v>5625</v>
          </cell>
          <cell r="M10">
            <v>9875</v>
          </cell>
          <cell r="N10">
            <v>4725</v>
          </cell>
        </row>
        <row r="32">
          <cell r="C32">
            <v>0</v>
          </cell>
          <cell r="D32">
            <v>0</v>
          </cell>
          <cell r="E32">
            <v>0</v>
          </cell>
          <cell r="F32">
            <v>0</v>
          </cell>
          <cell r="G32">
            <v>0</v>
          </cell>
          <cell r="H32">
            <v>0</v>
          </cell>
          <cell r="I32">
            <v>0</v>
          </cell>
          <cell r="J32">
            <v>0</v>
          </cell>
          <cell r="K32">
            <v>0</v>
          </cell>
          <cell r="L32">
            <v>0</v>
          </cell>
          <cell r="M32">
            <v>0</v>
          </cell>
          <cell r="N32">
            <v>0</v>
          </cell>
        </row>
        <row r="33">
          <cell r="C33">
            <v>0</v>
          </cell>
          <cell r="D33">
            <v>0</v>
          </cell>
          <cell r="E33">
            <v>0</v>
          </cell>
          <cell r="F33">
            <v>0</v>
          </cell>
          <cell r="G33">
            <v>0</v>
          </cell>
          <cell r="H33">
            <v>0</v>
          </cell>
          <cell r="I33">
            <v>0</v>
          </cell>
          <cell r="J33">
            <v>0</v>
          </cell>
          <cell r="K33">
            <v>0</v>
          </cell>
          <cell r="L33">
            <v>0</v>
          </cell>
          <cell r="M33">
            <v>0</v>
          </cell>
          <cell r="N33">
            <v>0</v>
          </cell>
        </row>
        <row r="34">
          <cell r="C34">
            <v>3422.1774033237093</v>
          </cell>
          <cell r="D34">
            <v>3422.1774033237093</v>
          </cell>
          <cell r="E34">
            <v>3422.1774033237093</v>
          </cell>
          <cell r="F34">
            <v>3422.1774033237093</v>
          </cell>
          <cell r="G34">
            <v>3422.1774033237093</v>
          </cell>
          <cell r="H34">
            <v>3422.1774033237093</v>
          </cell>
          <cell r="I34">
            <v>3422.1774033237093</v>
          </cell>
          <cell r="J34">
            <v>3422.1774033237093</v>
          </cell>
          <cell r="K34">
            <v>3422.1774033237093</v>
          </cell>
          <cell r="L34">
            <v>3422.1774033237093</v>
          </cell>
          <cell r="M34">
            <v>3422.1774033237093</v>
          </cell>
          <cell r="N34">
            <v>3422.1774033237093</v>
          </cell>
        </row>
        <row r="35">
          <cell r="C35">
            <v>561.67798128057109</v>
          </cell>
          <cell r="D35">
            <v>561.67798128057109</v>
          </cell>
          <cell r="E35">
            <v>561.67798128057109</v>
          </cell>
          <cell r="F35">
            <v>561.67798128057109</v>
          </cell>
          <cell r="G35">
            <v>561.67798128057109</v>
          </cell>
          <cell r="H35">
            <v>561.67798128057109</v>
          </cell>
          <cell r="I35">
            <v>561.67798128057109</v>
          </cell>
          <cell r="J35">
            <v>561.67798128057109</v>
          </cell>
          <cell r="K35">
            <v>561.67798128057109</v>
          </cell>
          <cell r="L35">
            <v>561.67798128057109</v>
          </cell>
          <cell r="M35">
            <v>561.67798128057109</v>
          </cell>
          <cell r="N35">
            <v>561.67798128057109</v>
          </cell>
        </row>
        <row r="36">
          <cell r="C36">
            <v>561.52577820142733</v>
          </cell>
          <cell r="D36">
            <v>561.52577820142733</v>
          </cell>
          <cell r="E36">
            <v>561.52577820142733</v>
          </cell>
          <cell r="F36">
            <v>561.52577820142733</v>
          </cell>
          <cell r="G36">
            <v>561.52577820142733</v>
          </cell>
          <cell r="H36">
            <v>561.52577820142733</v>
          </cell>
          <cell r="I36">
            <v>561.52577820142733</v>
          </cell>
          <cell r="J36">
            <v>561.52577820142733</v>
          </cell>
          <cell r="K36">
            <v>561.52577820142733</v>
          </cell>
          <cell r="L36">
            <v>561.52577820142733</v>
          </cell>
          <cell r="M36">
            <v>561.52577820142733</v>
          </cell>
          <cell r="N36">
            <v>561.52577820142733</v>
          </cell>
        </row>
        <row r="41">
          <cell r="C41">
            <v>8952.5479333333333</v>
          </cell>
          <cell r="D41">
            <v>8952.5479333333333</v>
          </cell>
          <cell r="E41">
            <v>8952.5479333333333</v>
          </cell>
          <cell r="F41">
            <v>8952.5479333333333</v>
          </cell>
          <cell r="G41">
            <v>8952.5479333333333</v>
          </cell>
          <cell r="H41">
            <v>8952.5479333333333</v>
          </cell>
          <cell r="I41">
            <v>8952.5479333333333</v>
          </cell>
          <cell r="J41">
            <v>8952.5479333333333</v>
          </cell>
          <cell r="K41">
            <v>8952.5479333333333</v>
          </cell>
          <cell r="L41">
            <v>8952.5479333333333</v>
          </cell>
          <cell r="M41">
            <v>8952.5479333333333</v>
          </cell>
          <cell r="N41">
            <v>8952.5479333333333</v>
          </cell>
        </row>
        <row r="42">
          <cell r="C42">
            <v>1284.1532888888889</v>
          </cell>
          <cell r="D42">
            <v>1284.1532888888889</v>
          </cell>
          <cell r="E42">
            <v>1284.1532888888889</v>
          </cell>
          <cell r="F42">
            <v>1284.1532888888889</v>
          </cell>
          <cell r="G42">
            <v>1284.1532888888889</v>
          </cell>
          <cell r="H42">
            <v>1284.1532888888889</v>
          </cell>
          <cell r="I42">
            <v>1284.1532888888889</v>
          </cell>
          <cell r="J42">
            <v>1284.1532888888889</v>
          </cell>
          <cell r="K42">
            <v>1284.1532888888889</v>
          </cell>
          <cell r="L42">
            <v>1284.1532888888889</v>
          </cell>
          <cell r="M42">
            <v>1284.1532888888889</v>
          </cell>
          <cell r="N42">
            <v>1284.1532888888889</v>
          </cell>
        </row>
        <row r="43">
          <cell r="C43">
            <v>11083.739355555555</v>
          </cell>
          <cell r="D43">
            <v>11083.739355555555</v>
          </cell>
          <cell r="E43">
            <v>14083.739355555555</v>
          </cell>
          <cell r="F43">
            <v>16083.739355555555</v>
          </cell>
          <cell r="G43">
            <v>16083.739355555555</v>
          </cell>
          <cell r="H43">
            <v>11083.739355555555</v>
          </cell>
          <cell r="I43">
            <v>11083.739355555555</v>
          </cell>
          <cell r="J43">
            <v>11083.739355555555</v>
          </cell>
          <cell r="K43">
            <v>11083.739355555555</v>
          </cell>
          <cell r="L43">
            <v>14083.739355555555</v>
          </cell>
          <cell r="M43">
            <v>19083.739355555554</v>
          </cell>
          <cell r="N43">
            <v>11083.739355555555</v>
          </cell>
        </row>
        <row r="44">
          <cell r="C44">
            <v>124.50360000000001</v>
          </cell>
          <cell r="D44">
            <v>124.50360000000001</v>
          </cell>
          <cell r="E44">
            <v>124.50360000000001</v>
          </cell>
          <cell r="F44">
            <v>124.50360000000001</v>
          </cell>
          <cell r="G44">
            <v>124.50360000000001</v>
          </cell>
          <cell r="H44">
            <v>124.50360000000001</v>
          </cell>
          <cell r="I44">
            <v>124.50360000000001</v>
          </cell>
          <cell r="J44">
            <v>124.50360000000001</v>
          </cell>
          <cell r="K44">
            <v>124.50360000000001</v>
          </cell>
          <cell r="L44">
            <v>124.50360000000001</v>
          </cell>
          <cell r="M44">
            <v>124.50360000000001</v>
          </cell>
          <cell r="N44">
            <v>124.50360000000001</v>
          </cell>
        </row>
        <row r="45">
          <cell r="C45">
            <v>1264.3204888888893</v>
          </cell>
          <cell r="D45">
            <v>1264.3204888888893</v>
          </cell>
          <cell r="E45">
            <v>1264.3204888888893</v>
          </cell>
          <cell r="F45">
            <v>1264.3204888888893</v>
          </cell>
          <cell r="G45">
            <v>1264.3204888888893</v>
          </cell>
          <cell r="H45">
            <v>1264.3204888888893</v>
          </cell>
          <cell r="I45">
            <v>1264.3204888888893</v>
          </cell>
          <cell r="J45">
            <v>1264.3204888888893</v>
          </cell>
          <cell r="K45">
            <v>1264.3204888888893</v>
          </cell>
          <cell r="L45">
            <v>1264.3204888888893</v>
          </cell>
          <cell r="M45">
            <v>1264.3204888888893</v>
          </cell>
          <cell r="N45">
            <v>1264.3204888888893</v>
          </cell>
        </row>
        <row r="55">
          <cell r="C55">
            <v>10194</v>
          </cell>
          <cell r="D55">
            <v>6690</v>
          </cell>
          <cell r="E55">
            <v>6690</v>
          </cell>
          <cell r="F55">
            <v>6690</v>
          </cell>
          <cell r="G55">
            <v>6690</v>
          </cell>
          <cell r="H55">
            <v>6690</v>
          </cell>
          <cell r="I55">
            <v>6690</v>
          </cell>
          <cell r="J55">
            <v>6690</v>
          </cell>
          <cell r="K55">
            <v>6690</v>
          </cell>
          <cell r="L55">
            <v>6690</v>
          </cell>
          <cell r="M55">
            <v>6690</v>
          </cell>
          <cell r="N55">
            <v>6690</v>
          </cell>
        </row>
        <row r="56">
          <cell r="C56">
            <v>4604</v>
          </cell>
          <cell r="D56">
            <v>3290</v>
          </cell>
          <cell r="E56">
            <v>3290</v>
          </cell>
          <cell r="F56">
            <v>3290</v>
          </cell>
          <cell r="G56">
            <v>3290</v>
          </cell>
          <cell r="H56">
            <v>3290</v>
          </cell>
          <cell r="I56">
            <v>3290</v>
          </cell>
          <cell r="J56">
            <v>3290</v>
          </cell>
          <cell r="K56">
            <v>3290</v>
          </cell>
          <cell r="L56">
            <v>3290</v>
          </cell>
          <cell r="M56">
            <v>3290</v>
          </cell>
          <cell r="N56">
            <v>3290</v>
          </cell>
        </row>
        <row r="57">
          <cell r="C57">
            <v>8108</v>
          </cell>
          <cell r="D57">
            <v>5480</v>
          </cell>
          <cell r="E57">
            <v>5480</v>
          </cell>
          <cell r="F57">
            <v>5480</v>
          </cell>
          <cell r="G57">
            <v>5480</v>
          </cell>
          <cell r="H57">
            <v>5480</v>
          </cell>
          <cell r="I57">
            <v>5480</v>
          </cell>
          <cell r="J57">
            <v>5480</v>
          </cell>
          <cell r="K57">
            <v>5480</v>
          </cell>
          <cell r="L57">
            <v>5480</v>
          </cell>
          <cell r="M57">
            <v>5480</v>
          </cell>
          <cell r="N57">
            <v>5480</v>
          </cell>
        </row>
        <row r="58">
          <cell r="C58">
            <v>2456.5</v>
          </cell>
          <cell r="D58">
            <v>1690</v>
          </cell>
          <cell r="E58">
            <v>1690</v>
          </cell>
          <cell r="F58">
            <v>1690</v>
          </cell>
          <cell r="G58">
            <v>1690</v>
          </cell>
          <cell r="H58">
            <v>1690</v>
          </cell>
          <cell r="I58">
            <v>1690</v>
          </cell>
          <cell r="J58">
            <v>1690</v>
          </cell>
          <cell r="K58">
            <v>1690</v>
          </cell>
          <cell r="L58">
            <v>1690</v>
          </cell>
          <cell r="M58">
            <v>1690</v>
          </cell>
          <cell r="N58">
            <v>1690</v>
          </cell>
        </row>
        <row r="59">
          <cell r="C59">
            <v>9027.5</v>
          </cell>
          <cell r="D59">
            <v>6290</v>
          </cell>
          <cell r="E59">
            <v>6290</v>
          </cell>
          <cell r="F59">
            <v>6290</v>
          </cell>
          <cell r="G59">
            <v>6290</v>
          </cell>
          <cell r="H59">
            <v>6290</v>
          </cell>
          <cell r="I59">
            <v>6290</v>
          </cell>
          <cell r="J59">
            <v>6290</v>
          </cell>
          <cell r="K59">
            <v>6290</v>
          </cell>
          <cell r="L59">
            <v>6290</v>
          </cell>
          <cell r="M59">
            <v>6290</v>
          </cell>
          <cell r="N59">
            <v>6290</v>
          </cell>
        </row>
        <row r="75">
          <cell r="C75">
            <v>1500</v>
          </cell>
          <cell r="D75">
            <v>1500</v>
          </cell>
          <cell r="E75">
            <v>1500</v>
          </cell>
          <cell r="F75">
            <v>1500</v>
          </cell>
          <cell r="G75">
            <v>1500</v>
          </cell>
          <cell r="H75">
            <v>1500</v>
          </cell>
          <cell r="I75">
            <v>1500</v>
          </cell>
          <cell r="J75">
            <v>1500</v>
          </cell>
          <cell r="K75">
            <v>1500</v>
          </cell>
          <cell r="L75">
            <v>1500</v>
          </cell>
          <cell r="M75">
            <v>1500</v>
          </cell>
          <cell r="N75">
            <v>1500</v>
          </cell>
        </row>
        <row r="76">
          <cell r="C76">
            <v>750</v>
          </cell>
          <cell r="D76">
            <v>750</v>
          </cell>
          <cell r="E76">
            <v>750</v>
          </cell>
          <cell r="F76">
            <v>750</v>
          </cell>
          <cell r="G76">
            <v>750</v>
          </cell>
          <cell r="H76">
            <v>750</v>
          </cell>
          <cell r="I76">
            <v>750</v>
          </cell>
          <cell r="J76">
            <v>750</v>
          </cell>
          <cell r="K76">
            <v>750</v>
          </cell>
          <cell r="L76">
            <v>750</v>
          </cell>
          <cell r="M76">
            <v>750</v>
          </cell>
          <cell r="N76">
            <v>750</v>
          </cell>
        </row>
        <row r="77">
          <cell r="C77">
            <v>1250</v>
          </cell>
          <cell r="D77">
            <v>1250</v>
          </cell>
          <cell r="E77">
            <v>1250</v>
          </cell>
          <cell r="F77">
            <v>1250</v>
          </cell>
          <cell r="G77">
            <v>1250</v>
          </cell>
          <cell r="H77">
            <v>1250</v>
          </cell>
          <cell r="I77">
            <v>1250</v>
          </cell>
          <cell r="J77">
            <v>1250</v>
          </cell>
          <cell r="K77">
            <v>1250</v>
          </cell>
          <cell r="L77">
            <v>1250</v>
          </cell>
          <cell r="M77">
            <v>1250</v>
          </cell>
          <cell r="N77">
            <v>1250</v>
          </cell>
        </row>
        <row r="78">
          <cell r="C78">
            <v>250</v>
          </cell>
          <cell r="D78">
            <v>250</v>
          </cell>
          <cell r="E78">
            <v>250</v>
          </cell>
          <cell r="F78">
            <v>250</v>
          </cell>
          <cell r="G78">
            <v>250</v>
          </cell>
          <cell r="H78">
            <v>250</v>
          </cell>
          <cell r="I78">
            <v>250</v>
          </cell>
          <cell r="J78">
            <v>250</v>
          </cell>
          <cell r="K78">
            <v>250</v>
          </cell>
          <cell r="L78">
            <v>250</v>
          </cell>
          <cell r="M78">
            <v>250</v>
          </cell>
          <cell r="N78">
            <v>250</v>
          </cell>
        </row>
        <row r="79">
          <cell r="C79">
            <v>1000</v>
          </cell>
          <cell r="D79">
            <v>1000</v>
          </cell>
          <cell r="E79">
            <v>1000</v>
          </cell>
          <cell r="F79">
            <v>1000</v>
          </cell>
          <cell r="G79">
            <v>1000</v>
          </cell>
          <cell r="H79">
            <v>1000</v>
          </cell>
          <cell r="I79">
            <v>1000</v>
          </cell>
          <cell r="J79">
            <v>1000</v>
          </cell>
          <cell r="K79">
            <v>1000</v>
          </cell>
          <cell r="L79">
            <v>1000</v>
          </cell>
          <cell r="M79">
            <v>1000</v>
          </cell>
          <cell r="N79">
            <v>1000</v>
          </cell>
        </row>
        <row r="84">
          <cell r="C84">
            <v>5549.12</v>
          </cell>
          <cell r="D84">
            <v>4109.12</v>
          </cell>
          <cell r="E84">
            <v>3629.12</v>
          </cell>
          <cell r="F84">
            <v>3629.12</v>
          </cell>
          <cell r="G84">
            <v>3629.12</v>
          </cell>
          <cell r="H84">
            <v>4909.12</v>
          </cell>
          <cell r="I84">
            <v>3629.12</v>
          </cell>
          <cell r="J84">
            <v>3629.12</v>
          </cell>
          <cell r="K84">
            <v>3629.12</v>
          </cell>
          <cell r="L84">
            <v>4589.12</v>
          </cell>
          <cell r="M84">
            <v>5549.12</v>
          </cell>
          <cell r="N84">
            <v>8909.1200000000008</v>
          </cell>
        </row>
        <row r="85">
          <cell r="C85">
            <v>2080.92</v>
          </cell>
          <cell r="D85">
            <v>1540.9199999999998</v>
          </cell>
          <cell r="E85">
            <v>1360.9199999999998</v>
          </cell>
          <cell r="F85">
            <v>1360.9199999999998</v>
          </cell>
          <cell r="G85">
            <v>1360.9199999999998</v>
          </cell>
          <cell r="H85">
            <v>1840.9199999999998</v>
          </cell>
          <cell r="I85">
            <v>1360.9199999999998</v>
          </cell>
          <cell r="J85">
            <v>1360.9199999999998</v>
          </cell>
          <cell r="K85">
            <v>1360.9199999999998</v>
          </cell>
          <cell r="L85">
            <v>1720.9199999999998</v>
          </cell>
          <cell r="M85">
            <v>2080.92</v>
          </cell>
          <cell r="N85">
            <v>3340.92</v>
          </cell>
        </row>
        <row r="86">
          <cell r="C86">
            <v>16161.84</v>
          </cell>
          <cell r="D86">
            <v>15081.84</v>
          </cell>
          <cell r="E86">
            <v>14721.84</v>
          </cell>
          <cell r="F86">
            <v>14721.84</v>
          </cell>
          <cell r="G86">
            <v>17721.84</v>
          </cell>
          <cell r="H86">
            <v>15681.84</v>
          </cell>
          <cell r="I86">
            <v>17721.84</v>
          </cell>
          <cell r="J86">
            <v>14721.84</v>
          </cell>
          <cell r="K86">
            <v>14721.84</v>
          </cell>
          <cell r="L86">
            <v>18441.84</v>
          </cell>
          <cell r="M86">
            <v>16161.84</v>
          </cell>
          <cell r="N86">
            <v>21681.84</v>
          </cell>
        </row>
        <row r="87">
          <cell r="C87">
            <v>1213.8700000000001</v>
          </cell>
          <cell r="D87">
            <v>898.87000000000012</v>
          </cell>
          <cell r="E87">
            <v>793.87000000000012</v>
          </cell>
          <cell r="F87">
            <v>793.87000000000012</v>
          </cell>
          <cell r="G87">
            <v>793.87000000000012</v>
          </cell>
          <cell r="H87">
            <v>1073.8700000000001</v>
          </cell>
          <cell r="I87">
            <v>793.87000000000012</v>
          </cell>
          <cell r="J87">
            <v>793.87000000000012</v>
          </cell>
          <cell r="K87">
            <v>793.87000000000012</v>
          </cell>
          <cell r="L87">
            <v>1003.8700000000001</v>
          </cell>
          <cell r="M87">
            <v>1213.8700000000001</v>
          </cell>
          <cell r="N87">
            <v>1948.8700000000001</v>
          </cell>
        </row>
        <row r="88">
          <cell r="C88">
            <v>16619.945350967431</v>
          </cell>
          <cell r="D88">
            <v>15552.451815916791</v>
          </cell>
          <cell r="E88">
            <v>16440.026346529616</v>
          </cell>
          <cell r="F88">
            <v>14366.511139771295</v>
          </cell>
          <cell r="G88">
            <v>15029.059416782648</v>
          </cell>
          <cell r="H88">
            <v>14070.908137768016</v>
          </cell>
          <cell r="I88">
            <v>14429.878112932751</v>
          </cell>
          <cell r="J88">
            <v>15220.684774047741</v>
          </cell>
          <cell r="K88">
            <v>14835.779442293466</v>
          </cell>
          <cell r="L88">
            <v>17713.123848883632</v>
          </cell>
          <cell r="M88">
            <v>16345.839150026848</v>
          </cell>
          <cell r="N88">
            <v>18148.792464079794</v>
          </cell>
        </row>
        <row r="113">
          <cell r="C113">
            <v>70</v>
          </cell>
          <cell r="D113">
            <v>70</v>
          </cell>
          <cell r="E113">
            <v>70</v>
          </cell>
          <cell r="F113">
            <v>70</v>
          </cell>
          <cell r="G113">
            <v>70</v>
          </cell>
          <cell r="H113">
            <v>70</v>
          </cell>
          <cell r="I113">
            <v>70</v>
          </cell>
          <cell r="J113">
            <v>70</v>
          </cell>
          <cell r="K113">
            <v>70</v>
          </cell>
          <cell r="L113">
            <v>70</v>
          </cell>
          <cell r="M113">
            <v>70</v>
          </cell>
          <cell r="N113">
            <v>70</v>
          </cell>
        </row>
        <row r="114">
          <cell r="C114">
            <v>50</v>
          </cell>
          <cell r="D114">
            <v>50</v>
          </cell>
          <cell r="E114">
            <v>50</v>
          </cell>
          <cell r="F114">
            <v>50</v>
          </cell>
          <cell r="G114">
            <v>50</v>
          </cell>
          <cell r="H114">
            <v>50</v>
          </cell>
          <cell r="I114">
            <v>50</v>
          </cell>
          <cell r="J114">
            <v>50</v>
          </cell>
          <cell r="K114">
            <v>50</v>
          </cell>
          <cell r="L114">
            <v>50</v>
          </cell>
          <cell r="M114">
            <v>50</v>
          </cell>
          <cell r="N114">
            <v>50</v>
          </cell>
        </row>
        <row r="115">
          <cell r="C115">
            <v>5000</v>
          </cell>
          <cell r="D115">
            <v>5000</v>
          </cell>
          <cell r="E115">
            <v>5000</v>
          </cell>
          <cell r="F115">
            <v>5000</v>
          </cell>
          <cell r="G115">
            <v>5000</v>
          </cell>
          <cell r="H115">
            <v>5000</v>
          </cell>
          <cell r="I115">
            <v>5000</v>
          </cell>
          <cell r="J115">
            <v>5000</v>
          </cell>
          <cell r="K115">
            <v>5000</v>
          </cell>
          <cell r="L115">
            <v>5000</v>
          </cell>
          <cell r="M115">
            <v>5000</v>
          </cell>
          <cell r="N115">
            <v>5000</v>
          </cell>
        </row>
        <row r="116">
          <cell r="C116">
            <v>0</v>
          </cell>
          <cell r="D116">
            <v>0</v>
          </cell>
          <cell r="E116">
            <v>0</v>
          </cell>
          <cell r="F116">
            <v>0</v>
          </cell>
          <cell r="G116">
            <v>0</v>
          </cell>
          <cell r="H116">
            <v>0</v>
          </cell>
          <cell r="I116">
            <v>0</v>
          </cell>
          <cell r="J116">
            <v>0</v>
          </cell>
          <cell r="K116">
            <v>0</v>
          </cell>
          <cell r="L116">
            <v>0</v>
          </cell>
          <cell r="M116">
            <v>0</v>
          </cell>
          <cell r="N116">
            <v>0</v>
          </cell>
        </row>
        <row r="117">
          <cell r="C117">
            <v>50</v>
          </cell>
          <cell r="D117">
            <v>50</v>
          </cell>
          <cell r="E117">
            <v>50</v>
          </cell>
          <cell r="F117">
            <v>50</v>
          </cell>
          <cell r="G117">
            <v>50</v>
          </cell>
          <cell r="H117">
            <v>50</v>
          </cell>
          <cell r="I117">
            <v>50</v>
          </cell>
          <cell r="J117">
            <v>50</v>
          </cell>
          <cell r="K117">
            <v>50</v>
          </cell>
          <cell r="L117">
            <v>50</v>
          </cell>
          <cell r="M117">
            <v>50</v>
          </cell>
          <cell r="N117">
            <v>50</v>
          </cell>
        </row>
        <row r="122">
          <cell r="C122">
            <v>0</v>
          </cell>
          <cell r="D122">
            <v>0</v>
          </cell>
          <cell r="E122">
            <v>0</v>
          </cell>
          <cell r="F122">
            <v>0</v>
          </cell>
          <cell r="G122">
            <v>0</v>
          </cell>
          <cell r="H122">
            <v>0</v>
          </cell>
          <cell r="I122">
            <v>0</v>
          </cell>
          <cell r="J122">
            <v>0</v>
          </cell>
          <cell r="K122">
            <v>0</v>
          </cell>
          <cell r="L122">
            <v>0</v>
          </cell>
          <cell r="M122">
            <v>0</v>
          </cell>
          <cell r="N122">
            <v>0</v>
          </cell>
        </row>
        <row r="123">
          <cell r="C123">
            <v>0</v>
          </cell>
          <cell r="D123">
            <v>0</v>
          </cell>
          <cell r="E123">
            <v>0</v>
          </cell>
          <cell r="F123">
            <v>0</v>
          </cell>
          <cell r="G123">
            <v>0</v>
          </cell>
          <cell r="H123">
            <v>0</v>
          </cell>
          <cell r="I123">
            <v>0</v>
          </cell>
          <cell r="J123">
            <v>0</v>
          </cell>
          <cell r="K123">
            <v>0</v>
          </cell>
          <cell r="L123">
            <v>0</v>
          </cell>
          <cell r="M123">
            <v>0</v>
          </cell>
          <cell r="N123">
            <v>0</v>
          </cell>
        </row>
        <row r="124">
          <cell r="C124">
            <v>1000</v>
          </cell>
          <cell r="D124">
            <v>1000</v>
          </cell>
          <cell r="E124">
            <v>1000</v>
          </cell>
          <cell r="F124">
            <v>16000</v>
          </cell>
          <cell r="G124">
            <v>1000</v>
          </cell>
          <cell r="H124">
            <v>1000</v>
          </cell>
          <cell r="I124">
            <v>1000</v>
          </cell>
          <cell r="J124">
            <v>1000</v>
          </cell>
          <cell r="K124">
            <v>1000</v>
          </cell>
          <cell r="L124">
            <v>1000</v>
          </cell>
          <cell r="M124">
            <v>1000</v>
          </cell>
          <cell r="N124">
            <v>1000</v>
          </cell>
        </row>
        <row r="125">
          <cell r="C125">
            <v>0</v>
          </cell>
          <cell r="D125">
            <v>0</v>
          </cell>
          <cell r="E125">
            <v>0</v>
          </cell>
          <cell r="F125">
            <v>0</v>
          </cell>
          <cell r="G125">
            <v>0</v>
          </cell>
          <cell r="H125">
            <v>0</v>
          </cell>
          <cell r="I125">
            <v>0</v>
          </cell>
          <cell r="J125">
            <v>0</v>
          </cell>
          <cell r="K125">
            <v>0</v>
          </cell>
          <cell r="L125">
            <v>0</v>
          </cell>
          <cell r="M125">
            <v>0</v>
          </cell>
          <cell r="N125">
            <v>0</v>
          </cell>
        </row>
        <row r="126">
          <cell r="C126">
            <v>0</v>
          </cell>
          <cell r="D126">
            <v>0</v>
          </cell>
          <cell r="E126">
            <v>0</v>
          </cell>
          <cell r="F126">
            <v>0</v>
          </cell>
          <cell r="G126">
            <v>0</v>
          </cell>
          <cell r="H126">
            <v>0</v>
          </cell>
          <cell r="I126">
            <v>0</v>
          </cell>
          <cell r="J126">
            <v>0</v>
          </cell>
          <cell r="K126">
            <v>0</v>
          </cell>
          <cell r="L126">
            <v>0</v>
          </cell>
          <cell r="M126">
            <v>0</v>
          </cell>
          <cell r="N126">
            <v>0</v>
          </cell>
        </row>
        <row r="131">
          <cell r="C131">
            <v>595</v>
          </cell>
          <cell r="D131">
            <v>595</v>
          </cell>
          <cell r="E131">
            <v>595</v>
          </cell>
          <cell r="F131">
            <v>595</v>
          </cell>
          <cell r="G131">
            <v>595</v>
          </cell>
          <cell r="H131">
            <v>595</v>
          </cell>
          <cell r="I131">
            <v>595</v>
          </cell>
          <cell r="J131">
            <v>595</v>
          </cell>
          <cell r="K131">
            <v>595</v>
          </cell>
          <cell r="L131">
            <v>595</v>
          </cell>
          <cell r="M131">
            <v>595</v>
          </cell>
          <cell r="N131">
            <v>595</v>
          </cell>
        </row>
        <row r="132">
          <cell r="C132">
            <v>272</v>
          </cell>
          <cell r="D132">
            <v>272</v>
          </cell>
          <cell r="E132">
            <v>272</v>
          </cell>
          <cell r="F132">
            <v>272</v>
          </cell>
          <cell r="G132">
            <v>272</v>
          </cell>
          <cell r="H132">
            <v>272</v>
          </cell>
          <cell r="I132">
            <v>272</v>
          </cell>
          <cell r="J132">
            <v>272</v>
          </cell>
          <cell r="K132">
            <v>272</v>
          </cell>
          <cell r="L132">
            <v>272</v>
          </cell>
          <cell r="M132">
            <v>272</v>
          </cell>
          <cell r="N132">
            <v>272</v>
          </cell>
        </row>
        <row r="133">
          <cell r="C133">
            <v>833</v>
          </cell>
          <cell r="D133">
            <v>833</v>
          </cell>
          <cell r="E133">
            <v>833</v>
          </cell>
          <cell r="F133">
            <v>833</v>
          </cell>
          <cell r="G133">
            <v>833</v>
          </cell>
          <cell r="H133">
            <v>833</v>
          </cell>
          <cell r="I133">
            <v>833</v>
          </cell>
          <cell r="J133">
            <v>833</v>
          </cell>
          <cell r="K133">
            <v>833</v>
          </cell>
          <cell r="L133">
            <v>833</v>
          </cell>
          <cell r="M133">
            <v>833</v>
          </cell>
          <cell r="N133">
            <v>833</v>
          </cell>
        </row>
        <row r="134">
          <cell r="C134">
            <v>119</v>
          </cell>
          <cell r="D134">
            <v>119</v>
          </cell>
          <cell r="E134">
            <v>119</v>
          </cell>
          <cell r="F134">
            <v>119</v>
          </cell>
          <cell r="G134">
            <v>119</v>
          </cell>
          <cell r="H134">
            <v>119</v>
          </cell>
          <cell r="I134">
            <v>119</v>
          </cell>
          <cell r="J134">
            <v>119</v>
          </cell>
          <cell r="K134">
            <v>119</v>
          </cell>
          <cell r="L134">
            <v>119</v>
          </cell>
          <cell r="M134">
            <v>119</v>
          </cell>
          <cell r="N134">
            <v>119</v>
          </cell>
        </row>
        <row r="135">
          <cell r="C135">
            <v>484.5</v>
          </cell>
          <cell r="D135">
            <v>484.5</v>
          </cell>
          <cell r="E135">
            <v>484.5</v>
          </cell>
          <cell r="F135">
            <v>484.5</v>
          </cell>
          <cell r="G135">
            <v>484.5</v>
          </cell>
          <cell r="H135">
            <v>484.5</v>
          </cell>
          <cell r="I135">
            <v>484.5</v>
          </cell>
          <cell r="J135">
            <v>484.5</v>
          </cell>
          <cell r="K135">
            <v>484.5</v>
          </cell>
          <cell r="L135">
            <v>484.5</v>
          </cell>
          <cell r="M135">
            <v>484.5</v>
          </cell>
          <cell r="N135">
            <v>484.5</v>
          </cell>
        </row>
        <row r="140">
          <cell r="C140">
            <v>437.5</v>
          </cell>
          <cell r="D140">
            <v>437.5</v>
          </cell>
          <cell r="E140">
            <v>437.5</v>
          </cell>
          <cell r="F140">
            <v>437.5</v>
          </cell>
          <cell r="G140">
            <v>437.5</v>
          </cell>
          <cell r="H140">
            <v>437.5</v>
          </cell>
          <cell r="I140">
            <v>437.5</v>
          </cell>
          <cell r="J140">
            <v>437.5</v>
          </cell>
          <cell r="K140">
            <v>437.5</v>
          </cell>
          <cell r="L140">
            <v>437.5</v>
          </cell>
          <cell r="M140">
            <v>437.5</v>
          </cell>
          <cell r="N140">
            <v>437.5</v>
          </cell>
        </row>
        <row r="141">
          <cell r="C141">
            <v>87.5</v>
          </cell>
          <cell r="D141">
            <v>87.5</v>
          </cell>
          <cell r="E141">
            <v>87.5</v>
          </cell>
          <cell r="F141">
            <v>87.5</v>
          </cell>
          <cell r="G141">
            <v>87.5</v>
          </cell>
          <cell r="H141">
            <v>87.5</v>
          </cell>
          <cell r="I141">
            <v>87.5</v>
          </cell>
          <cell r="J141">
            <v>87.5</v>
          </cell>
          <cell r="K141">
            <v>87.5</v>
          </cell>
          <cell r="L141">
            <v>87.5</v>
          </cell>
          <cell r="M141">
            <v>87.5</v>
          </cell>
          <cell r="N141">
            <v>87.5</v>
          </cell>
        </row>
        <row r="142">
          <cell r="C142">
            <v>227.5</v>
          </cell>
          <cell r="D142">
            <v>227.5</v>
          </cell>
          <cell r="E142">
            <v>227.5</v>
          </cell>
          <cell r="F142">
            <v>227.5</v>
          </cell>
          <cell r="G142">
            <v>227.5</v>
          </cell>
          <cell r="H142">
            <v>227.5</v>
          </cell>
          <cell r="I142">
            <v>227.5</v>
          </cell>
          <cell r="J142">
            <v>227.5</v>
          </cell>
          <cell r="K142">
            <v>227.5</v>
          </cell>
          <cell r="L142">
            <v>227.5</v>
          </cell>
          <cell r="M142">
            <v>227.5</v>
          </cell>
          <cell r="N142">
            <v>227.5</v>
          </cell>
        </row>
        <row r="143">
          <cell r="C143">
            <v>30.625</v>
          </cell>
          <cell r="D143">
            <v>30.625</v>
          </cell>
          <cell r="E143">
            <v>30.625</v>
          </cell>
          <cell r="F143">
            <v>30.625</v>
          </cell>
          <cell r="G143">
            <v>30.625</v>
          </cell>
          <cell r="H143">
            <v>30.625</v>
          </cell>
          <cell r="I143">
            <v>30.625</v>
          </cell>
          <cell r="J143">
            <v>30.625</v>
          </cell>
          <cell r="K143">
            <v>30.625</v>
          </cell>
          <cell r="L143">
            <v>30.625</v>
          </cell>
          <cell r="M143">
            <v>30.625</v>
          </cell>
          <cell r="N143">
            <v>30.625</v>
          </cell>
        </row>
        <row r="144">
          <cell r="C144">
            <v>113.75</v>
          </cell>
          <cell r="D144">
            <v>113.75</v>
          </cell>
          <cell r="E144">
            <v>113.75</v>
          </cell>
          <cell r="F144">
            <v>113.75</v>
          </cell>
          <cell r="G144">
            <v>113.75</v>
          </cell>
          <cell r="H144">
            <v>113.75</v>
          </cell>
          <cell r="I144">
            <v>113.75</v>
          </cell>
          <cell r="J144">
            <v>113.75</v>
          </cell>
          <cell r="K144">
            <v>113.75</v>
          </cell>
          <cell r="L144">
            <v>113.75</v>
          </cell>
          <cell r="M144">
            <v>113.75</v>
          </cell>
          <cell r="N144">
            <v>113.75</v>
          </cell>
        </row>
        <row r="149">
          <cell r="C149">
            <v>227.92</v>
          </cell>
          <cell r="D149">
            <v>227.92</v>
          </cell>
          <cell r="E149">
            <v>227.92</v>
          </cell>
          <cell r="F149">
            <v>227.92</v>
          </cell>
          <cell r="G149">
            <v>227.92</v>
          </cell>
          <cell r="H149">
            <v>227.92</v>
          </cell>
          <cell r="I149">
            <v>227.92</v>
          </cell>
          <cell r="J149">
            <v>227.92</v>
          </cell>
          <cell r="K149">
            <v>227.92</v>
          </cell>
          <cell r="L149">
            <v>227.92</v>
          </cell>
          <cell r="M149">
            <v>227.92</v>
          </cell>
          <cell r="N149">
            <v>227.92</v>
          </cell>
        </row>
        <row r="150">
          <cell r="C150">
            <v>85.469999999999985</v>
          </cell>
          <cell r="D150">
            <v>85.469999999999985</v>
          </cell>
          <cell r="E150">
            <v>85.469999999999985</v>
          </cell>
          <cell r="F150">
            <v>85.469999999999985</v>
          </cell>
          <cell r="G150">
            <v>85.469999999999985</v>
          </cell>
          <cell r="H150">
            <v>85.469999999999985</v>
          </cell>
          <cell r="I150">
            <v>85.469999999999985</v>
          </cell>
          <cell r="J150">
            <v>85.469999999999985</v>
          </cell>
          <cell r="K150">
            <v>85.469999999999985</v>
          </cell>
          <cell r="L150">
            <v>85.469999999999985</v>
          </cell>
          <cell r="M150">
            <v>85.469999999999985</v>
          </cell>
          <cell r="N150">
            <v>85.469999999999985</v>
          </cell>
        </row>
        <row r="151">
          <cell r="C151">
            <v>170.93999999999997</v>
          </cell>
          <cell r="D151">
            <v>170.93999999999997</v>
          </cell>
          <cell r="E151">
            <v>170.93999999999997</v>
          </cell>
          <cell r="F151">
            <v>170.93999999999997</v>
          </cell>
          <cell r="G151">
            <v>170.93999999999997</v>
          </cell>
          <cell r="H151">
            <v>170.93999999999997</v>
          </cell>
          <cell r="I151">
            <v>170.93999999999997</v>
          </cell>
          <cell r="J151">
            <v>170.93999999999997</v>
          </cell>
          <cell r="K151">
            <v>170.93999999999997</v>
          </cell>
          <cell r="L151">
            <v>170.93999999999997</v>
          </cell>
          <cell r="M151">
            <v>170.93999999999997</v>
          </cell>
          <cell r="N151">
            <v>170.93999999999997</v>
          </cell>
        </row>
        <row r="152">
          <cell r="C152">
            <v>49.857500000000009</v>
          </cell>
          <cell r="D152">
            <v>49.857500000000009</v>
          </cell>
          <cell r="E152">
            <v>49.857500000000009</v>
          </cell>
          <cell r="F152">
            <v>49.857500000000009</v>
          </cell>
          <cell r="G152">
            <v>49.857500000000009</v>
          </cell>
          <cell r="H152">
            <v>49.857500000000009</v>
          </cell>
          <cell r="I152">
            <v>49.857500000000009</v>
          </cell>
          <cell r="J152">
            <v>49.857500000000009</v>
          </cell>
          <cell r="K152">
            <v>49.857500000000009</v>
          </cell>
          <cell r="L152">
            <v>49.857500000000009</v>
          </cell>
          <cell r="M152">
            <v>49.857500000000009</v>
          </cell>
          <cell r="N152">
            <v>49.857500000000009</v>
          </cell>
        </row>
        <row r="153">
          <cell r="C153">
            <v>178.0625</v>
          </cell>
          <cell r="D153">
            <v>178.0625</v>
          </cell>
          <cell r="E153">
            <v>178.0625</v>
          </cell>
          <cell r="F153">
            <v>178.0625</v>
          </cell>
          <cell r="G153">
            <v>178.0625</v>
          </cell>
          <cell r="H153">
            <v>178.0625</v>
          </cell>
          <cell r="I153">
            <v>178.0625</v>
          </cell>
          <cell r="J153">
            <v>178.0625</v>
          </cell>
          <cell r="K153">
            <v>178.0625</v>
          </cell>
          <cell r="L153">
            <v>178.0625</v>
          </cell>
          <cell r="M153">
            <v>178.0625</v>
          </cell>
          <cell r="N153">
            <v>178.0625</v>
          </cell>
        </row>
        <row r="158">
          <cell r="C158">
            <v>120</v>
          </cell>
          <cell r="D158">
            <v>120</v>
          </cell>
          <cell r="E158">
            <v>120</v>
          </cell>
          <cell r="F158">
            <v>120</v>
          </cell>
          <cell r="G158">
            <v>120</v>
          </cell>
          <cell r="H158">
            <v>120</v>
          </cell>
          <cell r="I158">
            <v>120</v>
          </cell>
          <cell r="J158">
            <v>120</v>
          </cell>
          <cell r="K158">
            <v>120</v>
          </cell>
          <cell r="L158">
            <v>120</v>
          </cell>
          <cell r="M158">
            <v>120</v>
          </cell>
          <cell r="N158">
            <v>120</v>
          </cell>
        </row>
        <row r="159">
          <cell r="C159">
            <v>45</v>
          </cell>
          <cell r="D159">
            <v>45</v>
          </cell>
          <cell r="E159">
            <v>45</v>
          </cell>
          <cell r="F159">
            <v>45</v>
          </cell>
          <cell r="G159">
            <v>45</v>
          </cell>
          <cell r="H159">
            <v>45</v>
          </cell>
          <cell r="I159">
            <v>45</v>
          </cell>
          <cell r="J159">
            <v>45</v>
          </cell>
          <cell r="K159">
            <v>45</v>
          </cell>
          <cell r="L159">
            <v>45</v>
          </cell>
          <cell r="M159">
            <v>45</v>
          </cell>
          <cell r="N159">
            <v>45</v>
          </cell>
        </row>
        <row r="160">
          <cell r="C160">
            <v>90</v>
          </cell>
          <cell r="D160">
            <v>90</v>
          </cell>
          <cell r="E160">
            <v>90</v>
          </cell>
          <cell r="F160">
            <v>90</v>
          </cell>
          <cell r="G160">
            <v>90</v>
          </cell>
          <cell r="H160">
            <v>90</v>
          </cell>
          <cell r="I160">
            <v>90</v>
          </cell>
          <cell r="J160">
            <v>90</v>
          </cell>
          <cell r="K160">
            <v>90</v>
          </cell>
          <cell r="L160">
            <v>90</v>
          </cell>
          <cell r="M160">
            <v>90</v>
          </cell>
          <cell r="N160">
            <v>90</v>
          </cell>
        </row>
        <row r="161">
          <cell r="C161">
            <v>26.250000000000004</v>
          </cell>
          <cell r="D161">
            <v>26.250000000000004</v>
          </cell>
          <cell r="E161">
            <v>26.250000000000004</v>
          </cell>
          <cell r="F161">
            <v>26.250000000000004</v>
          </cell>
          <cell r="G161">
            <v>26.250000000000004</v>
          </cell>
          <cell r="H161">
            <v>26.250000000000004</v>
          </cell>
          <cell r="I161">
            <v>26.250000000000004</v>
          </cell>
          <cell r="J161">
            <v>26.250000000000004</v>
          </cell>
          <cell r="K161">
            <v>26.250000000000004</v>
          </cell>
          <cell r="L161">
            <v>26.250000000000004</v>
          </cell>
          <cell r="M161">
            <v>26.250000000000004</v>
          </cell>
          <cell r="N161">
            <v>26.250000000000004</v>
          </cell>
        </row>
        <row r="162">
          <cell r="C162">
            <v>93.75</v>
          </cell>
          <cell r="D162">
            <v>93.75</v>
          </cell>
          <cell r="E162">
            <v>93.75</v>
          </cell>
          <cell r="F162">
            <v>93.75</v>
          </cell>
          <cell r="G162">
            <v>93.75</v>
          </cell>
          <cell r="H162">
            <v>93.75</v>
          </cell>
          <cell r="I162">
            <v>93.75</v>
          </cell>
          <cell r="J162">
            <v>93.75</v>
          </cell>
          <cell r="K162">
            <v>93.75</v>
          </cell>
          <cell r="L162">
            <v>93.75</v>
          </cell>
          <cell r="M162">
            <v>93.75</v>
          </cell>
          <cell r="N162">
            <v>93.75</v>
          </cell>
        </row>
        <row r="169">
          <cell r="C169">
            <v>1916.6666666666667</v>
          </cell>
          <cell r="D169">
            <v>1916.6666666666667</v>
          </cell>
          <cell r="E169">
            <v>1916.6666666666667</v>
          </cell>
          <cell r="F169">
            <v>1916.6666666666667</v>
          </cell>
          <cell r="G169">
            <v>1916.6666666666667</v>
          </cell>
          <cell r="H169">
            <v>1916.6666666666667</v>
          </cell>
          <cell r="I169">
            <v>1916.6666666666667</v>
          </cell>
          <cell r="J169">
            <v>1916.6666666666667</v>
          </cell>
          <cell r="K169">
            <v>1916.6666666666667</v>
          </cell>
          <cell r="L169">
            <v>1916.6666666666667</v>
          </cell>
          <cell r="M169">
            <v>1916.6666666666667</v>
          </cell>
          <cell r="N169">
            <v>1916.6666666666667</v>
          </cell>
        </row>
        <row r="170">
          <cell r="C170">
            <v>416.66666666666669</v>
          </cell>
          <cell r="D170">
            <v>416.66666666666669</v>
          </cell>
          <cell r="E170">
            <v>416.66666666666669</v>
          </cell>
          <cell r="F170">
            <v>416.66666666666669</v>
          </cell>
          <cell r="G170">
            <v>416.66666666666669</v>
          </cell>
          <cell r="H170">
            <v>416.66666666666669</v>
          </cell>
          <cell r="I170">
            <v>416.66666666666669</v>
          </cell>
          <cell r="J170">
            <v>416.66666666666669</v>
          </cell>
          <cell r="K170">
            <v>416.66666666666669</v>
          </cell>
          <cell r="L170">
            <v>416.66666666666669</v>
          </cell>
          <cell r="M170">
            <v>416.66666666666669</v>
          </cell>
          <cell r="N170">
            <v>416.66666666666669</v>
          </cell>
        </row>
        <row r="171">
          <cell r="C171">
            <v>1666.6666666666667</v>
          </cell>
          <cell r="D171">
            <v>1666.6666666666667</v>
          </cell>
          <cell r="E171">
            <v>1666.6666666666667</v>
          </cell>
          <cell r="F171">
            <v>1666.6666666666667</v>
          </cell>
          <cell r="G171">
            <v>1666.6666666666667</v>
          </cell>
          <cell r="H171">
            <v>1666.6666666666667</v>
          </cell>
          <cell r="I171">
            <v>1666.6666666666667</v>
          </cell>
          <cell r="J171">
            <v>1666.6666666666667</v>
          </cell>
          <cell r="K171">
            <v>1666.6666666666667</v>
          </cell>
          <cell r="L171">
            <v>1666.6666666666667</v>
          </cell>
          <cell r="M171">
            <v>1666.6666666666667</v>
          </cell>
          <cell r="N171">
            <v>1666.6666666666667</v>
          </cell>
        </row>
        <row r="172">
          <cell r="C172">
            <v>166.66666666666666</v>
          </cell>
          <cell r="D172">
            <v>166.66666666666666</v>
          </cell>
          <cell r="E172">
            <v>166.66666666666666</v>
          </cell>
          <cell r="F172">
            <v>166.66666666666666</v>
          </cell>
          <cell r="G172">
            <v>166.66666666666666</v>
          </cell>
          <cell r="H172">
            <v>166.66666666666666</v>
          </cell>
          <cell r="I172">
            <v>166.66666666666666</v>
          </cell>
          <cell r="J172">
            <v>166.66666666666666</v>
          </cell>
          <cell r="K172">
            <v>166.66666666666666</v>
          </cell>
          <cell r="L172">
            <v>166.66666666666666</v>
          </cell>
          <cell r="M172">
            <v>166.66666666666666</v>
          </cell>
          <cell r="N172">
            <v>166.66666666666666</v>
          </cell>
        </row>
        <row r="173">
          <cell r="C173">
            <v>333.33333333333331</v>
          </cell>
          <cell r="D173">
            <v>333.33333333333331</v>
          </cell>
          <cell r="E173">
            <v>333.33333333333331</v>
          </cell>
          <cell r="F173">
            <v>333.33333333333331</v>
          </cell>
          <cell r="G173">
            <v>333.33333333333331</v>
          </cell>
          <cell r="H173">
            <v>333.33333333333331</v>
          </cell>
          <cell r="I173">
            <v>333.33333333333331</v>
          </cell>
          <cell r="J173">
            <v>333.33333333333331</v>
          </cell>
          <cell r="K173">
            <v>333.33333333333331</v>
          </cell>
          <cell r="L173">
            <v>333.33333333333331</v>
          </cell>
          <cell r="M173">
            <v>333.33333333333331</v>
          </cell>
          <cell r="N173">
            <v>333.33333333333331</v>
          </cell>
        </row>
        <row r="181">
          <cell r="C181">
            <v>2814.8933450917157</v>
          </cell>
          <cell r="D181">
            <v>2848.5113413270478</v>
          </cell>
          <cell r="E181">
            <v>3886.4260291018004</v>
          </cell>
          <cell r="F181">
            <v>4126.9453945062978</v>
          </cell>
          <cell r="G181">
            <v>4393.2604985450807</v>
          </cell>
          <cell r="H181">
            <v>3970.1321055074304</v>
          </cell>
          <cell r="I181">
            <v>3764.2586023400909</v>
          </cell>
          <cell r="J181">
            <v>3649.3021509956943</v>
          </cell>
          <cell r="K181">
            <v>3805.8496167836875</v>
          </cell>
          <cell r="L181">
            <v>3815.2392310537534</v>
          </cell>
          <cell r="M181">
            <v>3943.5460114820748</v>
          </cell>
          <cell r="N181">
            <v>2949.0245751043112</v>
          </cell>
        </row>
        <row r="182">
          <cell r="C182">
            <v>640.8534683431119</v>
          </cell>
          <cell r="D182">
            <v>648.50711871097565</v>
          </cell>
          <cell r="E182">
            <v>884.80425183842488</v>
          </cell>
          <cell r="F182">
            <v>939.56215937759464</v>
          </cell>
          <cell r="G182">
            <v>1000.1928608544387</v>
          </cell>
          <cell r="H182">
            <v>903.86121876737752</v>
          </cell>
          <cell r="I182">
            <v>856.99097099234598</v>
          </cell>
          <cell r="J182">
            <v>830.81937884981221</v>
          </cell>
          <cell r="K182">
            <v>866.45980074554529</v>
          </cell>
          <cell r="L182">
            <v>868.59748986327622</v>
          </cell>
          <cell r="M182">
            <v>897.80848835201243</v>
          </cell>
          <cell r="N182">
            <v>671.39049174990771</v>
          </cell>
        </row>
        <row r="183">
          <cell r="C183">
            <v>1479.5694461102762</v>
          </cell>
          <cell r="D183">
            <v>1497.2397994669952</v>
          </cell>
          <cell r="E183">
            <v>2042.7904372481134</v>
          </cell>
          <cell r="F183">
            <v>2169.212670925579</v>
          </cell>
          <cell r="G183">
            <v>2309.1937084524639</v>
          </cell>
          <cell r="H183">
            <v>2086.7881799403885</v>
          </cell>
          <cell r="I183">
            <v>1978.57656844853</v>
          </cell>
          <cell r="J183">
            <v>1918.1529458842833</v>
          </cell>
          <cell r="K183">
            <v>2000.4377143817417</v>
          </cell>
          <cell r="L183">
            <v>2005.3731008001917</v>
          </cell>
          <cell r="M183">
            <v>2072.8139480285754</v>
          </cell>
          <cell r="N183">
            <v>1550.0717513012958</v>
          </cell>
        </row>
        <row r="184">
          <cell r="C184">
            <v>161.34198666220036</v>
          </cell>
          <cell r="D184">
            <v>163.26887824751336</v>
          </cell>
          <cell r="E184">
            <v>222.75930903184553</v>
          </cell>
          <cell r="F184">
            <v>236.5452211385186</v>
          </cell>
          <cell r="G184">
            <v>251.80967442186946</v>
          </cell>
          <cell r="H184">
            <v>227.5571123612439</v>
          </cell>
          <cell r="I184">
            <v>215.75700630747684</v>
          </cell>
          <cell r="J184">
            <v>209.16801696907714</v>
          </cell>
          <cell r="K184">
            <v>218.14088948703917</v>
          </cell>
          <cell r="L184">
            <v>218.67907649258444</v>
          </cell>
          <cell r="M184">
            <v>226.03327017549344</v>
          </cell>
          <cell r="N184">
            <v>169.03002186304082</v>
          </cell>
        </row>
        <row r="185">
          <cell r="C185">
            <v>1246.9878464862741</v>
          </cell>
          <cell r="D185">
            <v>1261.8805005194286</v>
          </cell>
          <cell r="E185">
            <v>1721.6730548630967</v>
          </cell>
          <cell r="F185">
            <v>1828.2222873684677</v>
          </cell>
          <cell r="G185">
            <v>1946.1989413156423</v>
          </cell>
          <cell r="H185">
            <v>1758.7545521556597</v>
          </cell>
          <cell r="I185">
            <v>1667.553314705272</v>
          </cell>
          <cell r="J185">
            <v>1616.6280112824588</v>
          </cell>
          <cell r="K185">
            <v>1685.9779877482606</v>
          </cell>
          <cell r="L185">
            <v>1690.1375538285822</v>
          </cell>
          <cell r="M185">
            <v>1746.977006056811</v>
          </cell>
          <cell r="N185">
            <v>1306.407509384554</v>
          </cell>
        </row>
        <row r="193">
          <cell r="C193">
            <v>25440</v>
          </cell>
          <cell r="D193">
            <v>25440</v>
          </cell>
          <cell r="E193">
            <v>25440</v>
          </cell>
          <cell r="F193">
            <v>25440</v>
          </cell>
          <cell r="G193">
            <v>25440</v>
          </cell>
          <cell r="H193">
            <v>25440</v>
          </cell>
          <cell r="I193">
            <v>25440</v>
          </cell>
          <cell r="J193">
            <v>25440</v>
          </cell>
          <cell r="K193">
            <v>25440</v>
          </cell>
          <cell r="L193">
            <v>25440</v>
          </cell>
          <cell r="M193">
            <v>25440</v>
          </cell>
          <cell r="N193">
            <v>25440</v>
          </cell>
        </row>
        <row r="194">
          <cell r="C194">
            <v>9540</v>
          </cell>
          <cell r="D194">
            <v>9540</v>
          </cell>
          <cell r="E194">
            <v>9540</v>
          </cell>
          <cell r="F194">
            <v>9540</v>
          </cell>
          <cell r="G194">
            <v>9540</v>
          </cell>
          <cell r="H194">
            <v>9540</v>
          </cell>
          <cell r="I194">
            <v>9540</v>
          </cell>
          <cell r="J194">
            <v>9540</v>
          </cell>
          <cell r="K194">
            <v>9540</v>
          </cell>
          <cell r="L194">
            <v>9540</v>
          </cell>
          <cell r="M194">
            <v>9540</v>
          </cell>
          <cell r="N194">
            <v>9540</v>
          </cell>
        </row>
        <row r="195">
          <cell r="C195">
            <v>19080</v>
          </cell>
          <cell r="D195">
            <v>19080</v>
          </cell>
          <cell r="E195">
            <v>19080</v>
          </cell>
          <cell r="F195">
            <v>19080</v>
          </cell>
          <cell r="G195">
            <v>19080</v>
          </cell>
          <cell r="H195">
            <v>19080</v>
          </cell>
          <cell r="I195">
            <v>19080</v>
          </cell>
          <cell r="J195">
            <v>19080</v>
          </cell>
          <cell r="K195">
            <v>19080</v>
          </cell>
          <cell r="L195">
            <v>19080</v>
          </cell>
          <cell r="M195">
            <v>19080</v>
          </cell>
          <cell r="N195">
            <v>19080</v>
          </cell>
        </row>
        <row r="196">
          <cell r="C196">
            <v>5565</v>
          </cell>
          <cell r="D196">
            <v>5565</v>
          </cell>
          <cell r="E196">
            <v>5565</v>
          </cell>
          <cell r="F196">
            <v>5565</v>
          </cell>
          <cell r="G196">
            <v>5565</v>
          </cell>
          <cell r="H196">
            <v>5565</v>
          </cell>
          <cell r="I196">
            <v>5565</v>
          </cell>
          <cell r="J196">
            <v>5565</v>
          </cell>
          <cell r="K196">
            <v>5565</v>
          </cell>
          <cell r="L196">
            <v>5565</v>
          </cell>
          <cell r="M196">
            <v>5565</v>
          </cell>
          <cell r="N196">
            <v>5565</v>
          </cell>
        </row>
        <row r="197">
          <cell r="C197">
            <v>19875</v>
          </cell>
          <cell r="D197">
            <v>19875</v>
          </cell>
          <cell r="E197">
            <v>19875</v>
          </cell>
          <cell r="F197">
            <v>19875</v>
          </cell>
          <cell r="G197">
            <v>19875</v>
          </cell>
          <cell r="H197">
            <v>19875</v>
          </cell>
          <cell r="I197">
            <v>19875</v>
          </cell>
          <cell r="J197">
            <v>19875</v>
          </cell>
          <cell r="K197">
            <v>19875</v>
          </cell>
          <cell r="L197">
            <v>19875</v>
          </cell>
          <cell r="M197">
            <v>19875</v>
          </cell>
          <cell r="N197">
            <v>19875</v>
          </cell>
        </row>
        <row r="206">
          <cell r="C206">
            <v>5120</v>
          </cell>
          <cell r="D206">
            <v>5120</v>
          </cell>
          <cell r="E206">
            <v>5120</v>
          </cell>
          <cell r="F206">
            <v>5120</v>
          </cell>
          <cell r="G206">
            <v>5120</v>
          </cell>
          <cell r="H206">
            <v>5120</v>
          </cell>
          <cell r="I206">
            <v>5120</v>
          </cell>
          <cell r="J206">
            <v>5120</v>
          </cell>
          <cell r="K206">
            <v>5120</v>
          </cell>
          <cell r="L206">
            <v>5120</v>
          </cell>
          <cell r="M206">
            <v>5120</v>
          </cell>
          <cell r="N206">
            <v>5120</v>
          </cell>
        </row>
        <row r="207">
          <cell r="C207">
            <v>1920</v>
          </cell>
          <cell r="D207">
            <v>1920</v>
          </cell>
          <cell r="E207">
            <v>1920</v>
          </cell>
          <cell r="F207">
            <v>1920</v>
          </cell>
          <cell r="G207">
            <v>1920</v>
          </cell>
          <cell r="H207">
            <v>1920</v>
          </cell>
          <cell r="I207">
            <v>1920</v>
          </cell>
          <cell r="J207">
            <v>1920</v>
          </cell>
          <cell r="K207">
            <v>1920</v>
          </cell>
          <cell r="L207">
            <v>1920</v>
          </cell>
          <cell r="M207">
            <v>1920</v>
          </cell>
          <cell r="N207">
            <v>1920</v>
          </cell>
        </row>
        <row r="208">
          <cell r="C208">
            <v>3840</v>
          </cell>
          <cell r="D208">
            <v>3840</v>
          </cell>
          <cell r="E208">
            <v>3840</v>
          </cell>
          <cell r="F208">
            <v>3840</v>
          </cell>
          <cell r="G208">
            <v>3840</v>
          </cell>
          <cell r="H208">
            <v>3840</v>
          </cell>
          <cell r="I208">
            <v>3840</v>
          </cell>
          <cell r="J208">
            <v>3840</v>
          </cell>
          <cell r="K208">
            <v>3840</v>
          </cell>
          <cell r="L208">
            <v>3840</v>
          </cell>
          <cell r="M208">
            <v>3840</v>
          </cell>
          <cell r="N208">
            <v>3840</v>
          </cell>
        </row>
        <row r="209">
          <cell r="C209">
            <v>1120.0000000000002</v>
          </cell>
          <cell r="D209">
            <v>1120.0000000000002</v>
          </cell>
          <cell r="E209">
            <v>1120.0000000000002</v>
          </cell>
          <cell r="F209">
            <v>1120.0000000000002</v>
          </cell>
          <cell r="G209">
            <v>1120.0000000000002</v>
          </cell>
          <cell r="H209">
            <v>1120.0000000000002</v>
          </cell>
          <cell r="I209">
            <v>1120.0000000000002</v>
          </cell>
          <cell r="J209">
            <v>1120.0000000000002</v>
          </cell>
          <cell r="K209">
            <v>1120.0000000000002</v>
          </cell>
          <cell r="L209">
            <v>1120.0000000000002</v>
          </cell>
          <cell r="M209">
            <v>1120.0000000000002</v>
          </cell>
          <cell r="N209">
            <v>1120.0000000000002</v>
          </cell>
        </row>
        <row r="210">
          <cell r="C210">
            <v>4000</v>
          </cell>
          <cell r="D210">
            <v>4000</v>
          </cell>
          <cell r="E210">
            <v>4000</v>
          </cell>
          <cell r="F210">
            <v>4000</v>
          </cell>
          <cell r="G210">
            <v>4000</v>
          </cell>
          <cell r="H210">
            <v>4000</v>
          </cell>
          <cell r="I210">
            <v>4000</v>
          </cell>
          <cell r="J210">
            <v>4000</v>
          </cell>
          <cell r="K210">
            <v>4000</v>
          </cell>
          <cell r="L210">
            <v>4000</v>
          </cell>
          <cell r="M210">
            <v>4000</v>
          </cell>
          <cell r="N210">
            <v>4000</v>
          </cell>
        </row>
        <row r="215">
          <cell r="C215">
            <v>480</v>
          </cell>
          <cell r="D215">
            <v>480</v>
          </cell>
          <cell r="E215">
            <v>480</v>
          </cell>
          <cell r="F215">
            <v>480</v>
          </cell>
          <cell r="G215">
            <v>480</v>
          </cell>
          <cell r="H215">
            <v>480</v>
          </cell>
          <cell r="I215">
            <v>480</v>
          </cell>
          <cell r="J215">
            <v>480</v>
          </cell>
          <cell r="K215">
            <v>480</v>
          </cell>
          <cell r="L215">
            <v>480</v>
          </cell>
          <cell r="M215">
            <v>480</v>
          </cell>
          <cell r="N215">
            <v>480</v>
          </cell>
        </row>
        <row r="216">
          <cell r="C216">
            <v>180</v>
          </cell>
          <cell r="D216">
            <v>180</v>
          </cell>
          <cell r="E216">
            <v>180</v>
          </cell>
          <cell r="F216">
            <v>180</v>
          </cell>
          <cell r="G216">
            <v>180</v>
          </cell>
          <cell r="H216">
            <v>180</v>
          </cell>
          <cell r="I216">
            <v>180</v>
          </cell>
          <cell r="J216">
            <v>180</v>
          </cell>
          <cell r="K216">
            <v>180</v>
          </cell>
          <cell r="L216">
            <v>180</v>
          </cell>
          <cell r="M216">
            <v>180</v>
          </cell>
          <cell r="N216">
            <v>180</v>
          </cell>
        </row>
        <row r="217">
          <cell r="C217">
            <v>360</v>
          </cell>
          <cell r="D217">
            <v>360</v>
          </cell>
          <cell r="E217">
            <v>360</v>
          </cell>
          <cell r="F217">
            <v>360</v>
          </cell>
          <cell r="G217">
            <v>360</v>
          </cell>
          <cell r="H217">
            <v>360</v>
          </cell>
          <cell r="I217">
            <v>360</v>
          </cell>
          <cell r="J217">
            <v>360</v>
          </cell>
          <cell r="K217">
            <v>360</v>
          </cell>
          <cell r="L217">
            <v>360</v>
          </cell>
          <cell r="M217">
            <v>360</v>
          </cell>
          <cell r="N217">
            <v>360</v>
          </cell>
        </row>
        <row r="218">
          <cell r="C218">
            <v>105.00000000000001</v>
          </cell>
          <cell r="D218">
            <v>105.00000000000001</v>
          </cell>
          <cell r="E218">
            <v>105.00000000000001</v>
          </cell>
          <cell r="F218">
            <v>105.00000000000001</v>
          </cell>
          <cell r="G218">
            <v>105.00000000000001</v>
          </cell>
          <cell r="H218">
            <v>105.00000000000001</v>
          </cell>
          <cell r="I218">
            <v>105.00000000000001</v>
          </cell>
          <cell r="J218">
            <v>105.00000000000001</v>
          </cell>
          <cell r="K218">
            <v>105.00000000000001</v>
          </cell>
          <cell r="L218">
            <v>105.00000000000001</v>
          </cell>
          <cell r="M218">
            <v>105.00000000000001</v>
          </cell>
          <cell r="N218">
            <v>105.00000000000001</v>
          </cell>
        </row>
        <row r="219">
          <cell r="C219">
            <v>375</v>
          </cell>
          <cell r="D219">
            <v>375</v>
          </cell>
          <cell r="E219">
            <v>375</v>
          </cell>
          <cell r="F219">
            <v>375</v>
          </cell>
          <cell r="G219">
            <v>375</v>
          </cell>
          <cell r="H219">
            <v>375</v>
          </cell>
          <cell r="I219">
            <v>375</v>
          </cell>
          <cell r="J219">
            <v>375</v>
          </cell>
          <cell r="K219">
            <v>375</v>
          </cell>
          <cell r="L219">
            <v>375</v>
          </cell>
          <cell r="M219">
            <v>375</v>
          </cell>
          <cell r="N219">
            <v>375</v>
          </cell>
        </row>
        <row r="227">
          <cell r="C227">
            <v>1390.16</v>
          </cell>
          <cell r="D227">
            <v>1390.16</v>
          </cell>
          <cell r="E227">
            <v>1390.16</v>
          </cell>
          <cell r="F227">
            <v>1390.16</v>
          </cell>
          <cell r="G227">
            <v>1390.16</v>
          </cell>
          <cell r="H227">
            <v>1390.16</v>
          </cell>
          <cell r="I227">
            <v>1390.16</v>
          </cell>
          <cell r="J227">
            <v>1390.16</v>
          </cell>
          <cell r="K227">
            <v>1390.16</v>
          </cell>
          <cell r="L227">
            <v>1390.16</v>
          </cell>
          <cell r="M227">
            <v>1390.16</v>
          </cell>
          <cell r="N227">
            <v>1390.16</v>
          </cell>
        </row>
        <row r="228">
          <cell r="C228">
            <v>521.30999999999995</v>
          </cell>
          <cell r="D228">
            <v>521.30999999999995</v>
          </cell>
          <cell r="E228">
            <v>521.30999999999995</v>
          </cell>
          <cell r="F228">
            <v>521.30999999999995</v>
          </cell>
          <cell r="G228">
            <v>521.30999999999995</v>
          </cell>
          <cell r="H228">
            <v>521.30999999999995</v>
          </cell>
          <cell r="I228">
            <v>521.30999999999995</v>
          </cell>
          <cell r="J228">
            <v>521.30999999999995</v>
          </cell>
          <cell r="K228">
            <v>521.30999999999995</v>
          </cell>
          <cell r="L228">
            <v>521.30999999999995</v>
          </cell>
          <cell r="M228">
            <v>521.30999999999995</v>
          </cell>
          <cell r="N228">
            <v>521.30999999999995</v>
          </cell>
        </row>
        <row r="229">
          <cell r="C229">
            <v>1042.6199999999999</v>
          </cell>
          <cell r="D229">
            <v>1042.6199999999999</v>
          </cell>
          <cell r="E229">
            <v>1042.6199999999999</v>
          </cell>
          <cell r="F229">
            <v>1042.6199999999999</v>
          </cell>
          <cell r="G229">
            <v>1042.6199999999999</v>
          </cell>
          <cell r="H229">
            <v>1042.6199999999999</v>
          </cell>
          <cell r="I229">
            <v>1042.6199999999999</v>
          </cell>
          <cell r="J229">
            <v>1042.6199999999999</v>
          </cell>
          <cell r="K229">
            <v>1042.6199999999999</v>
          </cell>
          <cell r="L229">
            <v>1042.6199999999999</v>
          </cell>
          <cell r="M229">
            <v>1042.6199999999999</v>
          </cell>
          <cell r="N229">
            <v>1042.6199999999999</v>
          </cell>
        </row>
        <row r="230">
          <cell r="C230">
            <v>304.09750000000003</v>
          </cell>
          <cell r="D230">
            <v>304.09750000000003</v>
          </cell>
          <cell r="E230">
            <v>304.09750000000003</v>
          </cell>
          <cell r="F230">
            <v>304.09750000000003</v>
          </cell>
          <cell r="G230">
            <v>304.09750000000003</v>
          </cell>
          <cell r="H230">
            <v>304.09750000000003</v>
          </cell>
          <cell r="I230">
            <v>304.09750000000003</v>
          </cell>
          <cell r="J230">
            <v>304.09750000000003</v>
          </cell>
          <cell r="K230">
            <v>304.09750000000003</v>
          </cell>
          <cell r="L230">
            <v>304.09750000000003</v>
          </cell>
          <cell r="M230">
            <v>304.09750000000003</v>
          </cell>
          <cell r="N230">
            <v>304.09750000000003</v>
          </cell>
        </row>
        <row r="231">
          <cell r="C231">
            <v>1086.0625</v>
          </cell>
          <cell r="D231">
            <v>1086.0625</v>
          </cell>
          <cell r="E231">
            <v>1086.0625</v>
          </cell>
          <cell r="F231">
            <v>1086.0625</v>
          </cell>
          <cell r="G231">
            <v>1086.0625</v>
          </cell>
          <cell r="H231">
            <v>1086.0625</v>
          </cell>
          <cell r="I231">
            <v>1086.0625</v>
          </cell>
          <cell r="J231">
            <v>1086.0625</v>
          </cell>
          <cell r="K231">
            <v>1086.0625</v>
          </cell>
          <cell r="L231">
            <v>1086.0625</v>
          </cell>
          <cell r="M231">
            <v>1086.0625</v>
          </cell>
          <cell r="N231">
            <v>1086.0625</v>
          </cell>
        </row>
        <row r="237">
          <cell r="C237">
            <v>2410.6666666666665</v>
          </cell>
          <cell r="D237">
            <v>2410.6666666666665</v>
          </cell>
          <cell r="E237">
            <v>2410.6666666666665</v>
          </cell>
          <cell r="F237">
            <v>2410.6666666666665</v>
          </cell>
          <cell r="G237">
            <v>2410.6666666666665</v>
          </cell>
          <cell r="H237">
            <v>2410.6666666666665</v>
          </cell>
          <cell r="I237">
            <v>2410.6666666666665</v>
          </cell>
          <cell r="J237">
            <v>2410.6666666666665</v>
          </cell>
          <cell r="K237">
            <v>2410.6666666666665</v>
          </cell>
          <cell r="L237">
            <v>2410.6666666666665</v>
          </cell>
          <cell r="M237">
            <v>2410.6666666666665</v>
          </cell>
          <cell r="N237">
            <v>2410.6666666666665</v>
          </cell>
        </row>
        <row r="238">
          <cell r="C238">
            <v>904</v>
          </cell>
          <cell r="D238">
            <v>904</v>
          </cell>
          <cell r="E238">
            <v>904</v>
          </cell>
          <cell r="F238">
            <v>904</v>
          </cell>
          <cell r="G238">
            <v>904</v>
          </cell>
          <cell r="H238">
            <v>904</v>
          </cell>
          <cell r="I238">
            <v>904</v>
          </cell>
          <cell r="J238">
            <v>904</v>
          </cell>
          <cell r="K238">
            <v>904</v>
          </cell>
          <cell r="L238">
            <v>904</v>
          </cell>
          <cell r="M238">
            <v>904</v>
          </cell>
          <cell r="N238">
            <v>904</v>
          </cell>
        </row>
        <row r="239">
          <cell r="C239">
            <v>1808</v>
          </cell>
          <cell r="D239">
            <v>1808</v>
          </cell>
          <cell r="E239">
            <v>1808</v>
          </cell>
          <cell r="F239">
            <v>1808</v>
          </cell>
          <cell r="G239">
            <v>1808</v>
          </cell>
          <cell r="H239">
            <v>1808</v>
          </cell>
          <cell r="I239">
            <v>1808</v>
          </cell>
          <cell r="J239">
            <v>1808</v>
          </cell>
          <cell r="K239">
            <v>1808</v>
          </cell>
          <cell r="L239">
            <v>1808</v>
          </cell>
          <cell r="M239">
            <v>1808</v>
          </cell>
          <cell r="N239">
            <v>1808</v>
          </cell>
        </row>
        <row r="240">
          <cell r="C240">
            <v>527.33333333333337</v>
          </cell>
          <cell r="D240">
            <v>527.33333333333337</v>
          </cell>
          <cell r="E240">
            <v>527.33333333333337</v>
          </cell>
          <cell r="F240">
            <v>527.33333333333337</v>
          </cell>
          <cell r="G240">
            <v>527.33333333333337</v>
          </cell>
          <cell r="H240">
            <v>527.33333333333337</v>
          </cell>
          <cell r="I240">
            <v>527.33333333333337</v>
          </cell>
          <cell r="J240">
            <v>527.33333333333337</v>
          </cell>
          <cell r="K240">
            <v>527.33333333333337</v>
          </cell>
          <cell r="L240">
            <v>527.33333333333337</v>
          </cell>
          <cell r="M240">
            <v>527.33333333333337</v>
          </cell>
          <cell r="N240">
            <v>527.33333333333337</v>
          </cell>
        </row>
        <row r="241">
          <cell r="C241">
            <v>1883.3333333333333</v>
          </cell>
          <cell r="D241">
            <v>1883.3333333333333</v>
          </cell>
          <cell r="E241">
            <v>1883.3333333333333</v>
          </cell>
          <cell r="F241">
            <v>1883.3333333333333</v>
          </cell>
          <cell r="G241">
            <v>1883.3333333333333</v>
          </cell>
          <cell r="H241">
            <v>1883.3333333333333</v>
          </cell>
          <cell r="I241">
            <v>1883.3333333333333</v>
          </cell>
          <cell r="J241">
            <v>1883.3333333333333</v>
          </cell>
          <cell r="K241">
            <v>1883.3333333333333</v>
          </cell>
          <cell r="L241">
            <v>1883.3333333333333</v>
          </cell>
          <cell r="M241">
            <v>1883.3333333333333</v>
          </cell>
          <cell r="N241">
            <v>1883.3333333333333</v>
          </cell>
        </row>
        <row r="250">
          <cell r="C250">
            <v>2215.6227616983956</v>
          </cell>
          <cell r="D250">
            <v>885.50281174224835</v>
          </cell>
          <cell r="E250">
            <v>885.50281174224835</v>
          </cell>
          <cell r="F250">
            <v>885.50281174224835</v>
          </cell>
          <cell r="G250">
            <v>885.50281174224835</v>
          </cell>
          <cell r="H250">
            <v>885.50281174224835</v>
          </cell>
          <cell r="I250">
            <v>885.50281174224835</v>
          </cell>
          <cell r="J250">
            <v>885.50281174224835</v>
          </cell>
          <cell r="K250">
            <v>885.50281174224835</v>
          </cell>
          <cell r="L250">
            <v>885.50281174224835</v>
          </cell>
          <cell r="M250">
            <v>885.50281174224835</v>
          </cell>
          <cell r="N250">
            <v>885.50281174224835</v>
          </cell>
        </row>
        <row r="251">
          <cell r="C251">
            <v>830.71183437622062</v>
          </cell>
          <cell r="D251">
            <v>332.00492331277036</v>
          </cell>
          <cell r="E251">
            <v>332.00492331277036</v>
          </cell>
          <cell r="F251">
            <v>332.00492331277036</v>
          </cell>
          <cell r="G251">
            <v>332.00492331277036</v>
          </cell>
          <cell r="H251">
            <v>332.00492331277036</v>
          </cell>
          <cell r="I251">
            <v>332.00492331277036</v>
          </cell>
          <cell r="J251">
            <v>332.00492331277036</v>
          </cell>
          <cell r="K251">
            <v>332.00492331277036</v>
          </cell>
          <cell r="L251">
            <v>332.00492331277036</v>
          </cell>
          <cell r="M251">
            <v>332.00492331277036</v>
          </cell>
          <cell r="N251">
            <v>332.00492331277036</v>
          </cell>
        </row>
        <row r="252">
          <cell r="C252">
            <v>1661.4236687524412</v>
          </cell>
          <cell r="D252">
            <v>664.00984662554072</v>
          </cell>
          <cell r="E252">
            <v>664.00984662554072</v>
          </cell>
          <cell r="F252">
            <v>664.00984662554072</v>
          </cell>
          <cell r="G252">
            <v>664.00984662554072</v>
          </cell>
          <cell r="H252">
            <v>664.00984662554072</v>
          </cell>
          <cell r="I252">
            <v>664.00984662554072</v>
          </cell>
          <cell r="J252">
            <v>664.00984662554072</v>
          </cell>
          <cell r="K252">
            <v>664.00984662554072</v>
          </cell>
          <cell r="L252">
            <v>664.00984662554072</v>
          </cell>
          <cell r="M252">
            <v>664.00984662554072</v>
          </cell>
          <cell r="N252">
            <v>664.00984662554072</v>
          </cell>
        </row>
        <row r="253">
          <cell r="C253">
            <v>484.75199180430565</v>
          </cell>
          <cell r="D253">
            <v>193.73751667514242</v>
          </cell>
          <cell r="E253">
            <v>193.73751667514242</v>
          </cell>
          <cell r="F253">
            <v>193.73751667514242</v>
          </cell>
          <cell r="G253">
            <v>193.73751667514242</v>
          </cell>
          <cell r="H253">
            <v>193.73751667514242</v>
          </cell>
          <cell r="I253">
            <v>193.73751667514242</v>
          </cell>
          <cell r="J253">
            <v>193.73751667514242</v>
          </cell>
          <cell r="K253">
            <v>193.73751667514242</v>
          </cell>
          <cell r="L253">
            <v>193.73751667514242</v>
          </cell>
          <cell r="M253">
            <v>193.73751667514242</v>
          </cell>
          <cell r="N253">
            <v>193.73751667514242</v>
          </cell>
        </row>
        <row r="254">
          <cell r="C254">
            <v>1730.8197433686366</v>
          </cell>
          <cell r="D254">
            <v>691.74490164429801</v>
          </cell>
          <cell r="E254">
            <v>691.74490164429801</v>
          </cell>
          <cell r="F254">
            <v>691.74490164429801</v>
          </cell>
          <cell r="G254">
            <v>691.74490164429801</v>
          </cell>
          <cell r="H254">
            <v>691.74490164429801</v>
          </cell>
          <cell r="I254">
            <v>691.74490164429801</v>
          </cell>
          <cell r="J254">
            <v>691.74490164429801</v>
          </cell>
          <cell r="K254">
            <v>691.74490164429801</v>
          </cell>
          <cell r="L254">
            <v>691.74490164429801</v>
          </cell>
          <cell r="M254">
            <v>691.74490164429801</v>
          </cell>
          <cell r="N254">
            <v>691.74490164429801</v>
          </cell>
        </row>
        <row r="266">
          <cell r="C266">
            <v>0</v>
          </cell>
          <cell r="D266">
            <v>0</v>
          </cell>
          <cell r="E266">
            <v>0</v>
          </cell>
          <cell r="F266">
            <v>0</v>
          </cell>
          <cell r="G266">
            <v>0</v>
          </cell>
          <cell r="H266">
            <v>0</v>
          </cell>
          <cell r="I266">
            <v>0</v>
          </cell>
          <cell r="J266">
            <v>0</v>
          </cell>
          <cell r="K266">
            <v>0</v>
          </cell>
          <cell r="L266">
            <v>0</v>
          </cell>
          <cell r="M266">
            <v>0</v>
          </cell>
          <cell r="N266">
            <v>0</v>
          </cell>
        </row>
        <row r="267">
          <cell r="C267">
            <v>0</v>
          </cell>
          <cell r="D267">
            <v>0</v>
          </cell>
          <cell r="E267">
            <v>0</v>
          </cell>
          <cell r="F267">
            <v>0</v>
          </cell>
          <cell r="G267">
            <v>0</v>
          </cell>
          <cell r="H267">
            <v>0</v>
          </cell>
          <cell r="I267">
            <v>0</v>
          </cell>
          <cell r="J267">
            <v>0</v>
          </cell>
          <cell r="K267">
            <v>0</v>
          </cell>
          <cell r="L267">
            <v>0</v>
          </cell>
          <cell r="M267">
            <v>0</v>
          </cell>
          <cell r="N267">
            <v>0</v>
          </cell>
        </row>
        <row r="268">
          <cell r="C268">
            <v>1364.5623407645369</v>
          </cell>
          <cell r="D268">
            <v>1364.5623407645369</v>
          </cell>
          <cell r="E268">
            <v>1364.5623407645369</v>
          </cell>
          <cell r="F268">
            <v>1364.5623407645369</v>
          </cell>
          <cell r="G268">
            <v>1364.5623407645369</v>
          </cell>
          <cell r="H268">
            <v>1364.5623407645369</v>
          </cell>
          <cell r="I268">
            <v>1364.5623407645369</v>
          </cell>
          <cell r="J268">
            <v>1364.5623407645369</v>
          </cell>
          <cell r="K268">
            <v>1364.5623407645369</v>
          </cell>
          <cell r="L268">
            <v>1364.5623407645369</v>
          </cell>
          <cell r="M268">
            <v>1364.5623407645369</v>
          </cell>
          <cell r="N268">
            <v>1364.5623407645369</v>
          </cell>
        </row>
        <row r="269">
          <cell r="C269">
            <v>0</v>
          </cell>
          <cell r="D269">
            <v>0</v>
          </cell>
          <cell r="E269">
            <v>0</v>
          </cell>
          <cell r="F269">
            <v>0</v>
          </cell>
          <cell r="G269">
            <v>0</v>
          </cell>
          <cell r="H269">
            <v>0</v>
          </cell>
          <cell r="I269">
            <v>0</v>
          </cell>
          <cell r="J269">
            <v>0</v>
          </cell>
          <cell r="K269">
            <v>0</v>
          </cell>
          <cell r="L269">
            <v>0</v>
          </cell>
          <cell r="M269">
            <v>0</v>
          </cell>
          <cell r="N269">
            <v>0</v>
          </cell>
        </row>
        <row r="270">
          <cell r="C270">
            <v>0</v>
          </cell>
          <cell r="D270">
            <v>0</v>
          </cell>
          <cell r="E270">
            <v>0</v>
          </cell>
          <cell r="F270">
            <v>0</v>
          </cell>
          <cell r="G270">
            <v>0</v>
          </cell>
          <cell r="H270">
            <v>0</v>
          </cell>
          <cell r="I270">
            <v>0</v>
          </cell>
          <cell r="J270">
            <v>0</v>
          </cell>
          <cell r="K270">
            <v>0</v>
          </cell>
          <cell r="L270">
            <v>0</v>
          </cell>
          <cell r="M270">
            <v>0</v>
          </cell>
          <cell r="N270">
            <v>0</v>
          </cell>
        </row>
        <row r="275">
          <cell r="C275">
            <v>0</v>
          </cell>
          <cell r="D275">
            <v>0</v>
          </cell>
          <cell r="E275">
            <v>0</v>
          </cell>
          <cell r="F275">
            <v>0</v>
          </cell>
          <cell r="G275">
            <v>0</v>
          </cell>
          <cell r="H275">
            <v>0</v>
          </cell>
          <cell r="I275">
            <v>0</v>
          </cell>
          <cell r="J275">
            <v>0</v>
          </cell>
          <cell r="K275">
            <v>0</v>
          </cell>
          <cell r="L275">
            <v>0</v>
          </cell>
          <cell r="M275">
            <v>0</v>
          </cell>
          <cell r="N275">
            <v>0</v>
          </cell>
        </row>
        <row r="276">
          <cell r="C276">
            <v>0</v>
          </cell>
          <cell r="D276">
            <v>0</v>
          </cell>
          <cell r="E276">
            <v>0</v>
          </cell>
          <cell r="F276">
            <v>0</v>
          </cell>
          <cell r="G276">
            <v>0</v>
          </cell>
          <cell r="H276">
            <v>0</v>
          </cell>
          <cell r="I276">
            <v>0</v>
          </cell>
          <cell r="J276">
            <v>0</v>
          </cell>
          <cell r="K276">
            <v>0</v>
          </cell>
          <cell r="L276">
            <v>0</v>
          </cell>
          <cell r="M276">
            <v>0</v>
          </cell>
          <cell r="N276">
            <v>0</v>
          </cell>
        </row>
        <row r="277">
          <cell r="C277">
            <v>1250</v>
          </cell>
          <cell r="D277">
            <v>1250</v>
          </cell>
          <cell r="E277">
            <v>1250</v>
          </cell>
          <cell r="F277">
            <v>1250</v>
          </cell>
          <cell r="G277">
            <v>1250</v>
          </cell>
          <cell r="H277">
            <v>1250</v>
          </cell>
          <cell r="I277">
            <v>1250</v>
          </cell>
          <cell r="J277">
            <v>1250</v>
          </cell>
          <cell r="K277">
            <v>1250</v>
          </cell>
          <cell r="L277">
            <v>1250</v>
          </cell>
          <cell r="M277">
            <v>1250</v>
          </cell>
          <cell r="N277">
            <v>1250</v>
          </cell>
        </row>
        <row r="278">
          <cell r="C278">
            <v>0</v>
          </cell>
          <cell r="D278">
            <v>0</v>
          </cell>
          <cell r="E278">
            <v>0</v>
          </cell>
          <cell r="F278">
            <v>0</v>
          </cell>
          <cell r="G278">
            <v>0</v>
          </cell>
          <cell r="H278">
            <v>0</v>
          </cell>
          <cell r="I278">
            <v>0</v>
          </cell>
          <cell r="J278">
            <v>0</v>
          </cell>
          <cell r="K278">
            <v>0</v>
          </cell>
          <cell r="L278">
            <v>0</v>
          </cell>
          <cell r="M278">
            <v>0</v>
          </cell>
          <cell r="N278">
            <v>0</v>
          </cell>
        </row>
        <row r="279">
          <cell r="C279">
            <v>0</v>
          </cell>
          <cell r="D279">
            <v>0</v>
          </cell>
          <cell r="E279">
            <v>0</v>
          </cell>
          <cell r="F279">
            <v>0</v>
          </cell>
          <cell r="G279">
            <v>0</v>
          </cell>
          <cell r="H279">
            <v>0</v>
          </cell>
          <cell r="I279">
            <v>0</v>
          </cell>
          <cell r="J279">
            <v>0</v>
          </cell>
          <cell r="K279">
            <v>0</v>
          </cell>
          <cell r="L279">
            <v>0</v>
          </cell>
          <cell r="M279">
            <v>0</v>
          </cell>
          <cell r="N279">
            <v>0</v>
          </cell>
        </row>
        <row r="288">
          <cell r="C288">
            <v>9516.6666666666661</v>
          </cell>
          <cell r="D288">
            <v>9516.6666666666661</v>
          </cell>
          <cell r="E288">
            <v>9516.6666666666661</v>
          </cell>
          <cell r="F288">
            <v>9516.6666666666661</v>
          </cell>
          <cell r="G288">
            <v>9516.6666666666661</v>
          </cell>
          <cell r="H288">
            <v>9516.6666666666661</v>
          </cell>
          <cell r="I288">
            <v>9516.6666666666661</v>
          </cell>
          <cell r="J288">
            <v>9516.6666666666661</v>
          </cell>
          <cell r="K288">
            <v>9516.6666666666661</v>
          </cell>
          <cell r="L288">
            <v>9516.6666666666661</v>
          </cell>
          <cell r="M288">
            <v>9516.6666666666661</v>
          </cell>
          <cell r="N288">
            <v>9516.6666666666661</v>
          </cell>
        </row>
      </sheetData>
      <sheetData sheetId="16"/>
      <sheetData sheetId="17">
        <row r="35">
          <cell r="E35">
            <v>13</v>
          </cell>
          <cell r="F35">
            <v>14</v>
          </cell>
          <cell r="G35">
            <v>20</v>
          </cell>
          <cell r="H35">
            <v>21</v>
          </cell>
          <cell r="I35">
            <v>22</v>
          </cell>
          <cell r="J35">
            <v>19</v>
          </cell>
          <cell r="K35">
            <v>17</v>
          </cell>
          <cell r="L35">
            <v>16</v>
          </cell>
          <cell r="M35">
            <v>15</v>
          </cell>
          <cell r="N35">
            <v>15</v>
          </cell>
          <cell r="O35">
            <v>13</v>
          </cell>
          <cell r="P35">
            <v>12</v>
          </cell>
        </row>
        <row r="36">
          <cell r="E36">
            <v>32</v>
          </cell>
          <cell r="F36">
            <v>34</v>
          </cell>
          <cell r="G36">
            <v>50</v>
          </cell>
          <cell r="H36">
            <v>51</v>
          </cell>
          <cell r="I36">
            <v>53</v>
          </cell>
          <cell r="J36">
            <v>48</v>
          </cell>
          <cell r="K36">
            <v>43</v>
          </cell>
          <cell r="L36">
            <v>39</v>
          </cell>
          <cell r="M36">
            <v>38</v>
          </cell>
          <cell r="N36">
            <v>37</v>
          </cell>
          <cell r="O36">
            <v>33</v>
          </cell>
          <cell r="P36">
            <v>28</v>
          </cell>
        </row>
        <row r="37">
          <cell r="E37">
            <v>3</v>
          </cell>
          <cell r="F37">
            <v>3</v>
          </cell>
          <cell r="G37">
            <v>4</v>
          </cell>
          <cell r="H37">
            <v>4</v>
          </cell>
          <cell r="I37">
            <v>4</v>
          </cell>
          <cell r="J37">
            <v>4</v>
          </cell>
          <cell r="K37">
            <v>4</v>
          </cell>
          <cell r="L37">
            <v>3</v>
          </cell>
          <cell r="M37">
            <v>3</v>
          </cell>
          <cell r="N37">
            <v>3</v>
          </cell>
          <cell r="O37">
            <v>3</v>
          </cell>
          <cell r="P37">
            <v>2</v>
          </cell>
        </row>
        <row r="38">
          <cell r="E38">
            <v>3</v>
          </cell>
          <cell r="F38">
            <v>4</v>
          </cell>
          <cell r="G38">
            <v>5</v>
          </cell>
          <cell r="H38">
            <v>5</v>
          </cell>
          <cell r="I38">
            <v>5</v>
          </cell>
          <cell r="J38">
            <v>5</v>
          </cell>
          <cell r="K38">
            <v>4</v>
          </cell>
          <cell r="L38">
            <v>4</v>
          </cell>
          <cell r="M38">
            <v>4</v>
          </cell>
          <cell r="N38">
            <v>4</v>
          </cell>
          <cell r="O38">
            <v>3</v>
          </cell>
          <cell r="P38">
            <v>3</v>
          </cell>
        </row>
        <row r="49">
          <cell r="E49">
            <v>19326.536800440124</v>
          </cell>
          <cell r="F49">
            <v>21410.771161271903</v>
          </cell>
          <cell r="G49">
            <v>23826.588261326917</v>
          </cell>
          <cell r="H49">
            <v>24229.224444669424</v>
          </cell>
          <cell r="I49">
            <v>23945.010668192364</v>
          </cell>
          <cell r="J49">
            <v>22618.67971129941</v>
          </cell>
          <cell r="K49">
            <v>21434.455642644993</v>
          </cell>
          <cell r="L49">
            <v>20723.92120145234</v>
          </cell>
          <cell r="M49">
            <v>20463.39190634837</v>
          </cell>
          <cell r="N49">
            <v>19871.279872021158</v>
          </cell>
          <cell r="O49">
            <v>18710.740284739826</v>
          </cell>
          <cell r="P49">
            <v>18232.313761003439</v>
          </cell>
        </row>
        <row r="53">
          <cell r="E53">
            <v>23912.172638538159</v>
          </cell>
          <cell r="F53">
            <v>25751.570533810325</v>
          </cell>
          <cell r="G53">
            <v>36787.95790544332</v>
          </cell>
          <cell r="H53">
            <v>38627.355800715486</v>
          </cell>
          <cell r="I53">
            <v>40466.753695987652</v>
          </cell>
          <cell r="J53">
            <v>34948.560010171153</v>
          </cell>
          <cell r="K53">
            <v>31269.764219626824</v>
          </cell>
          <cell r="L53">
            <v>29430.366324354658</v>
          </cell>
          <cell r="M53">
            <v>27590.968429082492</v>
          </cell>
          <cell r="N53">
            <v>27590.968429082492</v>
          </cell>
          <cell r="O53">
            <v>23912.172638538159</v>
          </cell>
          <cell r="P53">
            <v>22072.774743265993</v>
          </cell>
        </row>
        <row r="54">
          <cell r="E54">
            <v>79692.514012278785</v>
          </cell>
          <cell r="F54">
            <v>84673.296138046207</v>
          </cell>
          <cell r="G54">
            <v>124519.5531441856</v>
          </cell>
          <cell r="H54">
            <v>127009.94420706932</v>
          </cell>
          <cell r="I54">
            <v>131990.72633283673</v>
          </cell>
          <cell r="J54">
            <v>119538.77101841818</v>
          </cell>
          <cell r="K54">
            <v>107086.81570399961</v>
          </cell>
          <cell r="L54">
            <v>97125.25145246477</v>
          </cell>
          <cell r="M54">
            <v>94634.860389581052</v>
          </cell>
          <cell r="N54">
            <v>92144.469326697348</v>
          </cell>
          <cell r="O54">
            <v>82182.905075162504</v>
          </cell>
          <cell r="P54">
            <v>69730.949760743941</v>
          </cell>
        </row>
        <row r="55">
          <cell r="E55">
            <v>4574.4736097562682</v>
          </cell>
          <cell r="F55">
            <v>4574.4736097562682</v>
          </cell>
          <cell r="G55">
            <v>6099.2981463416909</v>
          </cell>
          <cell r="H55">
            <v>6099.2981463416909</v>
          </cell>
          <cell r="I55">
            <v>6099.2981463416909</v>
          </cell>
          <cell r="J55">
            <v>6099.2981463416909</v>
          </cell>
          <cell r="K55">
            <v>6099.2981463416909</v>
          </cell>
          <cell r="L55">
            <v>4574.4736097562682</v>
          </cell>
          <cell r="M55">
            <v>4574.4736097562682</v>
          </cell>
          <cell r="N55">
            <v>4574.4736097562682</v>
          </cell>
          <cell r="O55">
            <v>4574.4736097562682</v>
          </cell>
          <cell r="P55">
            <v>3049.6490731708454</v>
          </cell>
        </row>
        <row r="56">
          <cell r="E56">
            <v>3902.0553900000004</v>
          </cell>
          <cell r="F56">
            <v>5202.7405200000003</v>
          </cell>
          <cell r="G56">
            <v>6503.4256500000001</v>
          </cell>
          <cell r="H56">
            <v>6503.4256500000001</v>
          </cell>
          <cell r="I56">
            <v>6503.4256500000001</v>
          </cell>
          <cell r="J56">
            <v>6503.4256500000001</v>
          </cell>
          <cell r="K56">
            <v>5202.7405200000003</v>
          </cell>
          <cell r="L56">
            <v>5202.7405200000003</v>
          </cell>
          <cell r="M56">
            <v>5202.7405200000003</v>
          </cell>
          <cell r="N56">
            <v>5202.7405200000003</v>
          </cell>
          <cell r="O56">
            <v>3902.0553900000004</v>
          </cell>
          <cell r="P56">
            <v>3902.0553900000004</v>
          </cell>
        </row>
        <row r="57">
          <cell r="E57">
            <v>6607.929515418502</v>
          </cell>
          <cell r="F57">
            <v>7048.4581497797362</v>
          </cell>
          <cell r="G57">
            <v>10279.00146842878</v>
          </cell>
          <cell r="H57">
            <v>10425.844346549193</v>
          </cell>
          <cell r="I57">
            <v>10866.372980910426</v>
          </cell>
          <cell r="J57">
            <v>9838.4728340675483</v>
          </cell>
          <cell r="K57">
            <v>8810.5726872246705</v>
          </cell>
          <cell r="L57">
            <v>8076.358296622614</v>
          </cell>
          <cell r="M57">
            <v>7782.6725403817909</v>
          </cell>
          <cell r="N57">
            <v>7635.8296622613798</v>
          </cell>
          <cell r="O57">
            <v>6754.7723935389131</v>
          </cell>
          <cell r="P57">
            <v>5873.7151248164464</v>
          </cell>
        </row>
        <row r="60">
          <cell r="E60">
            <v>2377394.8341759224</v>
          </cell>
          <cell r="F60">
            <v>2560324.3607109338</v>
          </cell>
          <cell r="G60">
            <v>3684432.777128791</v>
          </cell>
          <cell r="H60">
            <v>3774495.5264300373</v>
          </cell>
          <cell r="I60">
            <v>3914068.8819650481</v>
          </cell>
          <cell r="J60">
            <v>3544859.4215937797</v>
          </cell>
          <cell r="K60">
            <v>3172845.9332899912</v>
          </cell>
          <cell r="L60">
            <v>2888981.6780147222</v>
          </cell>
          <cell r="M60">
            <v>2798918.9287134763</v>
          </cell>
          <cell r="N60">
            <v>2749408.3224797109</v>
          </cell>
          <cell r="O60">
            <v>2426905.4404096878</v>
          </cell>
          <cell r="P60">
            <v>2093530.5789006527</v>
          </cell>
        </row>
        <row r="64">
          <cell r="E64">
            <v>21842.399999999998</v>
          </cell>
          <cell r="F64">
            <v>23207.55</v>
          </cell>
          <cell r="G64">
            <v>33673.699999999997</v>
          </cell>
          <cell r="H64">
            <v>34583.799999999996</v>
          </cell>
          <cell r="I64">
            <v>35948.949999999997</v>
          </cell>
          <cell r="J64">
            <v>32308.549999999996</v>
          </cell>
          <cell r="K64">
            <v>29123.199999999997</v>
          </cell>
          <cell r="L64">
            <v>26392.899999999998</v>
          </cell>
          <cell r="M64">
            <v>25482.799999999996</v>
          </cell>
          <cell r="N64">
            <v>25027.749999999996</v>
          </cell>
          <cell r="O64">
            <v>22297.449999999997</v>
          </cell>
          <cell r="P64">
            <v>19112.099999999999</v>
          </cell>
        </row>
        <row r="65">
          <cell r="E65">
            <v>62754.401846134992</v>
          </cell>
          <cell r="F65">
            <v>68211.306354494562</v>
          </cell>
          <cell r="G65">
            <v>100952.73340465195</v>
          </cell>
          <cell r="H65">
            <v>103681.18565883172</v>
          </cell>
          <cell r="I65">
            <v>107773.86404010141</v>
          </cell>
          <cell r="J65">
            <v>96860.055023382272</v>
          </cell>
          <cell r="K65">
            <v>85946.246006663147</v>
          </cell>
          <cell r="L65">
            <v>77760.889244123799</v>
          </cell>
          <cell r="M65">
            <v>75032.436989944021</v>
          </cell>
          <cell r="N65">
            <v>73668.210862854117</v>
          </cell>
          <cell r="O65">
            <v>64118.627973224888</v>
          </cell>
          <cell r="P65">
            <v>54569.045083595651</v>
          </cell>
        </row>
        <row r="66">
          <cell r="G66">
            <v>20000</v>
          </cell>
          <cell r="J66">
            <v>20000</v>
          </cell>
          <cell r="M66">
            <v>20000</v>
          </cell>
          <cell r="P66">
            <v>20000</v>
          </cell>
        </row>
        <row r="67">
          <cell r="G67">
            <v>35000</v>
          </cell>
          <cell r="J67">
            <v>35000</v>
          </cell>
          <cell r="M67">
            <v>35000</v>
          </cell>
          <cell r="P67">
            <v>35000</v>
          </cell>
        </row>
        <row r="74">
          <cell r="E74">
            <v>35661.928225654774</v>
          </cell>
          <cell r="F74">
            <v>37854.561816435467</v>
          </cell>
          <cell r="G74">
            <v>52355.763408412065</v>
          </cell>
          <cell r="H74">
            <v>53524.806427114156</v>
          </cell>
          <cell r="I74">
            <v>56716.255032794841</v>
          </cell>
          <cell r="J74">
            <v>50514.31480273138</v>
          </cell>
          <cell r="K74">
            <v>47157.827019291399</v>
          </cell>
          <cell r="L74">
            <v>42209.864614775433</v>
          </cell>
          <cell r="M74">
            <v>41040.821596073351</v>
          </cell>
          <cell r="N74">
            <v>41718.416009094755</v>
          </cell>
          <cell r="O74">
            <v>36334.333812633369</v>
          </cell>
          <cell r="P74">
            <v>33413.965821138816</v>
          </cell>
        </row>
        <row r="79">
          <cell r="E79">
            <v>2400</v>
          </cell>
          <cell r="F79">
            <v>2550</v>
          </cell>
          <cell r="G79">
            <v>3700</v>
          </cell>
          <cell r="H79">
            <v>3800</v>
          </cell>
          <cell r="I79">
            <v>3950</v>
          </cell>
          <cell r="J79">
            <v>3550</v>
          </cell>
          <cell r="K79">
            <v>3200</v>
          </cell>
          <cell r="L79">
            <v>2900</v>
          </cell>
          <cell r="M79">
            <v>2800</v>
          </cell>
          <cell r="N79">
            <v>2750</v>
          </cell>
          <cell r="O79">
            <v>2450</v>
          </cell>
          <cell r="P79">
            <v>2100</v>
          </cell>
        </row>
        <row r="80">
          <cell r="E80">
            <v>54240</v>
          </cell>
          <cell r="F80">
            <v>57630</v>
          </cell>
          <cell r="G80">
            <v>83620</v>
          </cell>
          <cell r="H80">
            <v>85880</v>
          </cell>
          <cell r="I80">
            <v>89270</v>
          </cell>
          <cell r="J80">
            <v>80230</v>
          </cell>
          <cell r="K80">
            <v>72320</v>
          </cell>
          <cell r="L80">
            <v>65540</v>
          </cell>
          <cell r="M80">
            <v>63280</v>
          </cell>
          <cell r="N80">
            <v>62150</v>
          </cell>
          <cell r="O80">
            <v>55370</v>
          </cell>
          <cell r="P80">
            <v>47460</v>
          </cell>
        </row>
        <row r="81">
          <cell r="E81">
            <v>960</v>
          </cell>
          <cell r="F81">
            <v>1020</v>
          </cell>
          <cell r="G81">
            <v>1480</v>
          </cell>
          <cell r="H81">
            <v>1520</v>
          </cell>
          <cell r="I81">
            <v>1580</v>
          </cell>
          <cell r="J81">
            <v>1420</v>
          </cell>
          <cell r="K81">
            <v>1280</v>
          </cell>
          <cell r="L81">
            <v>1160</v>
          </cell>
          <cell r="M81">
            <v>1120</v>
          </cell>
          <cell r="N81">
            <v>1100</v>
          </cell>
          <cell r="O81">
            <v>980</v>
          </cell>
          <cell r="P81">
            <v>840</v>
          </cell>
        </row>
        <row r="85">
          <cell r="E85">
            <v>11520</v>
          </cell>
          <cell r="F85">
            <v>12240</v>
          </cell>
          <cell r="G85">
            <v>17760</v>
          </cell>
          <cell r="H85">
            <v>18240</v>
          </cell>
          <cell r="I85">
            <v>18960</v>
          </cell>
          <cell r="J85">
            <v>17040</v>
          </cell>
          <cell r="K85">
            <v>15360</v>
          </cell>
          <cell r="L85">
            <v>13920</v>
          </cell>
          <cell r="M85">
            <v>13440</v>
          </cell>
          <cell r="N85">
            <v>13200</v>
          </cell>
          <cell r="O85">
            <v>11760</v>
          </cell>
          <cell r="P85">
            <v>10080</v>
          </cell>
        </row>
        <row r="91">
          <cell r="E91">
            <v>5520</v>
          </cell>
          <cell r="F91">
            <v>5865</v>
          </cell>
          <cell r="G91">
            <v>8510</v>
          </cell>
          <cell r="H91">
            <v>8740</v>
          </cell>
          <cell r="I91">
            <v>9085</v>
          </cell>
          <cell r="J91">
            <v>8165</v>
          </cell>
          <cell r="K91">
            <v>7360</v>
          </cell>
          <cell r="L91">
            <v>6670</v>
          </cell>
          <cell r="M91">
            <v>6440</v>
          </cell>
          <cell r="N91">
            <v>6325</v>
          </cell>
          <cell r="O91">
            <v>5635</v>
          </cell>
          <cell r="P91">
            <v>4830</v>
          </cell>
        </row>
        <row r="97">
          <cell r="E97">
            <v>480</v>
          </cell>
          <cell r="F97">
            <v>510</v>
          </cell>
          <cell r="G97">
            <v>740</v>
          </cell>
          <cell r="H97">
            <v>760</v>
          </cell>
          <cell r="I97">
            <v>790</v>
          </cell>
          <cell r="J97">
            <v>710</v>
          </cell>
          <cell r="K97">
            <v>640</v>
          </cell>
          <cell r="L97">
            <v>580</v>
          </cell>
          <cell r="M97">
            <v>560</v>
          </cell>
          <cell r="N97">
            <v>550</v>
          </cell>
          <cell r="O97">
            <v>490</v>
          </cell>
          <cell r="P97">
            <v>420</v>
          </cell>
        </row>
        <row r="103">
          <cell r="E103">
            <v>5760</v>
          </cell>
          <cell r="F103">
            <v>6120</v>
          </cell>
          <cell r="G103">
            <v>8880</v>
          </cell>
          <cell r="H103">
            <v>9120</v>
          </cell>
          <cell r="I103">
            <v>9480</v>
          </cell>
          <cell r="J103">
            <v>8520</v>
          </cell>
          <cell r="K103">
            <v>7680</v>
          </cell>
          <cell r="L103">
            <v>6960</v>
          </cell>
          <cell r="M103">
            <v>6720</v>
          </cell>
          <cell r="N103">
            <v>6600</v>
          </cell>
          <cell r="O103">
            <v>5880</v>
          </cell>
          <cell r="P103">
            <v>5040</v>
          </cell>
        </row>
        <row r="111">
          <cell r="E111">
            <v>8158.5</v>
          </cell>
          <cell r="F111">
            <v>3132.5</v>
          </cell>
          <cell r="G111">
            <v>-317.5</v>
          </cell>
          <cell r="H111">
            <v>11382.5</v>
          </cell>
          <cell r="I111">
            <v>-1067.5</v>
          </cell>
          <cell r="J111">
            <v>132.5</v>
          </cell>
          <cell r="K111">
            <v>1182.5</v>
          </cell>
          <cell r="L111">
            <v>2082.5</v>
          </cell>
          <cell r="M111">
            <v>2382.5</v>
          </cell>
          <cell r="N111">
            <v>2532.5</v>
          </cell>
          <cell r="O111">
            <v>15432.5</v>
          </cell>
          <cell r="P111">
            <v>4482.5</v>
          </cell>
        </row>
      </sheetData>
      <sheetData sheetId="18">
        <row r="18">
          <cell r="E18">
            <v>20</v>
          </cell>
          <cell r="F18">
            <v>21</v>
          </cell>
          <cell r="G18">
            <v>31</v>
          </cell>
          <cell r="H18">
            <v>31</v>
          </cell>
          <cell r="I18">
            <v>33</v>
          </cell>
          <cell r="J18">
            <v>31</v>
          </cell>
          <cell r="K18">
            <v>30</v>
          </cell>
          <cell r="L18">
            <v>29</v>
          </cell>
          <cell r="M18">
            <v>29</v>
          </cell>
          <cell r="N18">
            <v>28</v>
          </cell>
          <cell r="O18">
            <v>25</v>
          </cell>
          <cell r="P18">
            <v>21</v>
          </cell>
        </row>
        <row r="19">
          <cell r="E19">
            <v>6</v>
          </cell>
          <cell r="F19">
            <v>6</v>
          </cell>
          <cell r="G19">
            <v>9</v>
          </cell>
          <cell r="H19">
            <v>10</v>
          </cell>
          <cell r="I19">
            <v>10</v>
          </cell>
          <cell r="J19">
            <v>10</v>
          </cell>
          <cell r="K19">
            <v>9</v>
          </cell>
          <cell r="L19">
            <v>9</v>
          </cell>
          <cell r="M19">
            <v>9</v>
          </cell>
          <cell r="N19">
            <v>9</v>
          </cell>
          <cell r="O19">
            <v>8</v>
          </cell>
          <cell r="P19">
            <v>7</v>
          </cell>
        </row>
        <row r="20">
          <cell r="E20">
            <v>6</v>
          </cell>
          <cell r="F20">
            <v>6</v>
          </cell>
          <cell r="G20">
            <v>9</v>
          </cell>
          <cell r="H20">
            <v>10</v>
          </cell>
          <cell r="I20">
            <v>10</v>
          </cell>
          <cell r="J20">
            <v>10</v>
          </cell>
          <cell r="K20">
            <v>9</v>
          </cell>
          <cell r="L20">
            <v>9</v>
          </cell>
          <cell r="M20">
            <v>9</v>
          </cell>
          <cell r="N20">
            <v>9</v>
          </cell>
          <cell r="O20">
            <v>8</v>
          </cell>
          <cell r="P20">
            <v>7</v>
          </cell>
        </row>
        <row r="21">
          <cell r="E21">
            <v>16</v>
          </cell>
          <cell r="F21">
            <v>9</v>
          </cell>
          <cell r="G21">
            <v>9</v>
          </cell>
          <cell r="H21">
            <v>16</v>
          </cell>
          <cell r="I21">
            <v>22</v>
          </cell>
          <cell r="J21">
            <v>39</v>
          </cell>
          <cell r="K21">
            <v>44</v>
          </cell>
          <cell r="L21">
            <v>43</v>
          </cell>
          <cell r="M21">
            <v>33</v>
          </cell>
          <cell r="N21">
            <v>45</v>
          </cell>
          <cell r="O21">
            <v>34</v>
          </cell>
          <cell r="P21">
            <v>30</v>
          </cell>
        </row>
        <row r="32">
          <cell r="E32">
            <v>0</v>
          </cell>
          <cell r="F32">
            <v>0</v>
          </cell>
          <cell r="G32">
            <v>0</v>
          </cell>
          <cell r="H32">
            <v>0</v>
          </cell>
          <cell r="I32">
            <v>0</v>
          </cell>
          <cell r="J32">
            <v>0</v>
          </cell>
          <cell r="K32">
            <v>0</v>
          </cell>
          <cell r="L32">
            <v>0</v>
          </cell>
          <cell r="M32">
            <v>0</v>
          </cell>
          <cell r="N32">
            <v>0</v>
          </cell>
          <cell r="O32">
            <v>0</v>
          </cell>
          <cell r="P32">
            <v>0</v>
          </cell>
        </row>
        <row r="34">
          <cell r="E34">
            <v>0</v>
          </cell>
          <cell r="F34">
            <v>0</v>
          </cell>
          <cell r="G34">
            <v>0</v>
          </cell>
          <cell r="H34">
            <v>0</v>
          </cell>
          <cell r="I34">
            <v>0</v>
          </cell>
          <cell r="J34">
            <v>0</v>
          </cell>
          <cell r="K34">
            <v>0</v>
          </cell>
          <cell r="L34">
            <v>0</v>
          </cell>
          <cell r="M34">
            <v>0</v>
          </cell>
          <cell r="N34">
            <v>0</v>
          </cell>
          <cell r="O34">
            <v>0</v>
          </cell>
          <cell r="P34">
            <v>0</v>
          </cell>
        </row>
        <row r="40">
          <cell r="E40">
            <v>30000</v>
          </cell>
          <cell r="F40">
            <v>31500</v>
          </cell>
          <cell r="G40">
            <v>46500</v>
          </cell>
          <cell r="H40">
            <v>46500</v>
          </cell>
          <cell r="I40">
            <v>49500</v>
          </cell>
          <cell r="J40">
            <v>46500</v>
          </cell>
          <cell r="K40">
            <v>45000</v>
          </cell>
          <cell r="L40">
            <v>43500</v>
          </cell>
          <cell r="M40">
            <v>43500</v>
          </cell>
          <cell r="N40">
            <v>42000</v>
          </cell>
          <cell r="O40">
            <v>37500</v>
          </cell>
          <cell r="P40">
            <v>31500</v>
          </cell>
        </row>
        <row r="42">
          <cell r="E42">
            <v>9000</v>
          </cell>
          <cell r="F42">
            <v>9000</v>
          </cell>
          <cell r="G42">
            <v>13500</v>
          </cell>
          <cell r="H42">
            <v>15000</v>
          </cell>
          <cell r="I42">
            <v>15000</v>
          </cell>
          <cell r="J42">
            <v>15000</v>
          </cell>
          <cell r="K42">
            <v>13500</v>
          </cell>
          <cell r="L42">
            <v>13500</v>
          </cell>
          <cell r="M42">
            <v>13500</v>
          </cell>
          <cell r="N42">
            <v>13500</v>
          </cell>
          <cell r="O42">
            <v>12000</v>
          </cell>
          <cell r="P42">
            <v>10500</v>
          </cell>
        </row>
        <row r="44">
          <cell r="E44">
            <v>9000</v>
          </cell>
          <cell r="F44">
            <v>9000</v>
          </cell>
          <cell r="G44">
            <v>13500</v>
          </cell>
          <cell r="H44">
            <v>15000</v>
          </cell>
          <cell r="I44">
            <v>15000</v>
          </cell>
          <cell r="J44">
            <v>15000</v>
          </cell>
          <cell r="K44">
            <v>13500</v>
          </cell>
          <cell r="L44">
            <v>13500</v>
          </cell>
          <cell r="M44">
            <v>13500</v>
          </cell>
          <cell r="N44">
            <v>13500</v>
          </cell>
          <cell r="O44">
            <v>12000</v>
          </cell>
          <cell r="P44">
            <v>10500</v>
          </cell>
        </row>
        <row r="46">
          <cell r="E46">
            <v>8000</v>
          </cell>
          <cell r="F46">
            <v>4500</v>
          </cell>
          <cell r="G46">
            <v>4500</v>
          </cell>
          <cell r="H46">
            <v>8000</v>
          </cell>
          <cell r="I46">
            <v>11000</v>
          </cell>
          <cell r="J46">
            <v>19500</v>
          </cell>
          <cell r="K46">
            <v>22000</v>
          </cell>
          <cell r="L46">
            <v>21500</v>
          </cell>
          <cell r="M46">
            <v>16500</v>
          </cell>
          <cell r="N46">
            <v>22500</v>
          </cell>
          <cell r="O46">
            <v>17000</v>
          </cell>
          <cell r="P46">
            <v>15000</v>
          </cell>
        </row>
        <row r="49">
          <cell r="E49">
            <v>1039006.6025411608</v>
          </cell>
          <cell r="F49">
            <v>948717.19560298533</v>
          </cell>
          <cell r="G49">
            <v>1332498.4906039732</v>
          </cell>
          <cell r="H49">
            <v>1484291.1825978032</v>
          </cell>
          <cell r="I49">
            <v>1643017.3843954331</v>
          </cell>
          <cell r="J49">
            <v>1874491.9506228818</v>
          </cell>
          <cell r="K49">
            <v>1897814.9194857227</v>
          </cell>
          <cell r="L49">
            <v>1852382.3201543055</v>
          </cell>
          <cell r="M49">
            <v>1682729.812317315</v>
          </cell>
          <cell r="N49">
            <v>1857845.4731739857</v>
          </cell>
          <cell r="O49">
            <v>1552789.7324022062</v>
          </cell>
          <cell r="P49">
            <v>1338023.398568602</v>
          </cell>
        </row>
        <row r="53">
          <cell r="E53">
            <v>14561.599999999999</v>
          </cell>
          <cell r="F53">
            <v>15016.65</v>
          </cell>
          <cell r="G53">
            <v>22297.45</v>
          </cell>
          <cell r="H53">
            <v>23207.55</v>
          </cell>
          <cell r="I53">
            <v>24117.649999999998</v>
          </cell>
          <cell r="J53">
            <v>23207.55</v>
          </cell>
          <cell r="K53">
            <v>21842.399999999998</v>
          </cell>
          <cell r="L53">
            <v>21387.35</v>
          </cell>
          <cell r="M53">
            <v>21387.35</v>
          </cell>
          <cell r="N53">
            <v>20932.3</v>
          </cell>
          <cell r="O53">
            <v>18657.05</v>
          </cell>
          <cell r="P53">
            <v>15926.75</v>
          </cell>
        </row>
        <row r="61">
          <cell r="E61">
            <v>15760</v>
          </cell>
          <cell r="F61">
            <v>16165</v>
          </cell>
          <cell r="G61">
            <v>22645</v>
          </cell>
          <cell r="H61">
            <v>23455</v>
          </cell>
          <cell r="I61">
            <v>24965</v>
          </cell>
          <cell r="J61">
            <v>23455</v>
          </cell>
          <cell r="K61">
            <v>22940</v>
          </cell>
          <cell r="L61">
            <v>21835</v>
          </cell>
          <cell r="M61">
            <v>21835</v>
          </cell>
          <cell r="N61">
            <v>22130</v>
          </cell>
          <cell r="O61">
            <v>19405</v>
          </cell>
          <cell r="P61">
            <v>17675</v>
          </cell>
        </row>
        <row r="68">
          <cell r="E68">
            <v>11200</v>
          </cell>
          <cell r="F68">
            <v>11550</v>
          </cell>
          <cell r="G68">
            <v>17150</v>
          </cell>
          <cell r="H68">
            <v>17850</v>
          </cell>
          <cell r="I68">
            <v>18550</v>
          </cell>
          <cell r="J68">
            <v>17850</v>
          </cell>
          <cell r="K68">
            <v>16800</v>
          </cell>
          <cell r="L68">
            <v>16450</v>
          </cell>
          <cell r="M68">
            <v>16450</v>
          </cell>
          <cell r="N68">
            <v>16100</v>
          </cell>
          <cell r="O68">
            <v>14350</v>
          </cell>
          <cell r="P68">
            <v>12250</v>
          </cell>
        </row>
        <row r="69">
          <cell r="E69">
            <v>51200</v>
          </cell>
          <cell r="F69">
            <v>52800</v>
          </cell>
          <cell r="G69">
            <v>78400</v>
          </cell>
          <cell r="H69">
            <v>81600</v>
          </cell>
          <cell r="I69">
            <v>84800</v>
          </cell>
          <cell r="J69">
            <v>81600</v>
          </cell>
          <cell r="K69">
            <v>76800</v>
          </cell>
          <cell r="L69">
            <v>75200</v>
          </cell>
          <cell r="M69">
            <v>75200</v>
          </cell>
          <cell r="N69">
            <v>73600</v>
          </cell>
          <cell r="O69">
            <v>65600</v>
          </cell>
          <cell r="P69">
            <v>56000</v>
          </cell>
        </row>
        <row r="70">
          <cell r="E70">
            <v>1600</v>
          </cell>
          <cell r="F70">
            <v>1650</v>
          </cell>
          <cell r="G70">
            <v>2450</v>
          </cell>
          <cell r="H70">
            <v>2550</v>
          </cell>
          <cell r="I70">
            <v>2650</v>
          </cell>
          <cell r="J70">
            <v>2550</v>
          </cell>
          <cell r="K70">
            <v>2400</v>
          </cell>
          <cell r="L70">
            <v>2350</v>
          </cell>
          <cell r="M70">
            <v>2350</v>
          </cell>
          <cell r="N70">
            <v>2300</v>
          </cell>
          <cell r="O70">
            <v>2050</v>
          </cell>
          <cell r="P70">
            <v>1750</v>
          </cell>
        </row>
        <row r="75">
          <cell r="E75">
            <v>16681.585903083702</v>
          </cell>
          <cell r="F75">
            <v>17249.691629955949</v>
          </cell>
          <cell r="G75">
            <v>25575.800293685756</v>
          </cell>
          <cell r="H75">
            <v>26565.16886930984</v>
          </cell>
          <cell r="I75">
            <v>27613.274596182084</v>
          </cell>
          <cell r="J75">
            <v>26447.694566813509</v>
          </cell>
          <cell r="K75">
            <v>24802.114537444933</v>
          </cell>
          <cell r="L75">
            <v>24175.271659324524</v>
          </cell>
          <cell r="M75">
            <v>24116.534508076358</v>
          </cell>
          <cell r="N75">
            <v>23607.165932452277</v>
          </cell>
          <cell r="O75">
            <v>21030.954478707783</v>
          </cell>
          <cell r="P75">
            <v>17974.743024963289</v>
          </cell>
        </row>
        <row r="81">
          <cell r="E81">
            <v>256</v>
          </cell>
          <cell r="F81">
            <v>264</v>
          </cell>
          <cell r="G81">
            <v>392</v>
          </cell>
          <cell r="H81">
            <v>408</v>
          </cell>
          <cell r="I81">
            <v>424</v>
          </cell>
          <cell r="J81">
            <v>408</v>
          </cell>
          <cell r="K81">
            <v>384</v>
          </cell>
          <cell r="L81">
            <v>376</v>
          </cell>
          <cell r="M81">
            <v>376</v>
          </cell>
          <cell r="N81">
            <v>368</v>
          </cell>
          <cell r="O81">
            <v>328</v>
          </cell>
          <cell r="P81">
            <v>280</v>
          </cell>
        </row>
        <row r="87">
          <cell r="E87">
            <v>1600</v>
          </cell>
          <cell r="F87">
            <v>1650</v>
          </cell>
          <cell r="G87">
            <v>2450</v>
          </cell>
          <cell r="H87">
            <v>2550</v>
          </cell>
          <cell r="I87">
            <v>2650</v>
          </cell>
          <cell r="J87">
            <v>2550</v>
          </cell>
          <cell r="K87">
            <v>2400</v>
          </cell>
          <cell r="L87">
            <v>2350</v>
          </cell>
          <cell r="M87">
            <v>2350</v>
          </cell>
          <cell r="N87">
            <v>2300</v>
          </cell>
          <cell r="O87">
            <v>2050</v>
          </cell>
          <cell r="P87">
            <v>1750</v>
          </cell>
        </row>
        <row r="94">
          <cell r="E94">
            <v>5440</v>
          </cell>
          <cell r="F94">
            <v>5610</v>
          </cell>
          <cell r="G94">
            <v>8330</v>
          </cell>
          <cell r="H94">
            <v>8670</v>
          </cell>
          <cell r="I94">
            <v>9010</v>
          </cell>
          <cell r="J94">
            <v>8670</v>
          </cell>
          <cell r="K94">
            <v>8160</v>
          </cell>
          <cell r="L94">
            <v>7990</v>
          </cell>
          <cell r="M94">
            <v>7990</v>
          </cell>
          <cell r="N94">
            <v>7820</v>
          </cell>
          <cell r="O94">
            <v>6970</v>
          </cell>
          <cell r="P94">
            <v>5950</v>
          </cell>
        </row>
        <row r="101">
          <cell r="E101">
            <v>12644.25</v>
          </cell>
          <cell r="F101">
            <v>10802.25</v>
          </cell>
          <cell r="G101">
            <v>9202.25</v>
          </cell>
          <cell r="H101">
            <v>9002.25</v>
          </cell>
          <cell r="I101">
            <v>8802.25</v>
          </cell>
          <cell r="J101">
            <v>9002.25</v>
          </cell>
          <cell r="K101">
            <v>9302.25</v>
          </cell>
          <cell r="L101">
            <v>9402.25</v>
          </cell>
          <cell r="M101">
            <v>9402.25</v>
          </cell>
          <cell r="N101">
            <v>9502.25</v>
          </cell>
          <cell r="O101">
            <v>10002.25</v>
          </cell>
          <cell r="P101">
            <v>10602.25</v>
          </cell>
        </row>
      </sheetData>
      <sheetData sheetId="19"/>
      <sheetData sheetId="20"/>
      <sheetData sheetId="21">
        <row r="5">
          <cell r="E5">
            <v>81192.297041048529</v>
          </cell>
          <cell r="F5">
            <v>78151.086769718429</v>
          </cell>
          <cell r="G5">
            <v>102021.61091299116</v>
          </cell>
          <cell r="H5">
            <v>181525.82550221417</v>
          </cell>
          <cell r="I5">
            <v>171027.70042219156</v>
          </cell>
          <cell r="J5">
            <v>116741.1365460589</v>
          </cell>
          <cell r="K5">
            <v>113352.51967357058</v>
          </cell>
          <cell r="L5">
            <v>112805.86492399788</v>
          </cell>
          <cell r="M5">
            <v>107057.89127963509</v>
          </cell>
          <cell r="N5">
            <v>163184.91607918753</v>
          </cell>
          <cell r="O5">
            <v>244110.71934599485</v>
          </cell>
          <cell r="P5">
            <v>127264.78150339123</v>
          </cell>
        </row>
        <row r="6">
          <cell r="E6">
            <v>103166.8323266182</v>
          </cell>
          <cell r="F6">
            <v>99302.52448502976</v>
          </cell>
          <cell r="G6">
            <v>129633.5589745758</v>
          </cell>
          <cell r="H6">
            <v>230655.43265846782</v>
          </cell>
          <cell r="I6">
            <v>217316.01070164109</v>
          </cell>
          <cell r="J6">
            <v>148336.89523006213</v>
          </cell>
          <cell r="K6">
            <v>144031.15587493085</v>
          </cell>
          <cell r="L6">
            <v>143336.55009402527</v>
          </cell>
          <cell r="M6">
            <v>136032.89870347534</v>
          </cell>
          <cell r="N6">
            <v>207350.5922226017</v>
          </cell>
          <cell r="O6">
            <v>310178.80475984095</v>
          </cell>
          <cell r="P6">
            <v>161708.74396873091</v>
          </cell>
        </row>
        <row r="8">
          <cell r="E8">
            <v>52929.925729086135</v>
          </cell>
          <cell r="F8">
            <v>45643.239296071115</v>
          </cell>
          <cell r="G8">
            <v>56292.511025850814</v>
          </cell>
          <cell r="H8">
            <v>27073.610034735128</v>
          </cell>
          <cell r="I8">
            <v>29017.545660677806</v>
          </cell>
          <cell r="J8">
            <v>39698.845041316563</v>
          </cell>
          <cell r="K8">
            <v>46362.687386433558</v>
          </cell>
          <cell r="L8">
            <v>47547.588664349409</v>
          </cell>
          <cell r="M8">
            <v>48253.151113561878</v>
          </cell>
          <cell r="N8">
            <v>42910.15669875007</v>
          </cell>
          <cell r="O8">
            <v>9452.1291629553234</v>
          </cell>
          <cell r="P8">
            <v>14768.110186212221</v>
          </cell>
        </row>
        <row r="9">
          <cell r="E9">
            <v>82061.9003551723</v>
          </cell>
          <cell r="F9">
            <v>70764.712086931962</v>
          </cell>
          <cell r="G9">
            <v>87275.210892791962</v>
          </cell>
          <cell r="H9">
            <v>41974.58920113973</v>
          </cell>
          <cell r="I9">
            <v>44988.442884771794</v>
          </cell>
          <cell r="J9">
            <v>61548.596963281496</v>
          </cell>
          <cell r="K9">
            <v>71880.135482842728</v>
          </cell>
          <cell r="L9">
            <v>73717.191727673504</v>
          </cell>
          <cell r="M9">
            <v>74811.086997770355</v>
          </cell>
          <cell r="N9">
            <v>66527.374726744296</v>
          </cell>
          <cell r="O9">
            <v>14654.463818535383</v>
          </cell>
          <cell r="P9">
            <v>22896.29486234453</v>
          </cell>
        </row>
        <row r="11">
          <cell r="E11">
            <v>52680.226215199516</v>
          </cell>
          <cell r="F11">
            <v>54873.484652580111</v>
          </cell>
          <cell r="G11">
            <v>57786.70539346485</v>
          </cell>
          <cell r="H11">
            <v>55073.001978274871</v>
          </cell>
          <cell r="I11">
            <v>74144.490614184193</v>
          </cell>
          <cell r="J11">
            <v>67520.369644322229</v>
          </cell>
          <cell r="K11">
            <v>78940.118002561008</v>
          </cell>
          <cell r="L11">
            <v>81613.153576856945</v>
          </cell>
          <cell r="M11">
            <v>94327.629045567432</v>
          </cell>
          <cell r="N11">
            <v>60285.824297898682</v>
          </cell>
          <cell r="O11">
            <v>65381.778479625071</v>
          </cell>
          <cell r="P11">
            <v>55055.818099465105</v>
          </cell>
        </row>
        <row r="12">
          <cell r="E12">
            <v>70240.301620266022</v>
          </cell>
          <cell r="F12">
            <v>73164.646203440148</v>
          </cell>
          <cell r="G12">
            <v>77048.9405246198</v>
          </cell>
          <cell r="H12">
            <v>73430.6693043665</v>
          </cell>
          <cell r="I12">
            <v>98859.320818912252</v>
          </cell>
          <cell r="J12">
            <v>90027.159525762982</v>
          </cell>
          <cell r="K12">
            <v>105253.49067008134</v>
          </cell>
          <cell r="L12">
            <v>108817.53810247593</v>
          </cell>
          <cell r="M12">
            <v>125770.17206075658</v>
          </cell>
          <cell r="N12">
            <v>80381.099063864909</v>
          </cell>
          <cell r="O12">
            <v>87175.704639500094</v>
          </cell>
          <cell r="P12">
            <v>73407.757465953473</v>
          </cell>
        </row>
        <row r="14">
          <cell r="E14">
            <v>2931.6531024105971</v>
          </cell>
          <cell r="F14">
            <v>2834.7600182344895</v>
          </cell>
          <cell r="G14">
            <v>6177.6804599291763</v>
          </cell>
          <cell r="H14">
            <v>18848.724086323266</v>
          </cell>
          <cell r="I14">
            <v>17981.153111198571</v>
          </cell>
          <cell r="J14">
            <v>7037.0096950261632</v>
          </cell>
          <cell r="K14">
            <v>6201.0069905550426</v>
          </cell>
          <cell r="L14">
            <v>3968.2925456401758</v>
          </cell>
          <cell r="M14">
            <v>6103.5799980377242</v>
          </cell>
          <cell r="N14">
            <v>9084.2849893176081</v>
          </cell>
          <cell r="O14">
            <v>14621.57623322526</v>
          </cell>
          <cell r="P14">
            <v>5610.2787701019333</v>
          </cell>
        </row>
        <row r="15">
          <cell r="E15">
            <v>3758.5296184751242</v>
          </cell>
          <cell r="F15">
            <v>3634.3077156852428</v>
          </cell>
          <cell r="G15">
            <v>7920.1031537553536</v>
          </cell>
          <cell r="H15">
            <v>24165.030879901624</v>
          </cell>
          <cell r="I15">
            <v>23052.760398972528</v>
          </cell>
          <cell r="J15">
            <v>9021.8073013155936</v>
          </cell>
          <cell r="K15">
            <v>7950.0089622500545</v>
          </cell>
          <cell r="L15">
            <v>5087.5545456925329</v>
          </cell>
          <cell r="M15">
            <v>7825.1025615868257</v>
          </cell>
          <cell r="N15">
            <v>11646.519217073856</v>
          </cell>
          <cell r="O15">
            <v>18745.610555416999</v>
          </cell>
          <cell r="P15">
            <v>7192.6650898742737</v>
          </cell>
        </row>
        <row r="18">
          <cell r="E18">
            <v>-2914.1988288703378</v>
          </cell>
          <cell r="F18">
            <v>-2741.0144654697733</v>
          </cell>
          <cell r="G18">
            <v>-3337.9860131866349</v>
          </cell>
          <cell r="H18">
            <v>-3677.8787613518284</v>
          </cell>
          <cell r="I18">
            <v>-3859.9215491022792</v>
          </cell>
          <cell r="J18">
            <v>-3268.2815620368419</v>
          </cell>
          <cell r="K18">
            <v>-3533.3669654766359</v>
          </cell>
          <cell r="L18">
            <v>-3565.4670895067106</v>
          </cell>
          <cell r="M18">
            <v>-3719.4969512977391</v>
          </cell>
          <cell r="N18">
            <v>-3792.6059522053906</v>
          </cell>
          <cell r="O18">
            <v>-4075.5814621015152</v>
          </cell>
          <cell r="P18">
            <v>-2621.2003993943108</v>
          </cell>
        </row>
        <row r="20">
          <cell r="E20">
            <v>2004.9606663737297</v>
          </cell>
          <cell r="F20">
            <v>4351.122076282335</v>
          </cell>
          <cell r="G20">
            <v>4049.5760279260412</v>
          </cell>
          <cell r="H20">
            <v>4176.1661888149538</v>
          </cell>
          <cell r="I20">
            <v>5910.0066506796993</v>
          </cell>
          <cell r="J20">
            <v>4017.863480006798</v>
          </cell>
          <cell r="K20">
            <v>5096.4891220219997</v>
          </cell>
          <cell r="L20">
            <v>3952.4724617448192</v>
          </cell>
          <cell r="M20">
            <v>4785.6761143741141</v>
          </cell>
          <cell r="N20">
            <v>2794.1720412823197</v>
          </cell>
          <cell r="O20">
            <v>3532.5720552178786</v>
          </cell>
          <cell r="P20">
            <v>3328.9231152753232</v>
          </cell>
        </row>
        <row r="21">
          <cell r="E21">
            <v>10024.803331868648</v>
          </cell>
          <cell r="F21">
            <v>21755.610381411672</v>
          </cell>
          <cell r="G21">
            <v>20247.880139630204</v>
          </cell>
          <cell r="H21">
            <v>20880.830944074769</v>
          </cell>
          <cell r="I21">
            <v>29550.033253398495</v>
          </cell>
          <cell r="J21">
            <v>20089.31740003399</v>
          </cell>
          <cell r="K21">
            <v>25482.445610109997</v>
          </cell>
          <cell r="L21">
            <v>19762.362308724096</v>
          </cell>
          <cell r="M21">
            <v>23928.38057187057</v>
          </cell>
          <cell r="N21">
            <v>13970.860206411597</v>
          </cell>
          <cell r="O21">
            <v>17662.860276089392</v>
          </cell>
          <cell r="P21">
            <v>16644.615576376615</v>
          </cell>
        </row>
        <row r="24">
          <cell r="E24">
            <v>2428.5883688608492</v>
          </cell>
          <cell r="F24">
            <v>2348.3219085966184</v>
          </cell>
          <cell r="G24">
            <v>5117.6051147342287</v>
          </cell>
          <cell r="H24">
            <v>15614.327645474894</v>
          </cell>
          <cell r="I24">
            <v>14895.629796259173</v>
          </cell>
          <cell r="J24">
            <v>5829.4754870039214</v>
          </cell>
          <cell r="K24">
            <v>5136.9288679154197</v>
          </cell>
          <cell r="L24">
            <v>3287.3429372167134</v>
          </cell>
          <cell r="M24">
            <v>5056.2201167176408</v>
          </cell>
          <cell r="N24">
            <v>7525.4431864169519</v>
          </cell>
          <cell r="O24">
            <v>12112.548358884829</v>
          </cell>
          <cell r="P24">
            <v>4647.5682119187613</v>
          </cell>
        </row>
        <row r="25">
          <cell r="E25">
            <v>3469.4119555154989</v>
          </cell>
          <cell r="F25">
            <v>3354.7455837094549</v>
          </cell>
          <cell r="G25">
            <v>7310.8644496203269</v>
          </cell>
          <cell r="H25">
            <v>22306.18235067842</v>
          </cell>
          <cell r="I25">
            <v>21279.471137513105</v>
          </cell>
          <cell r="J25">
            <v>8327.8221242913169</v>
          </cell>
          <cell r="K25">
            <v>7338.4698113077429</v>
          </cell>
          <cell r="L25">
            <v>4696.2041960238766</v>
          </cell>
          <cell r="M25">
            <v>7223.171595310916</v>
          </cell>
          <cell r="N25">
            <v>10750.63312345279</v>
          </cell>
          <cell r="O25">
            <v>17303.640512692615</v>
          </cell>
          <cell r="P25">
            <v>6639.3831598839452</v>
          </cell>
        </row>
        <row r="33">
          <cell r="E33">
            <v>6912</v>
          </cell>
          <cell r="F33">
            <v>12096</v>
          </cell>
          <cell r="G33">
            <v>17280</v>
          </cell>
          <cell r="H33">
            <v>17280</v>
          </cell>
          <cell r="I33">
            <v>17280</v>
          </cell>
          <cell r="J33">
            <v>19008</v>
          </cell>
          <cell r="K33">
            <v>13824</v>
          </cell>
          <cell r="L33">
            <v>15552</v>
          </cell>
          <cell r="M33">
            <v>15552</v>
          </cell>
          <cell r="N33">
            <v>15552</v>
          </cell>
          <cell r="O33">
            <v>13824</v>
          </cell>
          <cell r="P33">
            <v>8640</v>
          </cell>
        </row>
        <row r="34">
          <cell r="E34">
            <v>43200</v>
          </cell>
          <cell r="F34">
            <v>75600</v>
          </cell>
          <cell r="G34">
            <v>108000</v>
          </cell>
          <cell r="H34">
            <v>108000</v>
          </cell>
          <cell r="I34">
            <v>108000</v>
          </cell>
          <cell r="J34">
            <v>118800</v>
          </cell>
          <cell r="K34">
            <v>86400</v>
          </cell>
          <cell r="L34">
            <v>97200</v>
          </cell>
          <cell r="M34">
            <v>97200</v>
          </cell>
          <cell r="N34">
            <v>97200</v>
          </cell>
          <cell r="O34">
            <v>86400</v>
          </cell>
          <cell r="P34">
            <v>54000</v>
          </cell>
        </row>
        <row r="39">
          <cell r="E39">
            <v>25903.943286014655</v>
          </cell>
          <cell r="F39">
            <v>23396.73294001272</v>
          </cell>
          <cell r="G39">
            <v>29597.334514172009</v>
          </cell>
          <cell r="H39">
            <v>30748.554795970351</v>
          </cell>
          <cell r="I39">
            <v>45582.192308904036</v>
          </cell>
          <cell r="J39">
            <v>33295.634593749375</v>
          </cell>
          <cell r="K39">
            <v>33623.801545996539</v>
          </cell>
          <cell r="L39">
            <v>33521.661904255059</v>
          </cell>
          <cell r="M39">
            <v>33321.503584159422</v>
          </cell>
          <cell r="N39">
            <v>43922.977355765921</v>
          </cell>
          <cell r="O39">
            <v>50360.713916814842</v>
          </cell>
          <cell r="P39">
            <v>33559.369839284969</v>
          </cell>
        </row>
        <row r="40">
          <cell r="E40">
            <v>74011.26653147045</v>
          </cell>
          <cell r="F40">
            <v>66847.808400036345</v>
          </cell>
          <cell r="G40">
            <v>84563.812897634314</v>
          </cell>
          <cell r="H40">
            <v>87853.013702772441</v>
          </cell>
          <cell r="I40">
            <v>130234.83516829726</v>
          </cell>
          <cell r="J40">
            <v>95130.384553569646</v>
          </cell>
          <cell r="K40">
            <v>96068.004417132979</v>
          </cell>
          <cell r="L40">
            <v>95776.17686930018</v>
          </cell>
          <cell r="M40">
            <v>95204.295954741217</v>
          </cell>
          <cell r="N40">
            <v>125494.22101647407</v>
          </cell>
          <cell r="O40">
            <v>143887.75404804241</v>
          </cell>
          <cell r="P40">
            <v>95883.913826528486</v>
          </cell>
        </row>
        <row r="42">
          <cell r="E42">
            <v>5616</v>
          </cell>
          <cell r="F42">
            <v>9828.0000000000018</v>
          </cell>
          <cell r="G42">
            <v>14040</v>
          </cell>
          <cell r="H42">
            <v>14040</v>
          </cell>
          <cell r="I42">
            <v>14040</v>
          </cell>
          <cell r="J42">
            <v>15444</v>
          </cell>
          <cell r="K42">
            <v>11232</v>
          </cell>
          <cell r="L42">
            <v>12636</v>
          </cell>
          <cell r="M42">
            <v>12636</v>
          </cell>
          <cell r="N42">
            <v>12636</v>
          </cell>
          <cell r="O42">
            <v>11232</v>
          </cell>
          <cell r="P42">
            <v>7020</v>
          </cell>
        </row>
        <row r="43">
          <cell r="E43">
            <v>24000</v>
          </cell>
          <cell r="F43">
            <v>42000.000000000007</v>
          </cell>
          <cell r="G43">
            <v>60000</v>
          </cell>
          <cell r="H43">
            <v>60000</v>
          </cell>
          <cell r="I43">
            <v>60000</v>
          </cell>
          <cell r="J43">
            <v>66000</v>
          </cell>
          <cell r="K43">
            <v>48000</v>
          </cell>
          <cell r="L43">
            <v>54000</v>
          </cell>
          <cell r="M43">
            <v>54000</v>
          </cell>
          <cell r="N43">
            <v>54000</v>
          </cell>
          <cell r="O43">
            <v>48000</v>
          </cell>
          <cell r="P43">
            <v>30000</v>
          </cell>
        </row>
        <row r="45">
          <cell r="E45">
            <v>15849.725829640593</v>
          </cell>
          <cell r="F45">
            <v>13812.663990799172</v>
          </cell>
          <cell r="G45">
            <v>23090.852679152897</v>
          </cell>
          <cell r="H45">
            <v>8381.0892968479238</v>
          </cell>
          <cell r="I45">
            <v>14551.803933431795</v>
          </cell>
          <cell r="J45">
            <v>12518.633064281148</v>
          </cell>
          <cell r="K45">
            <v>16213.512821789533</v>
          </cell>
          <cell r="L45">
            <v>17260.046160516216</v>
          </cell>
          <cell r="M45">
            <v>16576.031683764384</v>
          </cell>
          <cell r="N45">
            <v>16230.331249680667</v>
          </cell>
          <cell r="O45">
            <v>3024.0405930471634</v>
          </cell>
          <cell r="P45">
            <v>5591.2686970484883</v>
          </cell>
        </row>
        <row r="46">
          <cell r="E46">
            <v>68024.574376139877</v>
          </cell>
          <cell r="F46">
            <v>59281.819703000736</v>
          </cell>
          <cell r="G46">
            <v>99102.372013531742</v>
          </cell>
          <cell r="H46">
            <v>35970.34032981941</v>
          </cell>
          <cell r="I46">
            <v>62454.094134900406</v>
          </cell>
          <cell r="J46">
            <v>53728.038902494198</v>
          </cell>
          <cell r="K46">
            <v>69585.891939010864</v>
          </cell>
          <cell r="L46">
            <v>74077.451332687619</v>
          </cell>
          <cell r="M46">
            <v>71141.76688310894</v>
          </cell>
          <cell r="N46">
            <v>69658.074032964229</v>
          </cell>
          <cell r="O46">
            <v>12978.714991618726</v>
          </cell>
          <cell r="P46">
            <v>23996.861360723124</v>
          </cell>
        </row>
        <row r="48">
          <cell r="E48">
            <v>25509.510779743548</v>
          </cell>
          <cell r="F48">
            <v>20136.29156917096</v>
          </cell>
          <cell r="G48">
            <v>15042.800245721111</v>
          </cell>
          <cell r="H48">
            <v>16395.231159978615</v>
          </cell>
          <cell r="I48">
            <v>18025.388892319272</v>
          </cell>
          <cell r="J48">
            <v>21007.552589232328</v>
          </cell>
          <cell r="K48">
            <v>23364.910227115946</v>
          </cell>
          <cell r="L48">
            <v>22362.054340388157</v>
          </cell>
          <cell r="M48">
            <v>26006.131083386354</v>
          </cell>
          <cell r="N48">
            <v>15148.818849623298</v>
          </cell>
          <cell r="O48">
            <v>22533.832322427876</v>
          </cell>
          <cell r="P48">
            <v>16118.646314892534</v>
          </cell>
        </row>
        <row r="49">
          <cell r="E49">
            <v>89507.055367521229</v>
          </cell>
          <cell r="F49">
            <v>70653.654628670047</v>
          </cell>
          <cell r="G49">
            <v>52781.755248144254</v>
          </cell>
          <cell r="H49">
            <v>57527.126877117953</v>
          </cell>
          <cell r="I49">
            <v>63246.978569541316</v>
          </cell>
          <cell r="J49">
            <v>73710.71083941168</v>
          </cell>
          <cell r="K49">
            <v>81982.141147775255</v>
          </cell>
          <cell r="L49">
            <v>78463.348562765474</v>
          </cell>
          <cell r="M49">
            <v>91249.58274872406</v>
          </cell>
          <cell r="N49">
            <v>53153.750349555434</v>
          </cell>
          <cell r="O49">
            <v>79066.078324308342</v>
          </cell>
          <cell r="P49">
            <v>56556.653736465036</v>
          </cell>
        </row>
        <row r="51">
          <cell r="E51">
            <v>3531.5387231650807</v>
          </cell>
          <cell r="F51">
            <v>5846.0551546549823</v>
          </cell>
          <cell r="G51">
            <v>4138.3718279938303</v>
          </cell>
          <cell r="H51">
            <v>5839.2415705586463</v>
          </cell>
          <cell r="I51">
            <v>6915.6802910481583</v>
          </cell>
          <cell r="J51">
            <v>5584.1455305279515</v>
          </cell>
          <cell r="K51">
            <v>4838.3577221594769</v>
          </cell>
          <cell r="L51">
            <v>4565.1597379125387</v>
          </cell>
          <cell r="M51">
            <v>7861.532999695879</v>
          </cell>
          <cell r="N51">
            <v>6531.8699003009169</v>
          </cell>
          <cell r="O51">
            <v>8638.2815866780074</v>
          </cell>
          <cell r="P51">
            <v>4165.224786804526</v>
          </cell>
        </row>
        <row r="52">
          <cell r="E52">
            <v>12391.363940930109</v>
          </cell>
          <cell r="F52">
            <v>20512.474226859587</v>
          </cell>
          <cell r="G52">
            <v>14520.602905241512</v>
          </cell>
          <cell r="H52">
            <v>20488.566914240866</v>
          </cell>
          <cell r="I52">
            <v>24265.544880870733</v>
          </cell>
          <cell r="J52">
            <v>19593.493089571763</v>
          </cell>
          <cell r="K52">
            <v>16976.693761963077</v>
          </cell>
          <cell r="L52">
            <v>16018.10434355277</v>
          </cell>
          <cell r="M52">
            <v>27584.326314722384</v>
          </cell>
          <cell r="N52">
            <v>22918.841755441816</v>
          </cell>
          <cell r="O52">
            <v>30309.759953256169</v>
          </cell>
          <cell r="P52">
            <v>14614.823813349216</v>
          </cell>
        </row>
        <row r="54">
          <cell r="E54">
            <v>22745.574213328444</v>
          </cell>
          <cell r="F54">
            <v>22854.261432082734</v>
          </cell>
          <cell r="G54">
            <v>25240.52729494097</v>
          </cell>
          <cell r="H54">
            <v>21321.583554167752</v>
          </cell>
          <cell r="I54">
            <v>22573.799797719206</v>
          </cell>
          <cell r="J54">
            <v>18872.893880381551</v>
          </cell>
          <cell r="K54">
            <v>21441.347133442898</v>
          </cell>
          <cell r="L54">
            <v>22935.971722950231</v>
          </cell>
          <cell r="M54">
            <v>22208.500645934651</v>
          </cell>
          <cell r="N54">
            <v>26229.181574390066</v>
          </cell>
          <cell r="O54">
            <v>22227.513493550745</v>
          </cell>
          <cell r="P54">
            <v>20673.84525711081</v>
          </cell>
        </row>
        <row r="55">
          <cell r="E55">
            <v>168485.73491354403</v>
          </cell>
          <cell r="F55">
            <v>169290.82542283507</v>
          </cell>
          <cell r="G55">
            <v>186966.86885141459</v>
          </cell>
          <cell r="H55">
            <v>157937.65595679815</v>
          </cell>
          <cell r="I55">
            <v>167213.33183495706</v>
          </cell>
          <cell r="J55">
            <v>139799.21392875223</v>
          </cell>
          <cell r="K55">
            <v>158824.7935810585</v>
          </cell>
          <cell r="L55">
            <v>169896.08683666837</v>
          </cell>
          <cell r="M55">
            <v>164507.41219210852</v>
          </cell>
          <cell r="N55">
            <v>194290.23388437086</v>
          </cell>
          <cell r="O55">
            <v>164648.24810037587</v>
          </cell>
          <cell r="P55">
            <v>153139.5944971171</v>
          </cell>
        </row>
        <row r="58">
          <cell r="E58">
            <v>6109.8799318144784</v>
          </cell>
          <cell r="F58">
            <v>6000.2121533396248</v>
          </cell>
          <cell r="G58">
            <v>31971.095766823528</v>
          </cell>
          <cell r="H58">
            <v>5876.8738529304828</v>
          </cell>
          <cell r="I58">
            <v>7103.8069842399327</v>
          </cell>
          <cell r="J58">
            <v>31271.465778393191</v>
          </cell>
          <cell r="K58">
            <v>6600.125347857168</v>
          </cell>
          <cell r="L58">
            <v>6835.2363512296415</v>
          </cell>
          <cell r="M58">
            <v>32051.623377307671</v>
          </cell>
          <cell r="N58">
            <v>7273.2116945432881</v>
          </cell>
          <cell r="O58">
            <v>6704.4677758464204</v>
          </cell>
          <cell r="P58">
            <v>30238.685861278562</v>
          </cell>
        </row>
        <row r="60">
          <cell r="E60">
            <v>9469.2015025812252</v>
          </cell>
          <cell r="F60">
            <v>8697.8562778251162</v>
          </cell>
          <cell r="G60">
            <v>5074.8552652746557</v>
          </cell>
          <cell r="H60">
            <v>7418.6167134137604</v>
          </cell>
          <cell r="I60">
            <v>7238.1395561491945</v>
          </cell>
          <cell r="J60">
            <v>4969.1755732908141</v>
          </cell>
          <cell r="K60">
            <v>5749.1501221542321</v>
          </cell>
          <cell r="L60">
            <v>4261.7014500121204</v>
          </cell>
          <cell r="M60">
            <v>7171.7440027572584</v>
          </cell>
          <cell r="N60">
            <v>12054.776180235262</v>
          </cell>
          <cell r="O60">
            <v>25481.651914126527</v>
          </cell>
          <cell r="P60">
            <v>10143.131442179858</v>
          </cell>
        </row>
        <row r="61">
          <cell r="E61">
            <v>55375.44738351593</v>
          </cell>
          <cell r="F61">
            <v>50864.656595468507</v>
          </cell>
          <cell r="G61">
            <v>29677.516171196814</v>
          </cell>
          <cell r="H61">
            <v>43383.723470255907</v>
          </cell>
          <cell r="I61">
            <v>42328.301497948501</v>
          </cell>
          <cell r="J61">
            <v>29059.506276554464</v>
          </cell>
          <cell r="K61">
            <v>33620.760948270363</v>
          </cell>
          <cell r="L61">
            <v>24922.230701825261</v>
          </cell>
          <cell r="M61">
            <v>41940.02340793718</v>
          </cell>
          <cell r="N61">
            <v>70495.767135878719</v>
          </cell>
          <cell r="O61">
            <v>149015.50826974577</v>
          </cell>
          <cell r="P61">
            <v>59316.558141402675</v>
          </cell>
        </row>
        <row r="63">
          <cell r="E63">
            <v>4150.840403712401</v>
          </cell>
          <cell r="F63">
            <v>4086.2688072152791</v>
          </cell>
          <cell r="G63">
            <v>4245.7007257337345</v>
          </cell>
          <cell r="H63">
            <v>6924.7225622410797</v>
          </cell>
          <cell r="I63">
            <v>7599.3132392432735</v>
          </cell>
          <cell r="J63">
            <v>5380.8576044914616</v>
          </cell>
          <cell r="K63">
            <v>6486.4770314414209</v>
          </cell>
          <cell r="L63">
            <v>5602.9740818219652</v>
          </cell>
          <cell r="M63">
            <v>6026.1435474701047</v>
          </cell>
          <cell r="N63">
            <v>7087.6528361462042</v>
          </cell>
          <cell r="O63">
            <v>9475.8027377922626</v>
          </cell>
          <cell r="P63">
            <v>5833.2464226908369</v>
          </cell>
        </row>
        <row r="64">
          <cell r="E64">
            <v>15373.482976712596</v>
          </cell>
          <cell r="F64">
            <v>15134.328915612145</v>
          </cell>
          <cell r="G64">
            <v>15724.817502717535</v>
          </cell>
          <cell r="H64">
            <v>25647.120600892886</v>
          </cell>
          <cell r="I64">
            <v>28145.604589789898</v>
          </cell>
          <cell r="J64">
            <v>19929.102238857264</v>
          </cell>
          <cell r="K64">
            <v>24023.989005338593</v>
          </cell>
          <cell r="L64">
            <v>20751.75585859987</v>
          </cell>
          <cell r="M64">
            <v>22319.050175815202</v>
          </cell>
          <cell r="N64">
            <v>26250.566059800756</v>
          </cell>
          <cell r="O64">
            <v>35095.565695526893</v>
          </cell>
          <cell r="P64">
            <v>21604.616380336432</v>
          </cell>
        </row>
        <row r="66">
          <cell r="E66">
            <v>0</v>
          </cell>
        </row>
        <row r="67">
          <cell r="E67">
            <v>0</v>
          </cell>
        </row>
        <row r="73">
          <cell r="E73">
            <v>294.76237807605202</v>
          </cell>
          <cell r="F73">
            <v>283.72149852865647</v>
          </cell>
          <cell r="G73">
            <v>370.38159707021657</v>
          </cell>
          <cell r="H73">
            <v>659.01552188133667</v>
          </cell>
          <cell r="I73">
            <v>620.90288771897451</v>
          </cell>
          <cell r="J73">
            <v>423.81970065732037</v>
          </cell>
          <cell r="K73">
            <v>411.51758821408816</v>
          </cell>
          <cell r="L73">
            <v>409.5330002686436</v>
          </cell>
          <cell r="M73">
            <v>388.66542486707237</v>
          </cell>
          <cell r="N73">
            <v>592.43026349314778</v>
          </cell>
          <cell r="O73">
            <v>886.22515645668841</v>
          </cell>
          <cell r="P73">
            <v>462.02498276780256</v>
          </cell>
        </row>
        <row r="76">
          <cell r="E76">
            <v>273.53966785057435</v>
          </cell>
          <cell r="F76">
            <v>235.88237362310653</v>
          </cell>
          <cell r="G76">
            <v>290.91736964263987</v>
          </cell>
          <cell r="H76">
            <v>139.91529733713244</v>
          </cell>
          <cell r="I76">
            <v>149.96147628257265</v>
          </cell>
          <cell r="J76">
            <v>205.16198987760498</v>
          </cell>
          <cell r="K76">
            <v>239.60045160947578</v>
          </cell>
          <cell r="L76">
            <v>245.72397242557832</v>
          </cell>
          <cell r="M76">
            <v>249.37028999256785</v>
          </cell>
          <cell r="N76">
            <v>221.75791575581431</v>
          </cell>
          <cell r="O76">
            <v>48.84821272845128</v>
          </cell>
          <cell r="P76">
            <v>76.320982874481771</v>
          </cell>
        </row>
        <row r="79">
          <cell r="E79">
            <v>225.12917185982698</v>
          </cell>
          <cell r="F79">
            <v>234.50207116487226</v>
          </cell>
          <cell r="G79">
            <v>246.95173245070447</v>
          </cell>
          <cell r="H79">
            <v>235.354709308867</v>
          </cell>
          <cell r="I79">
            <v>316.85679749651365</v>
          </cell>
          <cell r="J79">
            <v>288.54858822359927</v>
          </cell>
          <cell r="K79">
            <v>337.35093163487613</v>
          </cell>
          <cell r="L79">
            <v>348.77416058485875</v>
          </cell>
          <cell r="M79">
            <v>403.10952583575823</v>
          </cell>
          <cell r="N79">
            <v>257.63172776879776</v>
          </cell>
          <cell r="O79">
            <v>279.4093097419875</v>
          </cell>
          <cell r="P79">
            <v>235.28127392933806</v>
          </cell>
        </row>
        <row r="82">
          <cell r="E82">
            <v>0</v>
          </cell>
          <cell r="F82">
            <v>0</v>
          </cell>
          <cell r="G82">
            <v>0</v>
          </cell>
          <cell r="H82">
            <v>0</v>
          </cell>
          <cell r="I82">
            <v>0</v>
          </cell>
          <cell r="J82">
            <v>0</v>
          </cell>
          <cell r="K82">
            <v>0</v>
          </cell>
          <cell r="L82">
            <v>0</v>
          </cell>
          <cell r="M82">
            <v>0</v>
          </cell>
          <cell r="N82">
            <v>0</v>
          </cell>
          <cell r="O82">
            <v>0</v>
          </cell>
          <cell r="P82">
            <v>0</v>
          </cell>
        </row>
        <row r="86">
          <cell r="E86">
            <v>0</v>
          </cell>
          <cell r="F86">
            <v>0</v>
          </cell>
          <cell r="G86">
            <v>0</v>
          </cell>
          <cell r="H86">
            <v>0</v>
          </cell>
          <cell r="I86">
            <v>0</v>
          </cell>
          <cell r="J86">
            <v>0</v>
          </cell>
          <cell r="K86">
            <v>0</v>
          </cell>
          <cell r="L86">
            <v>0</v>
          </cell>
          <cell r="M86">
            <v>0</v>
          </cell>
          <cell r="N86">
            <v>0</v>
          </cell>
          <cell r="O86">
            <v>0</v>
          </cell>
          <cell r="P86">
            <v>0</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ow r="118">
          <cell r="E118">
            <v>0</v>
          </cell>
          <cell r="F118">
            <v>0</v>
          </cell>
          <cell r="G118">
            <v>0</v>
          </cell>
          <cell r="H118">
            <v>0</v>
          </cell>
          <cell r="I118">
            <v>0</v>
          </cell>
          <cell r="J118">
            <v>0</v>
          </cell>
          <cell r="K118">
            <v>0</v>
          </cell>
          <cell r="L118">
            <v>0</v>
          </cell>
          <cell r="M118">
            <v>0</v>
          </cell>
          <cell r="N118">
            <v>0</v>
          </cell>
          <cell r="O118">
            <v>0</v>
          </cell>
          <cell r="P118">
            <v>0</v>
          </cell>
        </row>
        <row r="127">
          <cell r="E127">
            <v>0</v>
          </cell>
          <cell r="F127">
            <v>0</v>
          </cell>
          <cell r="G127">
            <v>0</v>
          </cell>
          <cell r="H127">
            <v>0</v>
          </cell>
          <cell r="I127">
            <v>0</v>
          </cell>
          <cell r="J127">
            <v>0</v>
          </cell>
          <cell r="K127">
            <v>0</v>
          </cell>
          <cell r="L127">
            <v>0</v>
          </cell>
          <cell r="M127">
            <v>0</v>
          </cell>
          <cell r="N127">
            <v>0</v>
          </cell>
          <cell r="O127">
            <v>0</v>
          </cell>
          <cell r="P127">
            <v>0</v>
          </cell>
        </row>
      </sheetData>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hyperlink" Target="mailto:4145@" TargetMode="External"/><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H32" sqref="H32"/>
    </sheetView>
  </sheetViews>
  <sheetFormatPr baseColWidth="10" defaultColWidth="12.59765625" defaultRowHeight="15" customHeight="1"/>
  <cols>
    <col min="1" max="1" width="13" customWidth="1"/>
    <col min="2" max="2" width="23.69921875" customWidth="1"/>
    <col min="3" max="9" width="9.3984375" customWidth="1"/>
  </cols>
  <sheetData>
    <row r="1" spans="1:14" ht="14.4">
      <c r="A1" s="1" t="s">
        <v>0</v>
      </c>
      <c r="B1" s="2" t="s">
        <v>1</v>
      </c>
    </row>
    <row r="2" spans="1:14" ht="14.4">
      <c r="A2" s="1"/>
      <c r="G2" s="3" t="s">
        <v>2</v>
      </c>
      <c r="M2" s="4" t="s">
        <v>3</v>
      </c>
      <c r="N2" s="4" t="s">
        <v>4</v>
      </c>
    </row>
    <row r="3" spans="1:14" ht="14.4">
      <c r="A3" s="1" t="s">
        <v>5</v>
      </c>
      <c r="B3" s="2" t="s">
        <v>11</v>
      </c>
      <c r="C3" s="4">
        <f>+VLOOKUP(B3,$K$3:$L$14,2,0)</f>
        <v>3</v>
      </c>
      <c r="G3" s="3" t="s">
        <v>7</v>
      </c>
      <c r="K3" s="5" t="s">
        <v>8</v>
      </c>
      <c r="L3" s="4">
        <v>1</v>
      </c>
      <c r="M3" s="4" t="str">
        <f t="shared" ref="M3:M14" si="0">+IF($K3=$B$3,"X","")</f>
        <v/>
      </c>
      <c r="N3" s="4" t="str">
        <f t="shared" ref="N3:N14" si="1">+IF(K3=B3,"X",IF(L3&lt;=$C$3,"X",""))</f>
        <v>X</v>
      </c>
    </row>
    <row r="4" spans="1:14" ht="14.4">
      <c r="A4" s="1" t="s">
        <v>9</v>
      </c>
      <c r="B4" s="2">
        <v>2026</v>
      </c>
      <c r="K4" s="5" t="s">
        <v>10</v>
      </c>
      <c r="L4" s="4">
        <v>2</v>
      </c>
      <c r="M4" s="4" t="str">
        <f t="shared" si="0"/>
        <v/>
      </c>
      <c r="N4" s="4" t="str">
        <f t="shared" si="1"/>
        <v>X</v>
      </c>
    </row>
    <row r="5" spans="1:14" ht="15" customHeight="1">
      <c r="K5" s="5" t="s">
        <v>11</v>
      </c>
      <c r="L5" s="4">
        <v>3</v>
      </c>
      <c r="M5" s="4" t="str">
        <f t="shared" si="0"/>
        <v>X</v>
      </c>
      <c r="N5" s="4" t="str">
        <f t="shared" si="1"/>
        <v>X</v>
      </c>
    </row>
    <row r="6" spans="1:14" ht="14.4">
      <c r="A6" s="1"/>
      <c r="B6" s="6"/>
      <c r="K6" s="5" t="s">
        <v>12</v>
      </c>
      <c r="L6" s="4">
        <v>4</v>
      </c>
      <c r="M6" s="4" t="str">
        <f t="shared" si="0"/>
        <v/>
      </c>
      <c r="N6" s="4" t="str">
        <f t="shared" si="1"/>
        <v/>
      </c>
    </row>
    <row r="7" spans="1:14" ht="14.4">
      <c r="A7" s="3"/>
      <c r="B7" s="7"/>
      <c r="K7" s="5" t="s">
        <v>13</v>
      </c>
      <c r="L7" s="4">
        <v>5</v>
      </c>
      <c r="M7" s="4" t="str">
        <f t="shared" si="0"/>
        <v/>
      </c>
      <c r="N7" s="4" t="str">
        <f t="shared" si="1"/>
        <v/>
      </c>
    </row>
    <row r="8" spans="1:14" ht="14.4">
      <c r="A8" s="3"/>
      <c r="B8" s="7"/>
      <c r="K8" s="5" t="s">
        <v>14</v>
      </c>
      <c r="L8" s="4">
        <v>6</v>
      </c>
      <c r="M8" s="4" t="str">
        <f t="shared" si="0"/>
        <v/>
      </c>
      <c r="N8" s="4" t="str">
        <f t="shared" si="1"/>
        <v/>
      </c>
    </row>
    <row r="9" spans="1:14" ht="15" customHeight="1">
      <c r="A9" s="5" t="s">
        <v>15</v>
      </c>
      <c r="K9" s="5" t="s">
        <v>16</v>
      </c>
      <c r="L9" s="4">
        <v>7</v>
      </c>
      <c r="M9" s="4" t="str">
        <f t="shared" si="0"/>
        <v/>
      </c>
      <c r="N9" s="4" t="str">
        <f t="shared" si="1"/>
        <v/>
      </c>
    </row>
    <row r="10" spans="1:14" ht="14.4">
      <c r="A10" s="3" t="s">
        <v>17</v>
      </c>
      <c r="I10" s="3"/>
      <c r="K10" s="5" t="s">
        <v>18</v>
      </c>
      <c r="L10" s="4">
        <v>8</v>
      </c>
      <c r="M10" s="4" t="str">
        <f t="shared" si="0"/>
        <v/>
      </c>
      <c r="N10" s="4" t="str">
        <f t="shared" si="1"/>
        <v/>
      </c>
    </row>
    <row r="11" spans="1:14" ht="14.4">
      <c r="A11" s="3" t="s">
        <v>19</v>
      </c>
      <c r="I11" s="3"/>
      <c r="K11" s="5" t="s">
        <v>20</v>
      </c>
      <c r="L11" s="4">
        <v>9</v>
      </c>
      <c r="M11" s="4" t="str">
        <f t="shared" si="0"/>
        <v/>
      </c>
      <c r="N11" s="4" t="str">
        <f t="shared" si="1"/>
        <v/>
      </c>
    </row>
    <row r="12" spans="1:14" ht="14.4">
      <c r="A12" s="3" t="s">
        <v>21</v>
      </c>
      <c r="I12" s="3"/>
      <c r="K12" s="5" t="s">
        <v>22</v>
      </c>
      <c r="L12" s="4">
        <v>10</v>
      </c>
      <c r="M12" s="4" t="str">
        <f t="shared" si="0"/>
        <v/>
      </c>
      <c r="N12" s="4" t="str">
        <f t="shared" si="1"/>
        <v/>
      </c>
    </row>
    <row r="13" spans="1:14" ht="14.4">
      <c r="A13" s="3"/>
      <c r="I13" s="3"/>
      <c r="K13" s="5" t="s">
        <v>23</v>
      </c>
      <c r="L13" s="4">
        <v>11</v>
      </c>
      <c r="M13" s="4" t="str">
        <f t="shared" si="0"/>
        <v/>
      </c>
      <c r="N13" s="4" t="str">
        <f t="shared" si="1"/>
        <v/>
      </c>
    </row>
    <row r="14" spans="1:14" ht="14.4">
      <c r="A14" s="3"/>
      <c r="I14" s="3"/>
      <c r="K14" s="5" t="s">
        <v>6</v>
      </c>
      <c r="L14" s="4">
        <v>12</v>
      </c>
      <c r="M14" s="4" t="str">
        <f t="shared" si="0"/>
        <v/>
      </c>
      <c r="N14" s="4" t="str">
        <f t="shared" si="1"/>
        <v/>
      </c>
    </row>
    <row r="15" spans="1:14" ht="14.4">
      <c r="A15" s="3"/>
      <c r="I15" s="3"/>
    </row>
    <row r="16" spans="1:14" ht="14.4">
      <c r="I16" s="3"/>
    </row>
    <row r="17" spans="1:9" ht="14.4">
      <c r="I17" s="3"/>
    </row>
    <row r="18" spans="1:9" ht="14.4">
      <c r="I18" s="3"/>
    </row>
    <row r="19" spans="1:9" ht="14.4">
      <c r="I19" s="3"/>
    </row>
    <row r="20" spans="1:9" ht="14.4">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abSelected="1" topLeftCell="A28" workbookViewId="0">
      <selection activeCell="C69" sqref="C69"/>
    </sheetView>
  </sheetViews>
  <sheetFormatPr baseColWidth="10" defaultColWidth="12.59765625" defaultRowHeight="15" customHeight="1"/>
  <cols>
    <col min="1" max="1" width="59.59765625" customWidth="1"/>
    <col min="2" max="3" width="14.69921875" customWidth="1"/>
    <col min="4" max="4" width="67" customWidth="1"/>
    <col min="5" max="5" width="14.8984375" customWidth="1"/>
    <col min="6" max="6" width="10" customWidth="1"/>
    <col min="7" max="7" width="39.09765625" customWidth="1"/>
    <col min="8" max="25" width="10" customWidth="1"/>
  </cols>
  <sheetData>
    <row r="1" spans="1:25" ht="21">
      <c r="A1" s="8" t="s">
        <v>24</v>
      </c>
      <c r="B1" s="3"/>
      <c r="C1" s="3"/>
      <c r="D1" s="3"/>
      <c r="E1" s="3"/>
      <c r="F1" s="3"/>
      <c r="G1" s="3"/>
      <c r="H1" s="3"/>
      <c r="I1" s="3"/>
      <c r="J1" s="3"/>
      <c r="K1" s="3"/>
      <c r="L1" s="3"/>
      <c r="M1" s="3"/>
      <c r="N1" s="3"/>
      <c r="O1" s="3"/>
      <c r="P1" s="3"/>
      <c r="Q1" s="3"/>
      <c r="R1" s="3"/>
      <c r="S1" s="3"/>
      <c r="T1" s="3"/>
      <c r="U1" s="3"/>
      <c r="V1" s="3"/>
      <c r="W1" s="3"/>
      <c r="X1" s="3"/>
      <c r="Y1" s="3"/>
    </row>
    <row r="2" spans="1:25" ht="35.4">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1">
      <c r="A3" s="11" t="str">
        <f>CONCATENATE("",,Parametres!B3," ",Parametres!B4)</f>
        <v>Mars 2026</v>
      </c>
      <c r="B3" s="3"/>
      <c r="C3" s="3"/>
      <c r="D3" s="3"/>
      <c r="E3" s="3"/>
      <c r="F3" s="3"/>
      <c r="G3" s="3"/>
      <c r="H3" s="3"/>
      <c r="I3" s="3"/>
      <c r="J3" s="3"/>
      <c r="K3" s="3"/>
      <c r="L3" s="3"/>
      <c r="M3" s="3"/>
      <c r="N3" s="3"/>
      <c r="O3" s="3"/>
      <c r="P3" s="3"/>
      <c r="Q3" s="3"/>
      <c r="R3" s="3"/>
      <c r="S3" s="3"/>
      <c r="T3" s="3"/>
      <c r="U3" s="3"/>
      <c r="V3" s="3"/>
      <c r="W3" s="3"/>
      <c r="X3" s="3"/>
      <c r="Y3" s="3"/>
    </row>
    <row r="4" spans="1:25" ht="14.4">
      <c r="A4" s="3"/>
      <c r="B4" s="3"/>
      <c r="C4" s="3"/>
      <c r="D4" s="3"/>
      <c r="E4" s="12"/>
      <c r="F4" s="3"/>
      <c r="G4" s="3"/>
      <c r="H4" s="3"/>
      <c r="I4" s="3"/>
      <c r="J4" s="3"/>
      <c r="K4" s="3"/>
      <c r="L4" s="3"/>
      <c r="M4" s="3"/>
      <c r="N4" s="3"/>
      <c r="O4" s="3"/>
      <c r="P4" s="3"/>
      <c r="Q4" s="3"/>
      <c r="R4" s="3"/>
      <c r="S4" s="3"/>
      <c r="T4" s="3"/>
      <c r="U4" s="3"/>
      <c r="V4" s="3"/>
      <c r="W4" s="3"/>
      <c r="X4" s="3"/>
      <c r="Y4" s="3"/>
    </row>
    <row r="5" spans="1:25" ht="14.4">
      <c r="A5" s="13" t="s">
        <v>25</v>
      </c>
      <c r="B5" s="14">
        <f>SUMIFS(BV_Data_An_Cour!$P:$P,BV_Data_An_Cour!$U:$U,$A$1,BV_Data_An_Cour!$V:$V,$A5)</f>
        <v>869083.65000000014</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ht="14.4">
      <c r="A6" s="17" t="s">
        <v>27</v>
      </c>
      <c r="B6" s="18">
        <f>SUM(B5)</f>
        <v>869083.65000000014</v>
      </c>
      <c r="C6" s="19"/>
      <c r="D6" s="20"/>
      <c r="E6" s="21"/>
      <c r="F6" s="3"/>
      <c r="G6" s="3"/>
      <c r="H6" s="3"/>
      <c r="I6" s="3"/>
      <c r="J6" s="3"/>
      <c r="K6" s="3"/>
      <c r="L6" s="3"/>
      <c r="M6" s="3"/>
      <c r="N6" s="3"/>
      <c r="O6" s="3"/>
      <c r="P6" s="3"/>
      <c r="Q6" s="3"/>
      <c r="R6" s="3"/>
      <c r="S6" s="3"/>
      <c r="T6" s="3"/>
      <c r="U6" s="3"/>
      <c r="V6" s="3"/>
      <c r="W6" s="3"/>
      <c r="X6" s="3"/>
      <c r="Y6" s="3"/>
    </row>
    <row r="7" spans="1:25" ht="14.4">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ht="14.4">
      <c r="A8" s="20" t="s">
        <v>29</v>
      </c>
      <c r="B8" s="21">
        <f>SUMIFS(BV_Data_An_Cour!$P:$P,BV_Data_An_Cour!$U:$U,$A$1,BV_Data_An_Cour!$V:$V,$A8)</f>
        <v>1061257.6000000001</v>
      </c>
      <c r="C8" s="15"/>
      <c r="D8" s="20"/>
      <c r="E8" s="21"/>
      <c r="F8" s="3"/>
      <c r="G8" s="3"/>
      <c r="H8" s="3"/>
      <c r="I8" s="3"/>
      <c r="J8" s="3"/>
      <c r="K8" s="3"/>
      <c r="L8" s="3"/>
      <c r="M8" s="3"/>
      <c r="N8" s="3"/>
      <c r="O8" s="3"/>
      <c r="P8" s="3"/>
      <c r="Q8" s="3"/>
      <c r="R8" s="3"/>
      <c r="S8" s="3"/>
      <c r="T8" s="3"/>
      <c r="U8" s="3"/>
      <c r="V8" s="3"/>
      <c r="W8" s="3"/>
      <c r="X8" s="3"/>
      <c r="Y8" s="3"/>
    </row>
    <row r="9" spans="1:25" ht="14.4">
      <c r="A9" s="20" t="s">
        <v>30</v>
      </c>
      <c r="B9" s="21">
        <f>SUMIFS(BV_Data_An_Cour!$P:$P,BV_Data_An_Cour!$U:$U,$A$1,BV_Data_An_Cour!$V:$V,$A9)</f>
        <v>432464.05</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ht="14.4">
      <c r="A10" s="20" t="s">
        <v>32</v>
      </c>
      <c r="B10" s="21">
        <f>SUMIFS(BV_Data_An_Cour!$P:$P,BV_Data_An_Cour!$U:$U,$A$1,BV_Data_An_Cour!$V:$V,$A10)</f>
        <v>329144</v>
      </c>
      <c r="C10" s="15"/>
      <c r="D10" s="20" t="s">
        <v>33</v>
      </c>
      <c r="E10" s="21">
        <f>-SUMIFS(BV_Data_An_Cour!$P:$P,BV_Data_An_Cour!$U:$U,$A$1,BV_Data_An_Cour!$V:$V,$D10)</f>
        <v>500058.86</v>
      </c>
      <c r="F10" s="3"/>
      <c r="G10" s="3"/>
      <c r="H10" s="3"/>
      <c r="I10" s="3"/>
      <c r="J10" s="3"/>
      <c r="K10" s="3"/>
      <c r="L10" s="3"/>
      <c r="M10" s="3"/>
      <c r="N10" s="3"/>
      <c r="O10" s="3"/>
      <c r="P10" s="3"/>
      <c r="Q10" s="3"/>
      <c r="R10" s="3"/>
      <c r="S10" s="3"/>
      <c r="T10" s="3"/>
      <c r="U10" s="3"/>
      <c r="V10" s="3"/>
      <c r="W10" s="3"/>
      <c r="X10" s="3"/>
      <c r="Y10" s="3"/>
    </row>
    <row r="11" spans="1:25" ht="14.4">
      <c r="A11" s="20" t="s">
        <v>34</v>
      </c>
      <c r="B11" s="21">
        <f>SUMIFS(BV_Data_An_Cour!$P:$P,BV_Data_An_Cour!$U:$U,$A$1,BV_Data_An_Cour!$V:$V,$A11)</f>
        <v>364961.84</v>
      </c>
      <c r="C11" s="15"/>
      <c r="D11" s="20" t="s">
        <v>35</v>
      </c>
      <c r="E11" s="21">
        <f>-SUMIFS(BV_Data_An_Cour!$P:$P,BV_Data_An_Cour!$U:$U,$A$1,BV_Data_An_Cour!$V:$V,$D11)</f>
        <v>37029.200000000012</v>
      </c>
      <c r="F11" s="3"/>
      <c r="G11" s="3"/>
      <c r="H11" s="3"/>
      <c r="I11" s="3"/>
      <c r="J11" s="3"/>
      <c r="K11" s="3"/>
      <c r="L11" s="3"/>
      <c r="M11" s="3"/>
      <c r="N11" s="3"/>
      <c r="O11" s="3"/>
      <c r="P11" s="3"/>
      <c r="Q11" s="3"/>
      <c r="R11" s="3"/>
      <c r="S11" s="3"/>
      <c r="T11" s="3"/>
      <c r="U11" s="3"/>
      <c r="V11" s="3"/>
      <c r="W11" s="3"/>
      <c r="X11" s="3"/>
      <c r="Y11" s="3"/>
    </row>
    <row r="12" spans="1:25" ht="14.4">
      <c r="A12" s="20" t="s">
        <v>36</v>
      </c>
      <c r="B12" s="21">
        <f>SUMIFS(BV_Data_An_Cour!$P:$P,BV_Data_An_Cour!$U:$U,$A$1,BV_Data_An_Cour!$V:$V,$A12)</f>
        <v>103776.48</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ht="14.4">
      <c r="A13" s="20" t="s">
        <v>38</v>
      </c>
      <c r="B13" s="21">
        <f>SUMIFS(BV_Data_An_Cour!$P:$P,BV_Data_An_Cour!$U:$U,$A$1,BV_Data_An_Cour!$V:$V,$A13)</f>
        <v>5239.04</v>
      </c>
      <c r="C13" s="15"/>
      <c r="D13" s="20" t="s">
        <v>39</v>
      </c>
      <c r="E13" s="21">
        <f>-SUMIFS(BV_Data_An_Cour!$P:$P,BV_Data_An_Cour!$U:$U,$A$1,BV_Data_An_Cour!$V:$V,$D13)</f>
        <v>16400</v>
      </c>
      <c r="F13" s="3"/>
      <c r="G13" s="3"/>
      <c r="H13" s="3"/>
      <c r="I13" s="3"/>
      <c r="J13" s="3"/>
      <c r="K13" s="3"/>
      <c r="L13" s="3"/>
      <c r="M13" s="3"/>
      <c r="N13" s="3"/>
      <c r="O13" s="3"/>
      <c r="P13" s="3"/>
      <c r="Q13" s="3"/>
      <c r="R13" s="3"/>
      <c r="S13" s="3"/>
      <c r="T13" s="3"/>
      <c r="U13" s="3"/>
      <c r="V13" s="3"/>
      <c r="W13" s="3"/>
      <c r="X13" s="3"/>
      <c r="Y13" s="3"/>
    </row>
    <row r="14" spans="1:25" ht="14.4">
      <c r="A14" s="20" t="s">
        <v>40</v>
      </c>
      <c r="B14" s="21">
        <f>SUMIFS(BV_Data_An_Cour!$P:$P,BV_Data_An_Cour!$U:$U,$A$1,BV_Data_An_Cour!$V:$V,$A14)</f>
        <v>0</v>
      </c>
      <c r="C14" s="15"/>
      <c r="D14" s="20" t="s">
        <v>41</v>
      </c>
      <c r="E14" s="21">
        <f>-SUMIFS(BV_Data_An_Cour!$P:$P,BV_Data_An_Cour!$U:$U,$A$1,BV_Data_An_Cour!$V:$V,$D14)</f>
        <v>0</v>
      </c>
      <c r="F14" s="3"/>
      <c r="G14" s="3"/>
      <c r="H14" s="3"/>
      <c r="I14" s="3"/>
      <c r="J14" s="3"/>
      <c r="K14" s="3"/>
      <c r="L14" s="3"/>
      <c r="M14" s="3"/>
      <c r="N14" s="3"/>
      <c r="O14" s="3"/>
      <c r="P14" s="3"/>
      <c r="Q14" s="3"/>
      <c r="R14" s="3"/>
      <c r="S14" s="3"/>
      <c r="T14" s="3"/>
      <c r="U14" s="3"/>
      <c r="V14" s="3"/>
      <c r="W14" s="3"/>
      <c r="X14" s="3"/>
      <c r="Y14" s="3"/>
    </row>
    <row r="15" spans="1:25" ht="14.4">
      <c r="A15" s="20" t="s">
        <v>42</v>
      </c>
      <c r="B15" s="21">
        <f>SUMIFS(BV_Data_An_Cour!$P:$P,BV_Data_An_Cour!$U:$U,$A$1,BV_Data_An_Cour!$V:$V,$A15)</f>
        <v>-6439.3499999999995</v>
      </c>
      <c r="C15" s="15"/>
      <c r="D15" s="20" t="s">
        <v>43</v>
      </c>
      <c r="E15" s="21">
        <f>-SUMIFS(BV_Data_An_Cour!$P:$P,BV_Data_An_Cour!$U:$U,$A$1,BV_Data_An_Cour!$V:$V,$D15)</f>
        <v>237844.43999999997</v>
      </c>
      <c r="F15" s="3"/>
      <c r="G15" s="3"/>
      <c r="H15" s="3"/>
      <c r="I15" s="3"/>
      <c r="J15" s="3"/>
      <c r="K15" s="3"/>
      <c r="L15" s="3"/>
      <c r="M15" s="3"/>
      <c r="N15" s="3"/>
      <c r="O15" s="3"/>
      <c r="P15" s="3"/>
      <c r="Q15" s="3"/>
      <c r="R15" s="3"/>
      <c r="S15" s="3"/>
      <c r="T15" s="3"/>
      <c r="U15" s="3"/>
      <c r="V15" s="3"/>
      <c r="W15" s="3"/>
      <c r="X15" s="3"/>
      <c r="Y15" s="3"/>
    </row>
    <row r="16" spans="1:25" ht="14.4">
      <c r="A16" s="17" t="s">
        <v>44</v>
      </c>
      <c r="B16" s="18">
        <f>+SUM(B8:B15)</f>
        <v>2290403.66</v>
      </c>
      <c r="C16" s="19"/>
      <c r="D16" s="17" t="s">
        <v>45</v>
      </c>
      <c r="E16" s="18">
        <f>+SUM(E10:E15)</f>
        <v>791332.5</v>
      </c>
      <c r="F16" s="3"/>
      <c r="G16" s="3"/>
      <c r="H16" s="3"/>
      <c r="I16" s="3"/>
      <c r="J16" s="3"/>
      <c r="K16" s="3"/>
      <c r="L16" s="3"/>
      <c r="M16" s="3"/>
      <c r="N16" s="3"/>
      <c r="O16" s="3"/>
      <c r="P16" s="3"/>
      <c r="Q16" s="3"/>
      <c r="R16" s="3"/>
      <c r="S16" s="3"/>
      <c r="T16" s="3"/>
      <c r="U16" s="3"/>
      <c r="V16" s="3"/>
      <c r="W16" s="3"/>
      <c r="X16" s="3"/>
      <c r="Y16" s="3"/>
    </row>
    <row r="17" spans="1:25" ht="14.4">
      <c r="A17" s="20"/>
      <c r="B17" s="21"/>
      <c r="C17" s="15"/>
      <c r="D17" s="22"/>
      <c r="E17" s="21"/>
      <c r="F17" s="3"/>
      <c r="G17" s="3"/>
      <c r="H17" s="3"/>
      <c r="I17" s="3"/>
      <c r="J17" s="3"/>
      <c r="K17" s="3"/>
      <c r="L17" s="3"/>
      <c r="M17" s="3"/>
      <c r="N17" s="3"/>
      <c r="O17" s="3"/>
      <c r="P17" s="3"/>
      <c r="Q17" s="3"/>
      <c r="R17" s="3"/>
      <c r="S17" s="3"/>
      <c r="T17" s="3"/>
      <c r="U17" s="3"/>
      <c r="V17" s="3"/>
      <c r="W17" s="3"/>
      <c r="X17" s="3"/>
      <c r="Y17" s="3"/>
    </row>
    <row r="18" spans="1:25" ht="14.4">
      <c r="A18" s="20" t="s">
        <v>46</v>
      </c>
      <c r="B18" s="21">
        <f>SUMIFS(BV_Data_An_Cour!$P:$P,BV_Data_An_Cour!$U:$U,$A$1,BV_Data_An_Cour!$V:$V,$A18)</f>
        <v>8136066.0100000007</v>
      </c>
      <c r="C18" s="15"/>
      <c r="D18" s="20" t="s">
        <v>47</v>
      </c>
      <c r="E18" s="21">
        <f>-SUMIFS(BV_Data_An_Cour!$P:$P,BV_Data_An_Cour!$U:$U,$A$1,BV_Data_An_Cour!$V:$V,$D18)</f>
        <v>9868523.6999999993</v>
      </c>
      <c r="F18" s="3"/>
      <c r="G18" s="3"/>
      <c r="H18" s="3"/>
      <c r="I18" s="3"/>
      <c r="J18" s="3"/>
      <c r="K18" s="3"/>
      <c r="L18" s="3"/>
      <c r="M18" s="3"/>
      <c r="N18" s="3"/>
      <c r="O18" s="3"/>
      <c r="P18" s="3"/>
      <c r="Q18" s="3"/>
      <c r="R18" s="3"/>
      <c r="S18" s="3"/>
      <c r="T18" s="3"/>
      <c r="U18" s="3"/>
      <c r="V18" s="3"/>
      <c r="W18" s="3"/>
      <c r="X18" s="3"/>
      <c r="Y18" s="3"/>
    </row>
    <row r="19" spans="1:25" ht="14.4">
      <c r="A19" s="20" t="s">
        <v>48</v>
      </c>
      <c r="B19" s="21">
        <f>SUMIFS(BV_Data_An_Cour!$P:$P,BV_Data_An_Cour!$U:$U,$A$1,BV_Data_An_Cour!$V:$V,$A19)</f>
        <v>1075639.1500000001</v>
      </c>
      <c r="C19" s="15"/>
      <c r="D19" s="20" t="s">
        <v>49</v>
      </c>
      <c r="E19" s="21">
        <f>-SUMIFS(BV_Data_An_Cour!$P:$P,BV_Data_An_Cour!$U:$U,$A$1,BV_Data_An_Cour!$V:$V,$D19)</f>
        <v>696409.97</v>
      </c>
      <c r="F19" s="3"/>
      <c r="G19" s="3"/>
      <c r="H19" s="3"/>
      <c r="I19" s="3"/>
      <c r="J19" s="3"/>
      <c r="K19" s="3"/>
      <c r="L19" s="3"/>
      <c r="M19" s="3"/>
      <c r="N19" s="3"/>
      <c r="O19" s="3"/>
      <c r="P19" s="3"/>
      <c r="Q19" s="3"/>
      <c r="R19" s="3"/>
      <c r="S19" s="3"/>
      <c r="T19" s="3"/>
      <c r="U19" s="3"/>
      <c r="V19" s="3"/>
      <c r="W19" s="3"/>
      <c r="X19" s="3"/>
      <c r="Y19" s="3"/>
    </row>
    <row r="20" spans="1:25" ht="14.4">
      <c r="A20" s="20" t="s">
        <v>50</v>
      </c>
      <c r="B20" s="21">
        <f>SUMIFS(BV_Data_An_Cour!$P:$P,BV_Data_An_Cour!$U:$U,$A$1,BV_Data_An_Cour!$V:$V,$A20)</f>
        <v>475121.15</v>
      </c>
      <c r="C20" s="15"/>
      <c r="D20" s="17" t="s">
        <v>51</v>
      </c>
      <c r="E20" s="18">
        <f>+SUM(E18:E19)</f>
        <v>10564933.67</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9686826.3100000005</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380802.04000000004</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64799.299999999996</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16506.02</v>
      </c>
      <c r="C24" s="15"/>
      <c r="D24" s="20" t="s">
        <v>57</v>
      </c>
      <c r="E24" s="21">
        <f>-SUMIFS(BV_Data_An_Cour!$P:$P,BV_Data_An_Cour!$U:$U,$A$1,BV_Data_An_Cour!$V:$V,$D24)</f>
        <v>244368.4</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5797.26</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139299.12</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689969.74</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161602.4</v>
      </c>
      <c r="C30" s="19"/>
      <c r="D30" s="23" t="s">
        <v>63</v>
      </c>
      <c r="E30" s="24">
        <f>+E5+E7+E16+E20+E28</f>
        <v>12046235.91</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13007916.020000001</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21438.950000000008</v>
      </c>
      <c r="C37" s="15"/>
      <c r="D37" s="20" t="s">
        <v>71</v>
      </c>
      <c r="E37" s="21">
        <f>-SUMIFS(BV_Data_An_Cour!$P:$P,BV_Data_An_Cour!$U:$U,$A$1,BV_Data_An_Cour!$V:$V,$D37)</f>
        <v>5824656</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302379.39</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28814.219999999972</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23338.25999999998</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5824656</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17419.710000000006</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393390.52999999997</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17870891.91</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8677814.0500000007</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-212935.81000000017</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9071204.5800000001</v>
      </c>
      <c r="C53" s="19"/>
      <c r="D53" s="23" t="s">
        <v>89</v>
      </c>
      <c r="E53" s="24">
        <f>SUM(E48:E51)</f>
        <v>4208228.6899999995</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22079120.600000001</v>
      </c>
      <c r="C56" s="19"/>
      <c r="D56" s="23" t="s">
        <v>91</v>
      </c>
      <c r="E56" s="24">
        <f>+E53+E45</f>
        <v>22079120.600000001</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10" zoomScale="80" zoomScaleNormal="80" workbookViewId="0">
      <selection activeCell="B6" sqref="B6:AO501"/>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915" t="str">
        <f>"Budget 2024 Mensuel Révisé"&amp;" "&amp;Parametres!$B$1</f>
        <v>Budget 2024 Mensuel Révisé Volks</v>
      </c>
      <c r="C1" s="916"/>
      <c r="D1" s="916"/>
      <c r="E1" s="916"/>
      <c r="F1" s="916"/>
      <c r="G1" s="916"/>
      <c r="H1" s="916"/>
      <c r="I1" s="916"/>
      <c r="J1" s="916"/>
      <c r="K1" s="916"/>
      <c r="L1" s="916"/>
      <c r="M1" s="916"/>
      <c r="N1" s="916"/>
      <c r="O1" s="916"/>
      <c r="P1" s="916"/>
      <c r="Q1" s="916"/>
      <c r="R1" s="916"/>
      <c r="S1" s="916"/>
      <c r="T1" s="916"/>
      <c r="U1" s="916"/>
      <c r="V1" s="916"/>
      <c r="W1" s="916"/>
      <c r="X1" s="916"/>
      <c r="Y1" s="916"/>
      <c r="Z1" s="916"/>
      <c r="AA1" s="916"/>
      <c r="AB1" s="916"/>
      <c r="AC1" s="916"/>
      <c r="AD1" s="916"/>
      <c r="AE1" s="916"/>
      <c r="AF1" s="916"/>
      <c r="AG1" s="916"/>
      <c r="AH1" s="916"/>
      <c r="AI1" s="916"/>
      <c r="AJ1" s="916"/>
      <c r="AK1" s="916"/>
      <c r="AL1" s="916"/>
      <c r="AM1" s="916"/>
      <c r="AN1" s="916"/>
      <c r="AO1" s="916"/>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X</v>
      </c>
      <c r="M2" s="35" t="str">
        <f>+IF(Parametres!$B$3=L$6,"O","")</f>
        <v>O</v>
      </c>
      <c r="N2" s="35" t="str">
        <f>+IF(Parametres!$B$3=L$6,"U","")</f>
        <v>U</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3932</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c r="A6" s="39"/>
      <c r="B6" s="912" t="s">
        <v>3</v>
      </c>
      <c r="C6" s="1287" t="s">
        <v>3941</v>
      </c>
      <c r="D6" s="1288"/>
      <c r="E6" s="1289"/>
      <c r="F6" s="912" t="s">
        <v>8</v>
      </c>
      <c r="G6" s="913"/>
      <c r="H6" s="914"/>
      <c r="I6" s="912" t="s">
        <v>10</v>
      </c>
      <c r="J6" s="913"/>
      <c r="K6" s="914"/>
      <c r="L6" s="912" t="s">
        <v>11</v>
      </c>
      <c r="M6" s="913"/>
      <c r="N6" s="914"/>
      <c r="O6" s="912" t="s">
        <v>12</v>
      </c>
      <c r="P6" s="913"/>
      <c r="Q6" s="914"/>
      <c r="R6" s="912" t="s">
        <v>13</v>
      </c>
      <c r="S6" s="913"/>
      <c r="T6" s="914"/>
      <c r="U6" s="912" t="s">
        <v>14</v>
      </c>
      <c r="V6" s="913"/>
      <c r="W6" s="914"/>
      <c r="X6" s="912" t="s">
        <v>16</v>
      </c>
      <c r="Y6" s="913"/>
      <c r="Z6" s="914"/>
      <c r="AA6" s="912" t="s">
        <v>18</v>
      </c>
      <c r="AB6" s="913"/>
      <c r="AC6" s="914"/>
      <c r="AD6" s="912" t="s">
        <v>20</v>
      </c>
      <c r="AE6" s="913"/>
      <c r="AF6" s="914"/>
      <c r="AG6" s="912" t="s">
        <v>22</v>
      </c>
      <c r="AH6" s="913"/>
      <c r="AI6" s="914"/>
      <c r="AJ6" s="912" t="s">
        <v>23</v>
      </c>
      <c r="AK6" s="913"/>
      <c r="AL6" s="914"/>
      <c r="AM6" s="912" t="s">
        <v>6</v>
      </c>
      <c r="AN6" s="913"/>
      <c r="AO6" s="914"/>
      <c r="AP6" s="41"/>
      <c r="AQ6" s="41"/>
      <c r="AR6" s="41"/>
      <c r="AS6" s="41"/>
      <c r="AT6" s="41"/>
      <c r="AU6" s="41"/>
      <c r="AV6" s="41"/>
      <c r="AW6" s="41"/>
      <c r="AX6" s="41"/>
      <c r="AY6" s="41"/>
      <c r="AZ6" s="41"/>
      <c r="BA6" s="41"/>
      <c r="BB6" s="41"/>
      <c r="BC6" s="41"/>
      <c r="BD6" s="41"/>
      <c r="BE6" s="41"/>
      <c r="BF6" s="41"/>
      <c r="BG6" s="41"/>
      <c r="BH6" s="41"/>
      <c r="BI6" s="41"/>
    </row>
    <row r="7" spans="1:61" ht="20.399999999999999">
      <c r="A7" s="39"/>
      <c r="B7" s="11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770" t="s">
        <v>96</v>
      </c>
      <c r="C8" s="735"/>
      <c r="D8" s="736"/>
      <c r="E8" s="737">
        <f t="shared" ref="E8:E15" si="1">+SUM(H8,K8,N8,Q8,T8,W8,Z8,AC8,AF8,AI8,AL8,AO8)</f>
        <v>35986166.683812752</v>
      </c>
      <c r="F8" s="735"/>
      <c r="G8" s="736"/>
      <c r="H8" s="738">
        <f>'[1]Vehicules neuf 2026'!E60</f>
        <v>2377394.8341759224</v>
      </c>
      <c r="I8" s="735"/>
      <c r="J8" s="736"/>
      <c r="K8" s="738">
        <f>'[1]Vehicules neuf 2026'!F60</f>
        <v>2560324.3607109338</v>
      </c>
      <c r="L8" s="735"/>
      <c r="M8" s="736"/>
      <c r="N8" s="738">
        <f>'[1]Vehicules neuf 2026'!G60</f>
        <v>3684432.777128791</v>
      </c>
      <c r="O8" s="735"/>
      <c r="P8" s="736"/>
      <c r="Q8" s="738">
        <f>'[1]Vehicules neuf 2026'!H60</f>
        <v>3774495.5264300373</v>
      </c>
      <c r="R8" s="735"/>
      <c r="S8" s="736"/>
      <c r="T8" s="738">
        <f>'[1]Vehicules neuf 2026'!I60</f>
        <v>3914068.8819650481</v>
      </c>
      <c r="U8" s="735"/>
      <c r="V8" s="736"/>
      <c r="W8" s="738">
        <f>'[1]Vehicules neuf 2026'!J60</f>
        <v>3544859.4215937797</v>
      </c>
      <c r="X8" s="735"/>
      <c r="Y8" s="736"/>
      <c r="Z8" s="738">
        <f>'[1]Vehicules neuf 2026'!K60</f>
        <v>3172845.9332899912</v>
      </c>
      <c r="AA8" s="735"/>
      <c r="AB8" s="736"/>
      <c r="AC8" s="738">
        <f>'[1]Vehicules neuf 2026'!L60</f>
        <v>2888981.6780147222</v>
      </c>
      <c r="AD8" s="735"/>
      <c r="AE8" s="736"/>
      <c r="AF8" s="738">
        <f>'[1]Vehicules neuf 2026'!M60</f>
        <v>2798918.9287134763</v>
      </c>
      <c r="AG8" s="735"/>
      <c r="AH8" s="736"/>
      <c r="AI8" s="738">
        <f>'[1]Vehicules neuf 2026'!N60</f>
        <v>2749408.3224797109</v>
      </c>
      <c r="AJ8" s="735"/>
      <c r="AK8" s="736"/>
      <c r="AL8" s="738">
        <f>'[1]Vehicules neuf 2026'!O60</f>
        <v>2426905.4404096878</v>
      </c>
      <c r="AM8" s="735"/>
      <c r="AN8" s="736"/>
      <c r="AO8" s="738">
        <f>'[1]Vehicules neuf 2026'!P60</f>
        <v>2093530.5789006527</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744" t="s">
        <v>97</v>
      </c>
      <c r="C9" s="739">
        <f t="shared" ref="C9:C15" si="2">+SUM(F9,I9,L9,O9,R9,U9,X9,AA9,AD9,AG9,AJ9,AM9)</f>
        <v>197</v>
      </c>
      <c r="D9" s="740">
        <f t="shared" ref="D9:D15" si="3">IF(C9=0,0,E9/C9)</f>
        <v>1839.3978952721661</v>
      </c>
      <c r="E9" s="741">
        <f t="shared" si="1"/>
        <v>362361.38536861673</v>
      </c>
      <c r="F9" s="742">
        <f>'[1]Vehicules neuf 2026'!E35</f>
        <v>13</v>
      </c>
      <c r="G9" s="740">
        <f t="shared" ref="G9:G15" si="4">IF(F9=0,0,H9/F9)</f>
        <v>1839.3978952721661</v>
      </c>
      <c r="H9" s="743">
        <f>'[1]Vehicules neuf 2026'!E53</f>
        <v>23912.172638538159</v>
      </c>
      <c r="I9" s="742">
        <f>'[1]Vehicules neuf 2026'!F35</f>
        <v>14</v>
      </c>
      <c r="J9" s="740">
        <f t="shared" ref="J9:J15" si="5">IF(I9=0,0,K9/I9)</f>
        <v>1839.3978952721661</v>
      </c>
      <c r="K9" s="743">
        <f>'[1]Vehicules neuf 2026'!F53</f>
        <v>25751.570533810325</v>
      </c>
      <c r="L9" s="742">
        <f>'[1]Vehicules neuf 2026'!G35</f>
        <v>20</v>
      </c>
      <c r="M9" s="740">
        <f t="shared" ref="M9:M15" si="6">IF(L9=0,0,N9/L9)</f>
        <v>1839.3978952721659</v>
      </c>
      <c r="N9" s="743">
        <f>'[1]Vehicules neuf 2026'!G53</f>
        <v>36787.95790544332</v>
      </c>
      <c r="O9" s="742">
        <f>'[1]Vehicules neuf 2026'!H35</f>
        <v>21</v>
      </c>
      <c r="P9" s="740">
        <f t="shared" ref="P9:P15" si="7">IF(O9=0,0,Q9/O9)</f>
        <v>1839.3978952721659</v>
      </c>
      <c r="Q9" s="743">
        <f>'[1]Vehicules neuf 2026'!H53</f>
        <v>38627.355800715486</v>
      </c>
      <c r="R9" s="742">
        <f>'[1]Vehicules neuf 2026'!I35</f>
        <v>22</v>
      </c>
      <c r="S9" s="740">
        <f t="shared" ref="S9:S15" si="8">IF(R9=0,0,T9/R9)</f>
        <v>1839.3978952721661</v>
      </c>
      <c r="T9" s="743">
        <f>'[1]Vehicules neuf 2026'!I53</f>
        <v>40466.753695987652</v>
      </c>
      <c r="U9" s="742">
        <f>'[1]Vehicules neuf 2026'!J35</f>
        <v>19</v>
      </c>
      <c r="V9" s="740">
        <f t="shared" ref="V9:V15" si="9">IF(U9=0,0,W9/U9)</f>
        <v>1839.3978952721659</v>
      </c>
      <c r="W9" s="743">
        <f>'[1]Vehicules neuf 2026'!J53</f>
        <v>34948.560010171153</v>
      </c>
      <c r="X9" s="742">
        <f>'[1]Vehicules neuf 2026'!K35</f>
        <v>17</v>
      </c>
      <c r="Y9" s="740">
        <f t="shared" ref="Y9:Y15" si="10">IF(X9=0,0,Z9/X9)</f>
        <v>1839.3978952721661</v>
      </c>
      <c r="Z9" s="743">
        <f>'[1]Vehicules neuf 2026'!K53</f>
        <v>31269.764219626824</v>
      </c>
      <c r="AA9" s="742">
        <f>'[1]Vehicules neuf 2026'!L35</f>
        <v>16</v>
      </c>
      <c r="AB9" s="740">
        <f t="shared" ref="AB9:AB15" si="11">IF(AA9=0,0,AC9/AA9)</f>
        <v>1839.3978952721661</v>
      </c>
      <c r="AC9" s="743">
        <f>'[1]Vehicules neuf 2026'!L53</f>
        <v>29430.366324354658</v>
      </c>
      <c r="AD9" s="742">
        <f>'[1]Vehicules neuf 2026'!M35</f>
        <v>15</v>
      </c>
      <c r="AE9" s="740">
        <f t="shared" ref="AE9:AE15" si="12">IF(AD9=0,0,AF9/AD9)</f>
        <v>1839.3978952721661</v>
      </c>
      <c r="AF9" s="743">
        <f>'[1]Vehicules neuf 2026'!M53</f>
        <v>27590.968429082492</v>
      </c>
      <c r="AG9" s="742">
        <f>'[1]Vehicules neuf 2026'!N35</f>
        <v>15</v>
      </c>
      <c r="AH9" s="740">
        <f t="shared" ref="AH9:AH15" si="13">IF(AG9=0,0,AI9/AG9)</f>
        <v>1839.3978952721661</v>
      </c>
      <c r="AI9" s="743">
        <f>'[1]Vehicules neuf 2026'!N53</f>
        <v>27590.968429082492</v>
      </c>
      <c r="AJ9" s="742">
        <f>'[1]Vehicules neuf 2026'!O35</f>
        <v>13</v>
      </c>
      <c r="AK9" s="740">
        <f t="shared" ref="AK9:AK15" si="14">IF(AJ9=0,0,AL9/AJ9)</f>
        <v>1839.3978952721661</v>
      </c>
      <c r="AL9" s="743">
        <f>'[1]Vehicules neuf 2026'!O53</f>
        <v>23912.172638538159</v>
      </c>
      <c r="AM9" s="742">
        <f>'[1]Vehicules neuf 2026'!P35</f>
        <v>12</v>
      </c>
      <c r="AN9" s="740">
        <f t="shared" ref="AN9:AN15" si="15">IF(AM9=0,0,AO9/AM9)</f>
        <v>1839.3978952721661</v>
      </c>
      <c r="AO9" s="743">
        <f>'[1]Vehicules neuf 2026'!P53</f>
        <v>22072.774743265993</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744" t="s">
        <v>98</v>
      </c>
      <c r="C10" s="739">
        <f t="shared" si="2"/>
        <v>486</v>
      </c>
      <c r="D10" s="740">
        <f t="shared" si="3"/>
        <v>2490.3910628837116</v>
      </c>
      <c r="E10" s="741">
        <f t="shared" si="1"/>
        <v>1210330.0565614838</v>
      </c>
      <c r="F10" s="742">
        <f>'[1]Vehicules neuf 2026'!E36</f>
        <v>32</v>
      </c>
      <c r="G10" s="740">
        <f t="shared" si="4"/>
        <v>2490.391062883712</v>
      </c>
      <c r="H10" s="743">
        <f>'[1]Vehicules neuf 2026'!E54</f>
        <v>79692.514012278785</v>
      </c>
      <c r="I10" s="742">
        <f>'[1]Vehicules neuf 2026'!F36</f>
        <v>34</v>
      </c>
      <c r="J10" s="740">
        <f t="shared" si="5"/>
        <v>2490.391062883712</v>
      </c>
      <c r="K10" s="743">
        <f>'[1]Vehicules neuf 2026'!F54</f>
        <v>84673.296138046207</v>
      </c>
      <c r="L10" s="742">
        <f>'[1]Vehicules neuf 2026'!G36</f>
        <v>50</v>
      </c>
      <c r="M10" s="740">
        <f t="shared" si="6"/>
        <v>2490.391062883712</v>
      </c>
      <c r="N10" s="743">
        <f>'[1]Vehicules neuf 2026'!G54</f>
        <v>124519.5531441856</v>
      </c>
      <c r="O10" s="742">
        <f>'[1]Vehicules neuf 2026'!H36</f>
        <v>51</v>
      </c>
      <c r="P10" s="740">
        <f t="shared" si="7"/>
        <v>2490.391062883712</v>
      </c>
      <c r="Q10" s="743">
        <f>'[1]Vehicules neuf 2026'!H54</f>
        <v>127009.94420706932</v>
      </c>
      <c r="R10" s="742">
        <f>'[1]Vehicules neuf 2026'!I36</f>
        <v>53</v>
      </c>
      <c r="S10" s="740">
        <f t="shared" si="8"/>
        <v>2490.391062883712</v>
      </c>
      <c r="T10" s="743">
        <f>'[1]Vehicules neuf 2026'!I54</f>
        <v>131990.72633283673</v>
      </c>
      <c r="U10" s="742">
        <f>'[1]Vehicules neuf 2026'!J36</f>
        <v>48</v>
      </c>
      <c r="V10" s="740">
        <f t="shared" si="9"/>
        <v>2490.391062883712</v>
      </c>
      <c r="W10" s="743">
        <f>'[1]Vehicules neuf 2026'!J54</f>
        <v>119538.77101841818</v>
      </c>
      <c r="X10" s="742">
        <f>'[1]Vehicules neuf 2026'!K36</f>
        <v>43</v>
      </c>
      <c r="Y10" s="740">
        <f t="shared" si="10"/>
        <v>2490.391062883712</v>
      </c>
      <c r="Z10" s="743">
        <f>'[1]Vehicules neuf 2026'!K54</f>
        <v>107086.81570399961</v>
      </c>
      <c r="AA10" s="742">
        <f>'[1]Vehicules neuf 2026'!L36</f>
        <v>39</v>
      </c>
      <c r="AB10" s="740">
        <f t="shared" si="11"/>
        <v>2490.391062883712</v>
      </c>
      <c r="AC10" s="743">
        <f>'[1]Vehicules neuf 2026'!L54</f>
        <v>97125.25145246477</v>
      </c>
      <c r="AD10" s="742">
        <f>'[1]Vehicules neuf 2026'!M36</f>
        <v>38</v>
      </c>
      <c r="AE10" s="740">
        <f t="shared" si="12"/>
        <v>2490.391062883712</v>
      </c>
      <c r="AF10" s="743">
        <f>'[1]Vehicules neuf 2026'!M54</f>
        <v>94634.860389581052</v>
      </c>
      <c r="AG10" s="742">
        <f>'[1]Vehicules neuf 2026'!N36</f>
        <v>37</v>
      </c>
      <c r="AH10" s="740">
        <f t="shared" si="13"/>
        <v>2490.391062883712</v>
      </c>
      <c r="AI10" s="743">
        <f>'[1]Vehicules neuf 2026'!N54</f>
        <v>92144.469326697348</v>
      </c>
      <c r="AJ10" s="742">
        <f>'[1]Vehicules neuf 2026'!O36</f>
        <v>33</v>
      </c>
      <c r="AK10" s="740">
        <f t="shared" si="14"/>
        <v>2490.391062883712</v>
      </c>
      <c r="AL10" s="743">
        <f>'[1]Vehicules neuf 2026'!O54</f>
        <v>82182.905075162504</v>
      </c>
      <c r="AM10" s="742">
        <f>'[1]Vehicules neuf 2026'!P36</f>
        <v>28</v>
      </c>
      <c r="AN10" s="740">
        <f t="shared" si="15"/>
        <v>2490.391062883712</v>
      </c>
      <c r="AO10" s="743">
        <f>'[1]Vehicules neuf 2026'!P54</f>
        <v>69730.949760743941</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744" t="s">
        <v>99</v>
      </c>
      <c r="C11" s="739">
        <f t="shared" si="2"/>
        <v>0</v>
      </c>
      <c r="D11" s="740">
        <f t="shared" si="3"/>
        <v>0</v>
      </c>
      <c r="E11" s="741">
        <f t="shared" si="1"/>
        <v>0</v>
      </c>
      <c r="F11" s="742"/>
      <c r="G11" s="740">
        <f t="shared" si="4"/>
        <v>0</v>
      </c>
      <c r="H11" s="743"/>
      <c r="I11" s="742"/>
      <c r="J11" s="740">
        <f t="shared" si="5"/>
        <v>0</v>
      </c>
      <c r="K11" s="743"/>
      <c r="L11" s="742"/>
      <c r="M11" s="740">
        <f t="shared" si="6"/>
        <v>0</v>
      </c>
      <c r="N11" s="743"/>
      <c r="O11" s="742"/>
      <c r="P11" s="740">
        <f t="shared" si="7"/>
        <v>0</v>
      </c>
      <c r="Q11" s="743"/>
      <c r="R11" s="742"/>
      <c r="S11" s="740">
        <f t="shared" si="8"/>
        <v>0</v>
      </c>
      <c r="T11" s="743"/>
      <c r="U11" s="742"/>
      <c r="V11" s="740">
        <f t="shared" si="9"/>
        <v>0</v>
      </c>
      <c r="W11" s="743"/>
      <c r="X11" s="742"/>
      <c r="Y11" s="740">
        <f t="shared" si="10"/>
        <v>0</v>
      </c>
      <c r="Z11" s="743"/>
      <c r="AA11" s="742"/>
      <c r="AB11" s="740">
        <f t="shared" si="11"/>
        <v>0</v>
      </c>
      <c r="AC11" s="743"/>
      <c r="AD11" s="742"/>
      <c r="AE11" s="740">
        <f t="shared" si="12"/>
        <v>0</v>
      </c>
      <c r="AF11" s="743"/>
      <c r="AG11" s="742"/>
      <c r="AH11" s="740">
        <f t="shared" si="13"/>
        <v>0</v>
      </c>
      <c r="AI11" s="743"/>
      <c r="AJ11" s="742"/>
      <c r="AK11" s="740">
        <f t="shared" si="14"/>
        <v>0</v>
      </c>
      <c r="AL11" s="743"/>
      <c r="AM11" s="742"/>
      <c r="AN11" s="740">
        <f t="shared" si="15"/>
        <v>0</v>
      </c>
      <c r="AO11" s="743"/>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744" t="s">
        <v>100</v>
      </c>
      <c r="C12" s="739">
        <f t="shared" si="2"/>
        <v>0</v>
      </c>
      <c r="D12" s="740">
        <f t="shared" si="3"/>
        <v>0</v>
      </c>
      <c r="E12" s="741">
        <f t="shared" si="1"/>
        <v>0</v>
      </c>
      <c r="F12" s="742"/>
      <c r="G12" s="740">
        <f t="shared" si="4"/>
        <v>0</v>
      </c>
      <c r="H12" s="743"/>
      <c r="I12" s="742"/>
      <c r="J12" s="740">
        <f t="shared" si="5"/>
        <v>0</v>
      </c>
      <c r="K12" s="743"/>
      <c r="L12" s="742"/>
      <c r="M12" s="740">
        <f t="shared" si="6"/>
        <v>0</v>
      </c>
      <c r="N12" s="743"/>
      <c r="O12" s="742"/>
      <c r="P12" s="740">
        <f t="shared" si="7"/>
        <v>0</v>
      </c>
      <c r="Q12" s="743"/>
      <c r="R12" s="742"/>
      <c r="S12" s="740">
        <f t="shared" si="8"/>
        <v>0</v>
      </c>
      <c r="T12" s="743"/>
      <c r="U12" s="742"/>
      <c r="V12" s="740">
        <f t="shared" si="9"/>
        <v>0</v>
      </c>
      <c r="W12" s="743"/>
      <c r="X12" s="742"/>
      <c r="Y12" s="740">
        <f t="shared" si="10"/>
        <v>0</v>
      </c>
      <c r="Z12" s="743"/>
      <c r="AA12" s="742"/>
      <c r="AB12" s="740">
        <f t="shared" si="11"/>
        <v>0</v>
      </c>
      <c r="AC12" s="743"/>
      <c r="AD12" s="742"/>
      <c r="AE12" s="740">
        <f t="shared" si="12"/>
        <v>0</v>
      </c>
      <c r="AF12" s="743"/>
      <c r="AG12" s="742"/>
      <c r="AH12" s="740">
        <f t="shared" si="13"/>
        <v>0</v>
      </c>
      <c r="AI12" s="743"/>
      <c r="AJ12" s="742"/>
      <c r="AK12" s="740">
        <f t="shared" si="14"/>
        <v>0</v>
      </c>
      <c r="AL12" s="743"/>
      <c r="AM12" s="742"/>
      <c r="AN12" s="740">
        <f t="shared" si="15"/>
        <v>0</v>
      </c>
      <c r="AO12" s="743"/>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744" t="s">
        <v>59</v>
      </c>
      <c r="C13" s="739">
        <f t="shared" si="2"/>
        <v>0</v>
      </c>
      <c r="D13" s="740">
        <f t="shared" si="3"/>
        <v>0</v>
      </c>
      <c r="E13" s="741">
        <f t="shared" si="1"/>
        <v>0</v>
      </c>
      <c r="F13" s="739"/>
      <c r="G13" s="740">
        <f t="shared" si="4"/>
        <v>0</v>
      </c>
      <c r="H13" s="741"/>
      <c r="I13" s="739"/>
      <c r="J13" s="740">
        <f t="shared" si="5"/>
        <v>0</v>
      </c>
      <c r="K13" s="741"/>
      <c r="L13" s="739"/>
      <c r="M13" s="740">
        <f t="shared" si="6"/>
        <v>0</v>
      </c>
      <c r="N13" s="741"/>
      <c r="O13" s="739"/>
      <c r="P13" s="740">
        <f t="shared" si="7"/>
        <v>0</v>
      </c>
      <c r="Q13" s="741"/>
      <c r="R13" s="739"/>
      <c r="S13" s="740">
        <f t="shared" si="8"/>
        <v>0</v>
      </c>
      <c r="T13" s="741"/>
      <c r="U13" s="739"/>
      <c r="V13" s="740">
        <f t="shared" si="9"/>
        <v>0</v>
      </c>
      <c r="W13" s="741"/>
      <c r="X13" s="739"/>
      <c r="Y13" s="740">
        <f t="shared" si="10"/>
        <v>0</v>
      </c>
      <c r="Z13" s="741"/>
      <c r="AA13" s="739"/>
      <c r="AB13" s="740">
        <f t="shared" si="11"/>
        <v>0</v>
      </c>
      <c r="AC13" s="741"/>
      <c r="AD13" s="739"/>
      <c r="AE13" s="740">
        <f t="shared" si="12"/>
        <v>0</v>
      </c>
      <c r="AF13" s="741"/>
      <c r="AG13" s="739"/>
      <c r="AH13" s="740">
        <f t="shared" si="13"/>
        <v>0</v>
      </c>
      <c r="AI13" s="741"/>
      <c r="AJ13" s="739"/>
      <c r="AK13" s="740">
        <f t="shared" si="14"/>
        <v>0</v>
      </c>
      <c r="AL13" s="741"/>
      <c r="AM13" s="739"/>
      <c r="AN13" s="740">
        <f t="shared" si="15"/>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744" t="s">
        <v>59</v>
      </c>
      <c r="C14" s="739">
        <f t="shared" si="2"/>
        <v>0</v>
      </c>
      <c r="D14" s="740">
        <f t="shared" si="3"/>
        <v>0</v>
      </c>
      <c r="E14" s="741">
        <f t="shared" si="1"/>
        <v>0</v>
      </c>
      <c r="F14" s="739"/>
      <c r="G14" s="740">
        <f t="shared" si="4"/>
        <v>0</v>
      </c>
      <c r="H14" s="741"/>
      <c r="I14" s="739"/>
      <c r="J14" s="740">
        <f t="shared" si="5"/>
        <v>0</v>
      </c>
      <c r="K14" s="741"/>
      <c r="L14" s="739"/>
      <c r="M14" s="740">
        <f t="shared" si="6"/>
        <v>0</v>
      </c>
      <c r="N14" s="741"/>
      <c r="O14" s="739"/>
      <c r="P14" s="740">
        <f t="shared" si="7"/>
        <v>0</v>
      </c>
      <c r="Q14" s="741"/>
      <c r="R14" s="739"/>
      <c r="S14" s="740">
        <f t="shared" si="8"/>
        <v>0</v>
      </c>
      <c r="T14" s="741"/>
      <c r="U14" s="739"/>
      <c r="V14" s="740">
        <f t="shared" si="9"/>
        <v>0</v>
      </c>
      <c r="W14" s="741"/>
      <c r="X14" s="739"/>
      <c r="Y14" s="740">
        <f t="shared" si="10"/>
        <v>0</v>
      </c>
      <c r="Z14" s="741"/>
      <c r="AA14" s="739"/>
      <c r="AB14" s="740">
        <f t="shared" si="11"/>
        <v>0</v>
      </c>
      <c r="AC14" s="741"/>
      <c r="AD14" s="739"/>
      <c r="AE14" s="740">
        <f t="shared" si="12"/>
        <v>0</v>
      </c>
      <c r="AF14" s="741"/>
      <c r="AG14" s="739"/>
      <c r="AH14" s="740">
        <f t="shared" si="13"/>
        <v>0</v>
      </c>
      <c r="AI14" s="741"/>
      <c r="AJ14" s="739"/>
      <c r="AK14" s="740">
        <f t="shared" si="14"/>
        <v>0</v>
      </c>
      <c r="AL14" s="741"/>
      <c r="AM14" s="739"/>
      <c r="AN14" s="740">
        <f t="shared" si="15"/>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744" t="s">
        <v>59</v>
      </c>
      <c r="C15" s="739">
        <f t="shared" si="2"/>
        <v>0</v>
      </c>
      <c r="D15" s="740">
        <f t="shared" si="3"/>
        <v>0</v>
      </c>
      <c r="E15" s="741">
        <f t="shared" si="1"/>
        <v>0</v>
      </c>
      <c r="F15" s="739"/>
      <c r="G15" s="740">
        <f t="shared" si="4"/>
        <v>0</v>
      </c>
      <c r="H15" s="741"/>
      <c r="I15" s="739"/>
      <c r="J15" s="740">
        <f t="shared" si="5"/>
        <v>0</v>
      </c>
      <c r="K15" s="741"/>
      <c r="L15" s="739"/>
      <c r="M15" s="740">
        <f t="shared" si="6"/>
        <v>0</v>
      </c>
      <c r="N15" s="741"/>
      <c r="O15" s="739"/>
      <c r="P15" s="740">
        <f t="shared" si="7"/>
        <v>0</v>
      </c>
      <c r="Q15" s="741"/>
      <c r="R15" s="739"/>
      <c r="S15" s="740">
        <f t="shared" si="8"/>
        <v>0</v>
      </c>
      <c r="T15" s="741"/>
      <c r="U15" s="739"/>
      <c r="V15" s="740">
        <f t="shared" si="9"/>
        <v>0</v>
      </c>
      <c r="W15" s="741"/>
      <c r="X15" s="739"/>
      <c r="Y15" s="740">
        <f t="shared" si="10"/>
        <v>0</v>
      </c>
      <c r="Z15" s="741"/>
      <c r="AA15" s="739"/>
      <c r="AB15" s="740">
        <f t="shared" si="11"/>
        <v>0</v>
      </c>
      <c r="AC15" s="741"/>
      <c r="AD15" s="739"/>
      <c r="AE15" s="740">
        <f t="shared" si="12"/>
        <v>0</v>
      </c>
      <c r="AF15" s="741"/>
      <c r="AG15" s="739"/>
      <c r="AH15" s="740">
        <f t="shared" si="13"/>
        <v>0</v>
      </c>
      <c r="AI15" s="741"/>
      <c r="AJ15" s="739"/>
      <c r="AK15" s="740">
        <f t="shared" si="14"/>
        <v>0</v>
      </c>
      <c r="AL15" s="741"/>
      <c r="AM15" s="739"/>
      <c r="AN15" s="740">
        <f t="shared" si="15"/>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1143" t="s">
        <v>101</v>
      </c>
      <c r="C16" s="1144">
        <f>+SUM(C9:C15)</f>
        <v>683</v>
      </c>
      <c r="D16" s="1145">
        <f>IF(C16&lt;=0,0,E16/C16)</f>
        <v>2302.6229018010258</v>
      </c>
      <c r="E16" s="1146">
        <f>+SUM(E9:E15)</f>
        <v>1572691.4419301006</v>
      </c>
      <c r="F16" s="1144">
        <f>+SUM(F9:F15)</f>
        <v>45</v>
      </c>
      <c r="G16" s="1145">
        <f>IF(F16&lt;=0,0,H16/F16)</f>
        <v>2302.3263700181542</v>
      </c>
      <c r="H16" s="1146">
        <f>+SUM(H9:H15)</f>
        <v>103604.68665081695</v>
      </c>
      <c r="I16" s="1144">
        <f>+SUM(I9:I15)</f>
        <v>48</v>
      </c>
      <c r="J16" s="1145">
        <f>IF(I16&lt;=0,0,K16/I16)</f>
        <v>2300.5180556636778</v>
      </c>
      <c r="K16" s="1146">
        <f>+SUM(K9:K15)</f>
        <v>110424.86667185654</v>
      </c>
      <c r="L16" s="1144">
        <f>+SUM(L9:L15)</f>
        <v>70</v>
      </c>
      <c r="M16" s="1145">
        <f>IF(L16&lt;=0,0,N16/L16)</f>
        <v>2304.3930149946991</v>
      </c>
      <c r="N16" s="1146">
        <f>+SUM(N9:N15)</f>
        <v>161307.51104962893</v>
      </c>
      <c r="O16" s="1144">
        <f>+SUM(O9:O15)</f>
        <v>72</v>
      </c>
      <c r="P16" s="1145">
        <f>IF(O16&lt;=0,0,Q16/O16)</f>
        <v>2300.5180556636778</v>
      </c>
      <c r="Q16" s="1146">
        <f>+SUM(Q9:Q15)</f>
        <v>165637.3000077848</v>
      </c>
      <c r="R16" s="1144">
        <f>+SUM(R9:R15)</f>
        <v>75</v>
      </c>
      <c r="S16" s="1145">
        <f>IF(R16&lt;=0,0,T16/R16)</f>
        <v>2299.4330670509917</v>
      </c>
      <c r="T16" s="1146">
        <f>+SUM(T9:T15)</f>
        <v>172457.48002882439</v>
      </c>
      <c r="U16" s="1144">
        <f>+SUM(U9:U15)</f>
        <v>67</v>
      </c>
      <c r="V16" s="1145">
        <f>IF(U16&lt;=0,0,W16/U16)</f>
        <v>2305.781060128199</v>
      </c>
      <c r="W16" s="1146">
        <f>+SUM(W9:W15)</f>
        <v>154487.33102858934</v>
      </c>
      <c r="X16" s="1144">
        <f>+SUM(X9:X15)</f>
        <v>60</v>
      </c>
      <c r="Y16" s="1145">
        <f>IF(X16&lt;=0,0,Z16/X16)</f>
        <v>2305.9429987271074</v>
      </c>
      <c r="Z16" s="1146">
        <f>+SUM(Z9:Z15)</f>
        <v>138356.57992362644</v>
      </c>
      <c r="AA16" s="1144">
        <f>+SUM(AA9:AA15)</f>
        <v>55</v>
      </c>
      <c r="AB16" s="1145">
        <f>IF(AA16&lt;=0,0,AC16/AA16)</f>
        <v>2301.0112323058079</v>
      </c>
      <c r="AC16" s="1146">
        <f>+SUM(AC9:AC15)</f>
        <v>126555.61777681943</v>
      </c>
      <c r="AD16" s="1144">
        <f>+SUM(AD9:AD15)</f>
        <v>53</v>
      </c>
      <c r="AE16" s="1145">
        <f>IF(AD16&lt;=0,0,AF16/AD16)</f>
        <v>2306.1477135596897</v>
      </c>
      <c r="AF16" s="1146">
        <f>+SUM(AF9:AF15)</f>
        <v>122225.82881866355</v>
      </c>
      <c r="AG16" s="1144">
        <f>+SUM(AG9:AG15)</f>
        <v>52</v>
      </c>
      <c r="AH16" s="1145">
        <f>IF(AG16&lt;=0,0,AI16/AG16)</f>
        <v>2302.6045722265353</v>
      </c>
      <c r="AI16" s="1146">
        <f>+SUM(AI9:AI15)</f>
        <v>119735.43775577984</v>
      </c>
      <c r="AJ16" s="1144">
        <f>+SUM(AJ9:AJ15)</f>
        <v>46</v>
      </c>
      <c r="AK16" s="1145">
        <f>IF(AJ16&lt;=0,0,AL16/AJ16)</f>
        <v>2306.4147329065363</v>
      </c>
      <c r="AL16" s="1146">
        <f>+SUM(AL9:AL15)</f>
        <v>106095.07771370067</v>
      </c>
      <c r="AM16" s="1144">
        <f>+SUM(AM9:AM15)</f>
        <v>40</v>
      </c>
      <c r="AN16" s="1145">
        <f>IF(AM16&lt;=0,0,AO16/AM16)</f>
        <v>2295.0931126002483</v>
      </c>
      <c r="AO16" s="1146">
        <f>+SUM(AO9:AO15)</f>
        <v>91803.724504009937</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744"/>
      <c r="C17" s="744"/>
      <c r="D17" s="740"/>
      <c r="E17" s="745"/>
      <c r="F17" s="744"/>
      <c r="G17" s="740"/>
      <c r="H17" s="745"/>
      <c r="I17" s="744"/>
      <c r="J17" s="740"/>
      <c r="K17" s="745"/>
      <c r="L17" s="744"/>
      <c r="M17" s="740"/>
      <c r="N17" s="745"/>
      <c r="O17" s="744"/>
      <c r="P17" s="740"/>
      <c r="Q17" s="745"/>
      <c r="R17" s="744"/>
      <c r="S17" s="740"/>
      <c r="T17" s="745"/>
      <c r="U17" s="744"/>
      <c r="V17" s="740"/>
      <c r="W17" s="745"/>
      <c r="X17" s="744"/>
      <c r="Y17" s="740"/>
      <c r="Z17" s="745"/>
      <c r="AA17" s="744"/>
      <c r="AB17" s="740"/>
      <c r="AC17" s="745"/>
      <c r="AD17" s="744"/>
      <c r="AE17" s="740"/>
      <c r="AF17" s="745"/>
      <c r="AG17" s="744"/>
      <c r="AH17" s="740"/>
      <c r="AI17" s="745"/>
      <c r="AJ17" s="744"/>
      <c r="AK17" s="740"/>
      <c r="AL17" s="745"/>
      <c r="AM17" s="744"/>
      <c r="AN17" s="740"/>
      <c r="AO17" s="745"/>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1147" t="s">
        <v>102</v>
      </c>
      <c r="C18" s="746">
        <f>+SUM(F18,I18,L18,O18,R18,U18,X18,AA18,AD18,AG18,AJ18,AM18)</f>
        <v>40</v>
      </c>
      <c r="D18" s="747">
        <f>IF(C18=0,0,E18/C18)</f>
        <v>1524.8245365854229</v>
      </c>
      <c r="E18" s="748">
        <f>+SUM(H18,K18,N18,Q18,T18,W18,Z18,AC18,AF18,AI18,AL18,AO18)</f>
        <v>60992.981463416916</v>
      </c>
      <c r="F18" s="749">
        <f>'[1]Vehicules neuf 2026'!E37</f>
        <v>3</v>
      </c>
      <c r="G18" s="747">
        <f>IF(F18=0,0,H18/F18)</f>
        <v>1524.8245365854227</v>
      </c>
      <c r="H18" s="750">
        <f>'[1]Vehicules neuf 2026'!E55</f>
        <v>4574.4736097562682</v>
      </c>
      <c r="I18" s="749">
        <f>'[1]Vehicules neuf 2026'!F37</f>
        <v>3</v>
      </c>
      <c r="J18" s="747">
        <f>IF(I18=0,0,K18/I18)</f>
        <v>1524.8245365854227</v>
      </c>
      <c r="K18" s="750">
        <f>'[1]Vehicules neuf 2026'!F55</f>
        <v>4574.4736097562682</v>
      </c>
      <c r="L18" s="749">
        <f>'[1]Vehicules neuf 2026'!G37</f>
        <v>4</v>
      </c>
      <c r="M18" s="747">
        <f>IF(L18=0,0,N18/L18)</f>
        <v>1524.8245365854227</v>
      </c>
      <c r="N18" s="750">
        <f>'[1]Vehicules neuf 2026'!G55</f>
        <v>6099.2981463416909</v>
      </c>
      <c r="O18" s="749">
        <f>'[1]Vehicules neuf 2026'!H37</f>
        <v>4</v>
      </c>
      <c r="P18" s="747">
        <f>IF(O18=0,0,Q18/O18)</f>
        <v>1524.8245365854227</v>
      </c>
      <c r="Q18" s="750">
        <f>'[1]Vehicules neuf 2026'!H55</f>
        <v>6099.2981463416909</v>
      </c>
      <c r="R18" s="749">
        <f>'[1]Vehicules neuf 2026'!I37</f>
        <v>4</v>
      </c>
      <c r="S18" s="747">
        <f>IF(R18=0,0,T18/R18)</f>
        <v>1524.8245365854227</v>
      </c>
      <c r="T18" s="750">
        <f>'[1]Vehicules neuf 2026'!I55</f>
        <v>6099.2981463416909</v>
      </c>
      <c r="U18" s="749">
        <f>'[1]Vehicules neuf 2026'!J37</f>
        <v>4</v>
      </c>
      <c r="V18" s="747">
        <f>IF(U18=0,0,W18/U18)</f>
        <v>1524.8245365854227</v>
      </c>
      <c r="W18" s="750">
        <f>'[1]Vehicules neuf 2026'!J55</f>
        <v>6099.2981463416909</v>
      </c>
      <c r="X18" s="749">
        <f>'[1]Vehicules neuf 2026'!K37</f>
        <v>4</v>
      </c>
      <c r="Y18" s="747">
        <f>IF(X18=0,0,Z18/X18)</f>
        <v>1524.8245365854227</v>
      </c>
      <c r="Z18" s="750">
        <f>'[1]Vehicules neuf 2026'!K55</f>
        <v>6099.2981463416909</v>
      </c>
      <c r="AA18" s="749">
        <f>'[1]Vehicules neuf 2026'!L37</f>
        <v>3</v>
      </c>
      <c r="AB18" s="747">
        <f>IF(AA18=0,0,AC18/AA18)</f>
        <v>1524.8245365854227</v>
      </c>
      <c r="AC18" s="750">
        <f>'[1]Vehicules neuf 2026'!L55</f>
        <v>4574.4736097562682</v>
      </c>
      <c r="AD18" s="749">
        <f>'[1]Vehicules neuf 2026'!M37</f>
        <v>3</v>
      </c>
      <c r="AE18" s="747">
        <f>IF(AD18=0,0,AF18/AD18)</f>
        <v>1524.8245365854227</v>
      </c>
      <c r="AF18" s="750">
        <f>'[1]Vehicules neuf 2026'!M55</f>
        <v>4574.4736097562682</v>
      </c>
      <c r="AG18" s="749">
        <f>'[1]Vehicules neuf 2026'!N37</f>
        <v>3</v>
      </c>
      <c r="AH18" s="747">
        <f>IF(AG18=0,0,AI18/AG18)</f>
        <v>1524.8245365854227</v>
      </c>
      <c r="AI18" s="750">
        <f>'[1]Vehicules neuf 2026'!N55</f>
        <v>4574.4736097562682</v>
      </c>
      <c r="AJ18" s="749">
        <f>'[1]Vehicules neuf 2026'!O37</f>
        <v>3</v>
      </c>
      <c r="AK18" s="747">
        <f>IF(AJ18=0,0,AL18/AJ18)</f>
        <v>1524.8245365854227</v>
      </c>
      <c r="AL18" s="750">
        <f>'[1]Vehicules neuf 2026'!O55</f>
        <v>4574.4736097562682</v>
      </c>
      <c r="AM18" s="749">
        <f>'[1]Vehicules neuf 2026'!P37</f>
        <v>2</v>
      </c>
      <c r="AN18" s="747">
        <f>IF(AM18=0,0,AO18/AM18)</f>
        <v>1524.8245365854227</v>
      </c>
      <c r="AO18" s="750">
        <f>'[1]Vehicules neuf 2026'!P55</f>
        <v>3049.6490731708454</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744"/>
      <c r="C19" s="744"/>
      <c r="D19" s="740"/>
      <c r="E19" s="745"/>
      <c r="F19" s="744"/>
      <c r="G19" s="740"/>
      <c r="H19" s="745"/>
      <c r="I19" s="744"/>
      <c r="J19" s="740"/>
      <c r="K19" s="745"/>
      <c r="L19" s="744"/>
      <c r="M19" s="740"/>
      <c r="N19" s="745"/>
      <c r="O19" s="744"/>
      <c r="P19" s="740"/>
      <c r="Q19" s="745"/>
      <c r="R19" s="744"/>
      <c r="S19" s="740"/>
      <c r="T19" s="745"/>
      <c r="U19" s="744"/>
      <c r="V19" s="740"/>
      <c r="W19" s="745"/>
      <c r="X19" s="744"/>
      <c r="Y19" s="740"/>
      <c r="Z19" s="745"/>
      <c r="AA19" s="744"/>
      <c r="AB19" s="740"/>
      <c r="AC19" s="745"/>
      <c r="AD19" s="744"/>
      <c r="AE19" s="740"/>
      <c r="AF19" s="745"/>
      <c r="AG19" s="744"/>
      <c r="AH19" s="740"/>
      <c r="AI19" s="745"/>
      <c r="AJ19" s="744"/>
      <c r="AK19" s="740"/>
      <c r="AL19" s="745"/>
      <c r="AM19" s="744"/>
      <c r="AN19" s="740"/>
      <c r="AO19" s="745"/>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791" t="s">
        <v>103</v>
      </c>
      <c r="C20" s="739">
        <f>+SUM(F20,I20,L20,O20,R20,U20,X20,AA20,AD20,AG20,AJ20,AM20)</f>
        <v>49</v>
      </c>
      <c r="D20" s="740">
        <f>IF(C20=0,0,E20/C20)</f>
        <v>1300.6851300000001</v>
      </c>
      <c r="E20" s="741">
        <f>+SUM(H20,K20,N20,Q20,T20,W20,Z20,AC20,AF20,AI20,AL20,AO20)</f>
        <v>63733.571370000005</v>
      </c>
      <c r="F20" s="742">
        <f>'[1]Vehicules neuf 2026'!E38</f>
        <v>3</v>
      </c>
      <c r="G20" s="740">
        <f>IF(F20=0,0,H20/F20)</f>
        <v>1300.6851300000001</v>
      </c>
      <c r="H20" s="743">
        <f>'[1]Vehicules neuf 2026'!E56</f>
        <v>3902.0553900000004</v>
      </c>
      <c r="I20" s="742">
        <f>'[1]Vehicules neuf 2026'!F38</f>
        <v>4</v>
      </c>
      <c r="J20" s="740">
        <f>IF(I20=0,0,K20/I20)</f>
        <v>1300.6851300000001</v>
      </c>
      <c r="K20" s="743">
        <f>'[1]Vehicules neuf 2026'!F56</f>
        <v>5202.7405200000003</v>
      </c>
      <c r="L20" s="742">
        <f>'[1]Vehicules neuf 2026'!G38</f>
        <v>5</v>
      </c>
      <c r="M20" s="740">
        <f>IF(L20=0,0,N20/L20)</f>
        <v>1300.6851300000001</v>
      </c>
      <c r="N20" s="743">
        <f>'[1]Vehicules neuf 2026'!G56</f>
        <v>6503.4256500000001</v>
      </c>
      <c r="O20" s="742">
        <f>'[1]Vehicules neuf 2026'!H38</f>
        <v>5</v>
      </c>
      <c r="P20" s="740">
        <f>IF(O20=0,0,Q20/O20)</f>
        <v>1300.6851300000001</v>
      </c>
      <c r="Q20" s="743">
        <f>'[1]Vehicules neuf 2026'!H56</f>
        <v>6503.4256500000001</v>
      </c>
      <c r="R20" s="742">
        <f>'[1]Vehicules neuf 2026'!I38</f>
        <v>5</v>
      </c>
      <c r="S20" s="740">
        <f>IF(R20=0,0,T20/R20)</f>
        <v>1300.6851300000001</v>
      </c>
      <c r="T20" s="743">
        <f>'[1]Vehicules neuf 2026'!I56</f>
        <v>6503.4256500000001</v>
      </c>
      <c r="U20" s="742">
        <f>'[1]Vehicules neuf 2026'!J38</f>
        <v>5</v>
      </c>
      <c r="V20" s="740">
        <f>IF(U20=0,0,W20/U20)</f>
        <v>1300.6851300000001</v>
      </c>
      <c r="W20" s="743">
        <f>'[1]Vehicules neuf 2026'!J56</f>
        <v>6503.4256500000001</v>
      </c>
      <c r="X20" s="742">
        <f>'[1]Vehicules neuf 2026'!K38</f>
        <v>4</v>
      </c>
      <c r="Y20" s="740">
        <f>IF(X20=0,0,Z20/X20)</f>
        <v>1300.6851300000001</v>
      </c>
      <c r="Z20" s="743">
        <f>'[1]Vehicules neuf 2026'!K56</f>
        <v>5202.7405200000003</v>
      </c>
      <c r="AA20" s="742">
        <f>'[1]Vehicules neuf 2026'!L38</f>
        <v>4</v>
      </c>
      <c r="AB20" s="740">
        <f>IF(AA20=0,0,AC20/AA20)</f>
        <v>1300.6851300000001</v>
      </c>
      <c r="AC20" s="743">
        <f>'[1]Vehicules neuf 2026'!L56</f>
        <v>5202.7405200000003</v>
      </c>
      <c r="AD20" s="742">
        <f>'[1]Vehicules neuf 2026'!M38</f>
        <v>4</v>
      </c>
      <c r="AE20" s="740">
        <f>IF(AD20=0,0,AF20/AD20)</f>
        <v>1300.6851300000001</v>
      </c>
      <c r="AF20" s="743">
        <f>'[1]Vehicules neuf 2026'!M56</f>
        <v>5202.7405200000003</v>
      </c>
      <c r="AG20" s="742">
        <f>'[1]Vehicules neuf 2026'!N38</f>
        <v>4</v>
      </c>
      <c r="AH20" s="740">
        <f>IF(AG20=0,0,AI20/AG20)</f>
        <v>1300.6851300000001</v>
      </c>
      <c r="AI20" s="743">
        <f>'[1]Vehicules neuf 2026'!N56</f>
        <v>5202.7405200000003</v>
      </c>
      <c r="AJ20" s="742">
        <f>'[1]Vehicules neuf 2026'!O38</f>
        <v>3</v>
      </c>
      <c r="AK20" s="740">
        <f>IF(AJ20=0,0,AL20/AJ20)</f>
        <v>1300.6851300000001</v>
      </c>
      <c r="AL20" s="743">
        <f>'[1]Vehicules neuf 2026'!O56</f>
        <v>3902.0553900000004</v>
      </c>
      <c r="AM20" s="742">
        <f>'[1]Vehicules neuf 2026'!P38</f>
        <v>3</v>
      </c>
      <c r="AN20" s="740">
        <f>IF(AM20=0,0,AO20/AM20)</f>
        <v>1300.6851300000001</v>
      </c>
      <c r="AO20" s="743">
        <f>'[1]Vehicules neuf 2026'!P56</f>
        <v>3902.0553900000004</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1143"/>
      <c r="C21" s="1148"/>
      <c r="D21" s="1149"/>
      <c r="E21" s="1150"/>
      <c r="F21" s="1148"/>
      <c r="G21" s="1149"/>
      <c r="H21" s="1150"/>
      <c r="I21" s="1148"/>
      <c r="J21" s="1149"/>
      <c r="K21" s="1150"/>
      <c r="L21" s="1148"/>
      <c r="M21" s="1149"/>
      <c r="N21" s="1150"/>
      <c r="O21" s="1148"/>
      <c r="P21" s="1149"/>
      <c r="Q21" s="1150"/>
      <c r="R21" s="1148"/>
      <c r="S21" s="1149"/>
      <c r="T21" s="1150"/>
      <c r="U21" s="1148"/>
      <c r="V21" s="1149"/>
      <c r="W21" s="1150"/>
      <c r="X21" s="1148"/>
      <c r="Y21" s="1149"/>
      <c r="Z21" s="1150"/>
      <c r="AA21" s="1148"/>
      <c r="AB21" s="1149"/>
      <c r="AC21" s="1150"/>
      <c r="AD21" s="1148"/>
      <c r="AE21" s="1149"/>
      <c r="AF21" s="1150"/>
      <c r="AG21" s="1148"/>
      <c r="AH21" s="1149"/>
      <c r="AI21" s="1150"/>
      <c r="AJ21" s="1148"/>
      <c r="AK21" s="1149"/>
      <c r="AL21" s="1150"/>
      <c r="AM21" s="1148"/>
      <c r="AN21" s="1149"/>
      <c r="AO21" s="1150"/>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1151" t="s">
        <v>104</v>
      </c>
      <c r="C22" s="739"/>
      <c r="D22" s="740"/>
      <c r="E22" s="741">
        <f>+SUM(H22,K22,N22,Q22,T22,W22,Z22,AC22,AF22,AI22,AL22,AO22)</f>
        <v>99999.999999999985</v>
      </c>
      <c r="F22" s="739"/>
      <c r="G22" s="740"/>
      <c r="H22" s="743">
        <f>'[1]Vehicules neuf 2026'!E57</f>
        <v>6607.929515418502</v>
      </c>
      <c r="I22" s="739"/>
      <c r="J22" s="740"/>
      <c r="K22" s="743">
        <f>'[1]Vehicules neuf 2026'!F57</f>
        <v>7048.4581497797362</v>
      </c>
      <c r="L22" s="739"/>
      <c r="M22" s="740"/>
      <c r="N22" s="743">
        <f>'[1]Vehicules neuf 2026'!G57</f>
        <v>10279.00146842878</v>
      </c>
      <c r="O22" s="739"/>
      <c r="P22" s="740"/>
      <c r="Q22" s="743">
        <f>'[1]Vehicules neuf 2026'!H57</f>
        <v>10425.844346549193</v>
      </c>
      <c r="R22" s="739"/>
      <c r="S22" s="740"/>
      <c r="T22" s="743">
        <f>'[1]Vehicules neuf 2026'!I57</f>
        <v>10866.372980910426</v>
      </c>
      <c r="U22" s="739"/>
      <c r="V22" s="740"/>
      <c r="W22" s="743">
        <f>'[1]Vehicules neuf 2026'!J57</f>
        <v>9838.4728340675483</v>
      </c>
      <c r="X22" s="739"/>
      <c r="Y22" s="740"/>
      <c r="Z22" s="743">
        <f>'[1]Vehicules neuf 2026'!K57</f>
        <v>8810.5726872246705</v>
      </c>
      <c r="AA22" s="739"/>
      <c r="AB22" s="740"/>
      <c r="AC22" s="743">
        <f>'[1]Vehicules neuf 2026'!L57</f>
        <v>8076.358296622614</v>
      </c>
      <c r="AD22" s="739"/>
      <c r="AE22" s="740"/>
      <c r="AF22" s="743">
        <f>'[1]Vehicules neuf 2026'!M57</f>
        <v>7782.6725403817909</v>
      </c>
      <c r="AG22" s="739"/>
      <c r="AH22" s="740"/>
      <c r="AI22" s="743">
        <f>'[1]Vehicules neuf 2026'!N57</f>
        <v>7635.8296622613798</v>
      </c>
      <c r="AJ22" s="739"/>
      <c r="AK22" s="740"/>
      <c r="AL22" s="743">
        <f>'[1]Vehicules neuf 2026'!O57</f>
        <v>6754.7723935389131</v>
      </c>
      <c r="AM22" s="739"/>
      <c r="AN22" s="740"/>
      <c r="AO22" s="743">
        <f>'[1]Vehicules neuf 2026'!P57</f>
        <v>5873.7151248164464</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1143"/>
      <c r="C23" s="1148"/>
      <c r="D23" s="1149"/>
      <c r="E23" s="1150"/>
      <c r="F23" s="1148"/>
      <c r="G23" s="1149"/>
      <c r="H23" s="1150"/>
      <c r="I23" s="1148"/>
      <c r="J23" s="1149"/>
      <c r="K23" s="1150"/>
      <c r="L23" s="1148"/>
      <c r="M23" s="1149"/>
      <c r="N23" s="1150"/>
      <c r="O23" s="1148"/>
      <c r="P23" s="1149"/>
      <c r="Q23" s="1150"/>
      <c r="R23" s="1148"/>
      <c r="S23" s="1149"/>
      <c r="T23" s="1150"/>
      <c r="U23" s="1148"/>
      <c r="V23" s="1149"/>
      <c r="W23" s="1150"/>
      <c r="X23" s="1148"/>
      <c r="Y23" s="1149"/>
      <c r="Z23" s="1150"/>
      <c r="AA23" s="1148"/>
      <c r="AB23" s="1149"/>
      <c r="AC23" s="1150"/>
      <c r="AD23" s="1148"/>
      <c r="AE23" s="1149"/>
      <c r="AF23" s="1150"/>
      <c r="AG23" s="1148"/>
      <c r="AH23" s="1149"/>
      <c r="AI23" s="1150"/>
      <c r="AJ23" s="1148"/>
      <c r="AK23" s="1149"/>
      <c r="AL23" s="1150"/>
      <c r="AM23" s="1148"/>
      <c r="AN23" s="1149"/>
      <c r="AO23" s="1150"/>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744" t="s">
        <v>105</v>
      </c>
      <c r="C24" s="739"/>
      <c r="D24" s="740">
        <f>IF(C16=0,0,E24/(C16+C18))</f>
        <v>50</v>
      </c>
      <c r="E24" s="741">
        <f>+SUM(H24,K24,N24,Q24,T24,W24,Z24,AC24,AF24,AI24,AL24,AO24)</f>
        <v>36150</v>
      </c>
      <c r="F24" s="742"/>
      <c r="G24" s="740">
        <f>IF(F16=0,0,H24/(F16+F18))</f>
        <v>50</v>
      </c>
      <c r="H24" s="743">
        <f>'[1]Vehicules neuf 2026'!E79</f>
        <v>2400</v>
      </c>
      <c r="I24" s="742"/>
      <c r="J24" s="740">
        <f>IF(I16=0,0,K24/(I16+I18))</f>
        <v>50</v>
      </c>
      <c r="K24" s="743">
        <f>'[1]Vehicules neuf 2026'!F79</f>
        <v>2550</v>
      </c>
      <c r="L24" s="742"/>
      <c r="M24" s="740">
        <f>IF(L16=0,0,N24/(L16+L18))</f>
        <v>50</v>
      </c>
      <c r="N24" s="743">
        <f>'[1]Vehicules neuf 2026'!G79</f>
        <v>3700</v>
      </c>
      <c r="O24" s="742"/>
      <c r="P24" s="740">
        <f>IF(O16=0,0,Q24/(O16+O18))</f>
        <v>50</v>
      </c>
      <c r="Q24" s="743">
        <f>'[1]Vehicules neuf 2026'!H79</f>
        <v>3800</v>
      </c>
      <c r="R24" s="742"/>
      <c r="S24" s="740">
        <f>IF(R16=0,0,T24/(R16+R18))</f>
        <v>50</v>
      </c>
      <c r="T24" s="743">
        <f>'[1]Vehicules neuf 2026'!I79</f>
        <v>3950</v>
      </c>
      <c r="U24" s="742"/>
      <c r="V24" s="740">
        <f>IF(U16=0,0,W24/(U16+U18))</f>
        <v>50</v>
      </c>
      <c r="W24" s="743">
        <f>'[1]Vehicules neuf 2026'!J79</f>
        <v>3550</v>
      </c>
      <c r="X24" s="742"/>
      <c r="Y24" s="740">
        <f>IF(X16=0,0,Z24/(X16+X18))</f>
        <v>50</v>
      </c>
      <c r="Z24" s="743">
        <f>'[1]Vehicules neuf 2026'!K79</f>
        <v>3200</v>
      </c>
      <c r="AA24" s="742"/>
      <c r="AB24" s="740">
        <f>IF(AA16=0,0,AC24/(AA16+AA18))</f>
        <v>50</v>
      </c>
      <c r="AC24" s="743">
        <f>'[1]Vehicules neuf 2026'!L79</f>
        <v>2900</v>
      </c>
      <c r="AD24" s="742"/>
      <c r="AE24" s="740">
        <f>IF(AD16=0,0,AF24/(AD16+AD18))</f>
        <v>50</v>
      </c>
      <c r="AF24" s="743">
        <f>'[1]Vehicules neuf 2026'!M79</f>
        <v>2800</v>
      </c>
      <c r="AG24" s="742"/>
      <c r="AH24" s="740">
        <f>IF(AG16=0,0,AI24/(AG16+AG18))</f>
        <v>50</v>
      </c>
      <c r="AI24" s="743">
        <f>'[1]Vehicules neuf 2026'!N79</f>
        <v>2750</v>
      </c>
      <c r="AJ24" s="742"/>
      <c r="AK24" s="740">
        <f>IF(AJ16=0,0,AL24/(AJ16+AJ18))</f>
        <v>50</v>
      </c>
      <c r="AL24" s="743">
        <f>'[1]Vehicules neuf 2026'!O79</f>
        <v>2450</v>
      </c>
      <c r="AM24" s="742"/>
      <c r="AN24" s="740">
        <f>IF(AM16=0,0,AO24/(AM16+AM18))</f>
        <v>50</v>
      </c>
      <c r="AO24" s="743">
        <f>'[1]Vehicules neuf 2026'!P79</f>
        <v>2100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744" t="s">
        <v>106</v>
      </c>
      <c r="C25" s="739"/>
      <c r="D25" s="740">
        <f>IF(C16=0,0,E25/(C16+C18))</f>
        <v>1130</v>
      </c>
      <c r="E25" s="741">
        <f>+SUM(H25,K25,N25,Q25,T25,W25,Z25,AC25,AF25,AI25,AL25,AO25)</f>
        <v>816990</v>
      </c>
      <c r="F25" s="742"/>
      <c r="G25" s="740">
        <f>IF(F16=0,0,H25/(F16+F18))</f>
        <v>1130</v>
      </c>
      <c r="H25" s="743">
        <f>'[1]Vehicules neuf 2026'!E80</f>
        <v>54240</v>
      </c>
      <c r="I25" s="742"/>
      <c r="J25" s="740">
        <f>IF(I16=0,0,K25/(I16+I18))</f>
        <v>1130</v>
      </c>
      <c r="K25" s="743">
        <f>'[1]Vehicules neuf 2026'!F80</f>
        <v>57630</v>
      </c>
      <c r="L25" s="742"/>
      <c r="M25" s="740">
        <f>IF(L16=0,0,N25/(L16+L18))</f>
        <v>1130</v>
      </c>
      <c r="N25" s="743">
        <f>'[1]Vehicules neuf 2026'!G80</f>
        <v>83620</v>
      </c>
      <c r="O25" s="742"/>
      <c r="P25" s="740">
        <f>IF(O16=0,0,Q25/(O16+O18))</f>
        <v>1130</v>
      </c>
      <c r="Q25" s="743">
        <f>'[1]Vehicules neuf 2026'!H80</f>
        <v>85880</v>
      </c>
      <c r="R25" s="742"/>
      <c r="S25" s="740">
        <f>IF(R16=0,0,T25/(R16+R18))</f>
        <v>1130</v>
      </c>
      <c r="T25" s="743">
        <f>'[1]Vehicules neuf 2026'!I80</f>
        <v>89270</v>
      </c>
      <c r="U25" s="742"/>
      <c r="V25" s="740">
        <f>IF(U16=0,0,W25/(U16+U18))</f>
        <v>1130</v>
      </c>
      <c r="W25" s="743">
        <f>'[1]Vehicules neuf 2026'!J80</f>
        <v>80230</v>
      </c>
      <c r="X25" s="742"/>
      <c r="Y25" s="740">
        <f>IF(X16=0,0,Z25/(X16+X18))</f>
        <v>1130</v>
      </c>
      <c r="Z25" s="743">
        <f>'[1]Vehicules neuf 2026'!K80</f>
        <v>72320</v>
      </c>
      <c r="AA25" s="742"/>
      <c r="AB25" s="740">
        <f>IF(AA16=0,0,AC25/(AA16+AA18))</f>
        <v>1130</v>
      </c>
      <c r="AC25" s="743">
        <f>'[1]Vehicules neuf 2026'!L80</f>
        <v>65540</v>
      </c>
      <c r="AD25" s="742"/>
      <c r="AE25" s="740">
        <f>IF(AD16=0,0,AF25/(AD16+AD18))</f>
        <v>1130</v>
      </c>
      <c r="AF25" s="743">
        <f>'[1]Vehicules neuf 2026'!M80</f>
        <v>63280</v>
      </c>
      <c r="AG25" s="742"/>
      <c r="AH25" s="740">
        <f>IF(AG16=0,0,AI25/(AG16+AG18))</f>
        <v>1130</v>
      </c>
      <c r="AI25" s="743">
        <f>'[1]Vehicules neuf 2026'!N80</f>
        <v>62150</v>
      </c>
      <c r="AJ25" s="742"/>
      <c r="AK25" s="740">
        <f>IF(AJ16=0,0,AL25/(AJ16+AJ18))</f>
        <v>1130</v>
      </c>
      <c r="AL25" s="743">
        <f>'[1]Vehicules neuf 2026'!O80</f>
        <v>55370</v>
      </c>
      <c r="AM25" s="742"/>
      <c r="AN25" s="740">
        <f>IF(AM16=0,0,AO25/(AM16+AM18))</f>
        <v>1130</v>
      </c>
      <c r="AO25" s="743">
        <f>'[1]Vehicules neuf 2026'!P80</f>
        <v>47460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744" t="s">
        <v>107</v>
      </c>
      <c r="C26" s="739"/>
      <c r="D26" s="740">
        <f>IF(C16=0,0,E26/(C16+C18))</f>
        <v>20</v>
      </c>
      <c r="E26" s="741">
        <f>+SUM(H26,K26,N26,Q26,T26,W26,Z26,AC26,AF26,AI26,AL26,AO26)</f>
        <v>14460</v>
      </c>
      <c r="F26" s="742"/>
      <c r="G26" s="740">
        <f>IF(F16=0,0,H26/(F16+F18))</f>
        <v>20</v>
      </c>
      <c r="H26" s="743">
        <f>'[1]Vehicules neuf 2026'!E81</f>
        <v>960</v>
      </c>
      <c r="I26" s="742"/>
      <c r="J26" s="740">
        <f>IF(I16=0,0,K26/(I16+I18))</f>
        <v>20</v>
      </c>
      <c r="K26" s="743">
        <f>'[1]Vehicules neuf 2026'!F81</f>
        <v>1020</v>
      </c>
      <c r="L26" s="742"/>
      <c r="M26" s="740">
        <f>IF(L16=0,0,N26/(L16+L18))</f>
        <v>20</v>
      </c>
      <c r="N26" s="743">
        <f>'[1]Vehicules neuf 2026'!G81</f>
        <v>1480</v>
      </c>
      <c r="O26" s="742"/>
      <c r="P26" s="740">
        <f>IF(O16=0,0,Q26/(O16+O18))</f>
        <v>20</v>
      </c>
      <c r="Q26" s="743">
        <f>'[1]Vehicules neuf 2026'!H81</f>
        <v>1520</v>
      </c>
      <c r="R26" s="742"/>
      <c r="S26" s="740">
        <f>IF(R16=0,0,T26/(R16+R18))</f>
        <v>20</v>
      </c>
      <c r="T26" s="743">
        <f>'[1]Vehicules neuf 2026'!I81</f>
        <v>1580</v>
      </c>
      <c r="U26" s="742"/>
      <c r="V26" s="740">
        <f>IF(U16=0,0,W26/(U16+U18))</f>
        <v>20</v>
      </c>
      <c r="W26" s="743">
        <f>'[1]Vehicules neuf 2026'!J81</f>
        <v>1420</v>
      </c>
      <c r="X26" s="742"/>
      <c r="Y26" s="740">
        <f>IF(X16=0,0,Z26/(X16+X18))</f>
        <v>20</v>
      </c>
      <c r="Z26" s="743">
        <f>'[1]Vehicules neuf 2026'!K81</f>
        <v>1280</v>
      </c>
      <c r="AA26" s="742"/>
      <c r="AB26" s="740">
        <f>IF(AA16=0,0,AC26/(AA16+AA18))</f>
        <v>20</v>
      </c>
      <c r="AC26" s="743">
        <f>'[1]Vehicules neuf 2026'!L81</f>
        <v>1160</v>
      </c>
      <c r="AD26" s="742"/>
      <c r="AE26" s="740">
        <f>IF(AD16=0,0,AF26/(AD16+AD18))</f>
        <v>20</v>
      </c>
      <c r="AF26" s="743">
        <f>'[1]Vehicules neuf 2026'!M81</f>
        <v>1120</v>
      </c>
      <c r="AG26" s="742"/>
      <c r="AH26" s="740">
        <f>IF(AG16=0,0,AI26/(AG16+AG18))</f>
        <v>20</v>
      </c>
      <c r="AI26" s="743">
        <f>'[1]Vehicules neuf 2026'!N81</f>
        <v>1100</v>
      </c>
      <c r="AJ26" s="742"/>
      <c r="AK26" s="740">
        <f>IF(AJ16=0,0,AL26/(AJ16+AJ18))</f>
        <v>20</v>
      </c>
      <c r="AL26" s="743">
        <f>'[1]Vehicules neuf 2026'!O81</f>
        <v>980</v>
      </c>
      <c r="AM26" s="742"/>
      <c r="AN26" s="740">
        <f>IF(AM16=0,0,AO26/(AM16+AM18))</f>
        <v>20</v>
      </c>
      <c r="AO26" s="743">
        <f>'[1]Vehicules neuf 2026'!P81</f>
        <v>840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1143" t="s">
        <v>108</v>
      </c>
      <c r="C27" s="1144">
        <f>+C18+C16</f>
        <v>723</v>
      </c>
      <c r="D27" s="1145">
        <f>IF(C27&lt;=0,0,E27/C27)</f>
        <v>1200</v>
      </c>
      <c r="E27" s="1146">
        <f>E24+E25+E26</f>
        <v>867600</v>
      </c>
      <c r="F27" s="1144">
        <f>+F18+F16</f>
        <v>48</v>
      </c>
      <c r="G27" s="1145">
        <f>IF(F27&lt;=0,0,H27/F27)</f>
        <v>1200</v>
      </c>
      <c r="H27" s="1146">
        <f>H24+H25+H26</f>
        <v>57600</v>
      </c>
      <c r="I27" s="1144">
        <f>+I18+I16</f>
        <v>51</v>
      </c>
      <c r="J27" s="1145">
        <f>IF(I27&lt;=0,0,K27/I27)</f>
        <v>1200</v>
      </c>
      <c r="K27" s="1146">
        <f>K24+K25+K26</f>
        <v>61200</v>
      </c>
      <c r="L27" s="1144">
        <f>+L18+L16</f>
        <v>74</v>
      </c>
      <c r="M27" s="1145">
        <f>IF(L27&lt;=0,0,N27/L27)</f>
        <v>1200</v>
      </c>
      <c r="N27" s="1146">
        <f>N24+N25+N26</f>
        <v>88800</v>
      </c>
      <c r="O27" s="1144">
        <f>+O18+O16</f>
        <v>76</v>
      </c>
      <c r="P27" s="1145">
        <f>IF(O27&lt;=0,0,Q27/O27)</f>
        <v>1200</v>
      </c>
      <c r="Q27" s="1146">
        <f>Q24+Q25+Q26</f>
        <v>91200</v>
      </c>
      <c r="R27" s="1144">
        <f>+R18+R16</f>
        <v>79</v>
      </c>
      <c r="S27" s="1145">
        <f>IF(R27&lt;=0,0,T27/R27)</f>
        <v>1200</v>
      </c>
      <c r="T27" s="1146">
        <f>T24+T25+T26</f>
        <v>94800</v>
      </c>
      <c r="U27" s="1144">
        <f>+U18+U16</f>
        <v>71</v>
      </c>
      <c r="V27" s="1145">
        <f>IF(U27&lt;=0,0,W27/U27)</f>
        <v>1200</v>
      </c>
      <c r="W27" s="1146">
        <f>W24+W25+W26</f>
        <v>85200</v>
      </c>
      <c r="X27" s="1144">
        <f>+X18+X16</f>
        <v>64</v>
      </c>
      <c r="Y27" s="1145">
        <f>IF(X27&lt;=0,0,Z27/X27)</f>
        <v>1200</v>
      </c>
      <c r="Z27" s="1146">
        <f>Z24+Z25+Z26</f>
        <v>76800</v>
      </c>
      <c r="AA27" s="1144">
        <f>+AA18+AA16</f>
        <v>58</v>
      </c>
      <c r="AB27" s="1145">
        <f>IF(AA27&lt;=0,0,AC27/AA27)</f>
        <v>1200</v>
      </c>
      <c r="AC27" s="1146">
        <f>AC24+AC25+AC26</f>
        <v>69600</v>
      </c>
      <c r="AD27" s="1144">
        <f>+AD18+AD16</f>
        <v>56</v>
      </c>
      <c r="AE27" s="1145">
        <f>IF(AD27&lt;=0,0,AF27/AD27)</f>
        <v>1200</v>
      </c>
      <c r="AF27" s="1146">
        <f>AF24+AF25+AF26</f>
        <v>67200</v>
      </c>
      <c r="AG27" s="1144">
        <f>+AG18+AG16</f>
        <v>55</v>
      </c>
      <c r="AH27" s="1145">
        <f>IF(AG27&lt;=0,0,AI27/AG27)</f>
        <v>1200</v>
      </c>
      <c r="AI27" s="1146">
        <f>AI24+AI25+AI26</f>
        <v>66000</v>
      </c>
      <c r="AJ27" s="1144">
        <f>+AJ18+AJ16</f>
        <v>49</v>
      </c>
      <c r="AK27" s="1145">
        <f>IF(AJ27&lt;=0,0,AL27/AJ27)</f>
        <v>1200</v>
      </c>
      <c r="AL27" s="1146">
        <f>AL24+AL25+AL26</f>
        <v>58800</v>
      </c>
      <c r="AM27" s="1144">
        <f>+AM18+AM16</f>
        <v>42</v>
      </c>
      <c r="AN27" s="1145">
        <f>IF(AM27&lt;=0,0,AO27/AM27)</f>
        <v>1200</v>
      </c>
      <c r="AO27" s="1146">
        <f>AO24+AO25+AO26</f>
        <v>50400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744"/>
      <c r="C28" s="744"/>
      <c r="D28" s="751"/>
      <c r="E28" s="752"/>
      <c r="F28" s="744"/>
      <c r="G28" s="751"/>
      <c r="H28" s="752"/>
      <c r="I28" s="744"/>
      <c r="J28" s="751"/>
      <c r="K28" s="752"/>
      <c r="L28" s="744"/>
      <c r="M28" s="751"/>
      <c r="N28" s="752"/>
      <c r="O28" s="744"/>
      <c r="P28" s="751"/>
      <c r="Q28" s="752"/>
      <c r="R28" s="744"/>
      <c r="S28" s="751"/>
      <c r="T28" s="752"/>
      <c r="U28" s="744"/>
      <c r="V28" s="751"/>
      <c r="W28" s="752"/>
      <c r="X28" s="744"/>
      <c r="Y28" s="751"/>
      <c r="Z28" s="752"/>
      <c r="AA28" s="744"/>
      <c r="AB28" s="751"/>
      <c r="AC28" s="752"/>
      <c r="AD28" s="744"/>
      <c r="AE28" s="751"/>
      <c r="AF28" s="752"/>
      <c r="AG28" s="744"/>
      <c r="AH28" s="751"/>
      <c r="AI28" s="752"/>
      <c r="AJ28" s="744"/>
      <c r="AK28" s="751"/>
      <c r="AL28" s="752"/>
      <c r="AM28" s="744"/>
      <c r="AN28" s="751"/>
      <c r="AO28" s="752"/>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744"/>
      <c r="C29" s="744"/>
      <c r="D29" s="751"/>
      <c r="E29" s="745"/>
      <c r="F29" s="744"/>
      <c r="G29" s="751"/>
      <c r="H29" s="745"/>
      <c r="I29" s="744"/>
      <c r="J29" s="751"/>
      <c r="K29" s="745"/>
      <c r="L29" s="744"/>
      <c r="M29" s="751"/>
      <c r="N29" s="745"/>
      <c r="O29" s="744"/>
      <c r="P29" s="751"/>
      <c r="Q29" s="745"/>
      <c r="R29" s="744"/>
      <c r="S29" s="751"/>
      <c r="T29" s="745"/>
      <c r="U29" s="744"/>
      <c r="V29" s="751"/>
      <c r="W29" s="745"/>
      <c r="X29" s="744"/>
      <c r="Y29" s="751"/>
      <c r="Z29" s="745"/>
      <c r="AA29" s="744"/>
      <c r="AB29" s="751"/>
      <c r="AC29" s="745"/>
      <c r="AD29" s="744"/>
      <c r="AE29" s="751"/>
      <c r="AF29" s="745"/>
      <c r="AG29" s="744"/>
      <c r="AH29" s="751"/>
      <c r="AI29" s="745"/>
      <c r="AJ29" s="744"/>
      <c r="AK29" s="751"/>
      <c r="AL29" s="745"/>
      <c r="AM29" s="744"/>
      <c r="AN29" s="751"/>
      <c r="AO29" s="745"/>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1152" t="s">
        <v>109</v>
      </c>
      <c r="C30" s="753">
        <f>+C16+C18+C20</f>
        <v>772</v>
      </c>
      <c r="D30" s="754">
        <f>IF(C30&lt;=0,0,E30/C30)</f>
        <v>3452.0958481392713</v>
      </c>
      <c r="E30" s="755">
        <f>E16+E20+E27+E22+E18</f>
        <v>2665017.9947635173</v>
      </c>
      <c r="F30" s="753">
        <f>+F16+F18+F20</f>
        <v>51</v>
      </c>
      <c r="G30" s="754">
        <f>IF(F30&lt;=0,0,H30/F30)</f>
        <v>3456.6499052155236</v>
      </c>
      <c r="H30" s="755">
        <f>H16+H20+H27+H22+H18</f>
        <v>176289.14516599171</v>
      </c>
      <c r="I30" s="753">
        <f>+I16+I18+I20</f>
        <v>55</v>
      </c>
      <c r="J30" s="754">
        <f>IF(I30&lt;=0,0,K30/I30)</f>
        <v>3426.3734354798644</v>
      </c>
      <c r="K30" s="755">
        <f>K16+K20+K27+K22+K18</f>
        <v>188450.53895139255</v>
      </c>
      <c r="L30" s="753">
        <f>+L16+L18+L20</f>
        <v>79</v>
      </c>
      <c r="M30" s="754">
        <f>IF(L30&lt;=0,0,N30/L30)</f>
        <v>3455.559953346828</v>
      </c>
      <c r="N30" s="755">
        <f>N16+N20+N27+N22+N18</f>
        <v>272989.2363143994</v>
      </c>
      <c r="O30" s="753">
        <f>+O16+O18+O20</f>
        <v>81</v>
      </c>
      <c r="P30" s="754">
        <f>IF(O30&lt;=0,0,Q30/O30)</f>
        <v>3455.1341746996995</v>
      </c>
      <c r="Q30" s="755">
        <f>Q16+Q20+Q27+Q22+Q18</f>
        <v>279865.86815067567</v>
      </c>
      <c r="R30" s="753">
        <f>+R16+R18+R20</f>
        <v>84</v>
      </c>
      <c r="S30" s="754">
        <f>IF(R30&lt;=0,0,T30/R30)</f>
        <v>3461.0306762628156</v>
      </c>
      <c r="T30" s="755">
        <f>T16+T20+T27+T22+T18</f>
        <v>290726.57680607651</v>
      </c>
      <c r="U30" s="753">
        <f>+U16+U18+U20</f>
        <v>76</v>
      </c>
      <c r="V30" s="754">
        <f>IF(U30&lt;=0,0,W30/U30)</f>
        <v>3449.0595744605075</v>
      </c>
      <c r="W30" s="755">
        <f>W16+W20+W27+W22+W18</f>
        <v>262128.52765899856</v>
      </c>
      <c r="X30" s="753">
        <f>+X16+X18+X20</f>
        <v>68</v>
      </c>
      <c r="Y30" s="754">
        <f>IF(X30&lt;=0,0,Z30/X30)</f>
        <v>3459.8410481940118</v>
      </c>
      <c r="Z30" s="755">
        <f>Z16+Z20+Z27+Z22+Z18</f>
        <v>235269.19127719279</v>
      </c>
      <c r="AA30" s="753">
        <f>+AA16+AA18+AA20</f>
        <v>62</v>
      </c>
      <c r="AB30" s="754">
        <f>IF(AA30&lt;=0,0,AC30/AA30)</f>
        <v>3451.7611323096503</v>
      </c>
      <c r="AC30" s="755">
        <f>AC16+AC20+AC27+AC22+AC18</f>
        <v>214009.19020319832</v>
      </c>
      <c r="AD30" s="753">
        <f>+AD16+AD18+AD20</f>
        <v>60</v>
      </c>
      <c r="AE30" s="754">
        <f>IF(AD30&lt;=0,0,AF30/AD30)</f>
        <v>3449.7619248133601</v>
      </c>
      <c r="AF30" s="755">
        <f>AF16+AF20+AF27+AF22+AF18</f>
        <v>206985.71548880159</v>
      </c>
      <c r="AG30" s="753">
        <f>+AG16+AG18+AG20</f>
        <v>59</v>
      </c>
      <c r="AH30" s="754">
        <f>IF(AG30&lt;=0,0,AI30/AG30)</f>
        <v>3443.1946025050424</v>
      </c>
      <c r="AI30" s="755">
        <f>AI16+AI20+AI27+AI22+AI18</f>
        <v>203148.48154779751</v>
      </c>
      <c r="AJ30" s="753">
        <f>+AJ16+AJ18+AJ20</f>
        <v>52</v>
      </c>
      <c r="AK30" s="754">
        <f>IF(AJ30&lt;=0,0,AL30/AJ30)</f>
        <v>3463.9688289806891</v>
      </c>
      <c r="AL30" s="755">
        <f>AL16+AL20+AL27+AL22+AL18</f>
        <v>180126.37910699582</v>
      </c>
      <c r="AM30" s="753">
        <f>+AM16+AM18+AM20</f>
        <v>45</v>
      </c>
      <c r="AN30" s="754">
        <f>IF(AM30&lt;=0,0,AO30/AM30)</f>
        <v>3445.0920909332717</v>
      </c>
      <c r="AO30" s="755">
        <f>AO16+AO20+AO27+AO22+AO18</f>
        <v>155029.14409199724</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756"/>
      <c r="C31" s="756"/>
      <c r="D31" s="757"/>
      <c r="E31" s="758"/>
      <c r="F31" s="756"/>
      <c r="G31" s="757"/>
      <c r="H31" s="758"/>
      <c r="I31" s="756"/>
      <c r="J31" s="757"/>
      <c r="K31" s="758"/>
      <c r="L31" s="756"/>
      <c r="M31" s="757"/>
      <c r="N31" s="758"/>
      <c r="O31" s="756"/>
      <c r="P31" s="757"/>
      <c r="Q31" s="758"/>
      <c r="R31" s="756"/>
      <c r="S31" s="757"/>
      <c r="T31" s="758"/>
      <c r="U31" s="756"/>
      <c r="V31" s="757"/>
      <c r="W31" s="758"/>
      <c r="X31" s="756"/>
      <c r="Y31" s="757"/>
      <c r="Z31" s="758"/>
      <c r="AA31" s="756"/>
      <c r="AB31" s="757"/>
      <c r="AC31" s="758"/>
      <c r="AD31" s="756"/>
      <c r="AE31" s="757"/>
      <c r="AF31" s="758"/>
      <c r="AG31" s="756"/>
      <c r="AH31" s="757"/>
      <c r="AI31" s="758"/>
      <c r="AJ31" s="756"/>
      <c r="AK31" s="757"/>
      <c r="AL31" s="758"/>
      <c r="AM31" s="756"/>
      <c r="AN31" s="757"/>
      <c r="AO31" s="758"/>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759"/>
      <c r="C32" s="759"/>
      <c r="D32" s="760"/>
      <c r="E32" s="761"/>
      <c r="F32" s="759"/>
      <c r="G32" s="760"/>
      <c r="H32" s="761"/>
      <c r="I32" s="759"/>
      <c r="J32" s="760"/>
      <c r="K32" s="761"/>
      <c r="L32" s="759"/>
      <c r="M32" s="760"/>
      <c r="N32" s="761"/>
      <c r="O32" s="759"/>
      <c r="P32" s="760"/>
      <c r="Q32" s="761"/>
      <c r="R32" s="759"/>
      <c r="S32" s="760"/>
      <c r="T32" s="761"/>
      <c r="U32" s="759"/>
      <c r="V32" s="760"/>
      <c r="W32" s="761"/>
      <c r="X32" s="759"/>
      <c r="Y32" s="760"/>
      <c r="Z32" s="761"/>
      <c r="AA32" s="759"/>
      <c r="AB32" s="760"/>
      <c r="AC32" s="761"/>
      <c r="AD32" s="759"/>
      <c r="AE32" s="760"/>
      <c r="AF32" s="761"/>
      <c r="AG32" s="759"/>
      <c r="AH32" s="760"/>
      <c r="AI32" s="761"/>
      <c r="AJ32" s="759"/>
      <c r="AK32" s="760"/>
      <c r="AL32" s="761"/>
      <c r="AM32" s="759"/>
      <c r="AN32" s="760"/>
      <c r="AO32" s="761"/>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1153" t="s">
        <v>110</v>
      </c>
      <c r="C33" s="744"/>
      <c r="D33" s="762"/>
      <c r="E33" s="745"/>
      <c r="F33" s="744"/>
      <c r="G33" s="762"/>
      <c r="H33" s="745"/>
      <c r="I33" s="744"/>
      <c r="J33" s="762"/>
      <c r="K33" s="745"/>
      <c r="L33" s="744"/>
      <c r="M33" s="762"/>
      <c r="N33" s="745"/>
      <c r="O33" s="744"/>
      <c r="P33" s="762"/>
      <c r="Q33" s="745"/>
      <c r="R33" s="744"/>
      <c r="S33" s="762"/>
      <c r="T33" s="745"/>
      <c r="U33" s="744"/>
      <c r="V33" s="762"/>
      <c r="W33" s="745"/>
      <c r="X33" s="744"/>
      <c r="Y33" s="762"/>
      <c r="Z33" s="745"/>
      <c r="AA33" s="744"/>
      <c r="AB33" s="762"/>
      <c r="AC33" s="745"/>
      <c r="AD33" s="744"/>
      <c r="AE33" s="762"/>
      <c r="AF33" s="745"/>
      <c r="AG33" s="744"/>
      <c r="AH33" s="762"/>
      <c r="AI33" s="745"/>
      <c r="AJ33" s="744"/>
      <c r="AK33" s="762"/>
      <c r="AL33" s="745"/>
      <c r="AM33" s="744"/>
      <c r="AN33" s="762"/>
      <c r="AO33" s="745"/>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744" t="s">
        <v>111</v>
      </c>
      <c r="C34" s="763">
        <f>E34/(E16+E18)</f>
        <v>0.32350364061642606</v>
      </c>
      <c r="D34" s="764">
        <f t="shared" ref="D34:D43" si="16">IF(E34=0,0,E34/C$27)</f>
        <v>730.98597314820165</v>
      </c>
      <c r="E34" s="752">
        <f t="shared" ref="E34:E43" si="17">+SUM(H34,K34,N34,Q34,T34,W34,Z34,AC34,AF34,AI34,AL34,AO34)</f>
        <v>528502.85858614976</v>
      </c>
      <c r="F34" s="763">
        <f>H34/(H16+H18)</f>
        <v>0.32965617536460073</v>
      </c>
      <c r="G34" s="764">
        <f t="shared" ref="G34:G43" si="18">IF(H34=0,0,H34/F$27)</f>
        <v>742.95683803447446</v>
      </c>
      <c r="H34" s="765">
        <f>'[1]Vehicules neuf 2026'!E74</f>
        <v>35661.928225654774</v>
      </c>
      <c r="I34" s="763">
        <f>K34/(K16+K18)</f>
        <v>0.32917199110652651</v>
      </c>
      <c r="J34" s="764">
        <f t="shared" ref="J34:J43" si="19">IF(K34=0,0,K34/I$27)</f>
        <v>742.24631012618568</v>
      </c>
      <c r="K34" s="765">
        <f>'[1]Vehicules neuf 2026'!F74</f>
        <v>37854.561816435467</v>
      </c>
      <c r="L34" s="763">
        <f>N34/(N16+N18)</f>
        <v>0.31274572199224637</v>
      </c>
      <c r="M34" s="764">
        <f t="shared" ref="M34:M43" si="20">IF(N34=0,0,N34/L$27)</f>
        <v>707.51031632989282</v>
      </c>
      <c r="N34" s="765">
        <f>'[1]Vehicules neuf 2026'!G74</f>
        <v>52355.763408412065</v>
      </c>
      <c r="O34" s="763">
        <f>Q34/(Q16+Q18)</f>
        <v>0.31166802535053045</v>
      </c>
      <c r="P34" s="764">
        <f t="shared" ref="P34:P43" si="21">IF(Q34=0,0,Q34/O$27)</f>
        <v>704.27376877781785</v>
      </c>
      <c r="Q34" s="765">
        <f>'[1]Vehicules neuf 2026'!H74</f>
        <v>53524.806427114156</v>
      </c>
      <c r="R34" s="763">
        <f>T34/(T16+T18)</f>
        <v>0.31763708783519601</v>
      </c>
      <c r="S34" s="764">
        <f t="shared" ref="S34:S43" si="22">IF(T34=0,0,T34/R$27)</f>
        <v>717.92727889613718</v>
      </c>
      <c r="T34" s="765">
        <f>'[1]Vehicules neuf 2026'!I74</f>
        <v>56716.255032794841</v>
      </c>
      <c r="U34" s="763">
        <f>W34/(W16+W18)</f>
        <v>0.31456115034150739</v>
      </c>
      <c r="V34" s="764">
        <f t="shared" ref="V34:V43" si="23">IF(W34=0,0,W34/U$27)</f>
        <v>711.46922257368146</v>
      </c>
      <c r="W34" s="765">
        <f>'[1]Vehicules neuf 2026'!J74</f>
        <v>50514.31480273138</v>
      </c>
      <c r="X34" s="763">
        <f>Z34/(Z16+Z18)</f>
        <v>0.32645142343359818</v>
      </c>
      <c r="Y34" s="764">
        <f t="shared" ref="Y34:Y43" si="24">IF(Z34=0,0,Z34/X$27)</f>
        <v>736.84104717642811</v>
      </c>
      <c r="Z34" s="765">
        <f>'[1]Vehicules neuf 2026'!K74</f>
        <v>47157.827019291399</v>
      </c>
      <c r="AA34" s="763">
        <f>AC34/(AC16+AC18)</f>
        <v>0.3218930465802804</v>
      </c>
      <c r="AB34" s="764">
        <f t="shared" ref="AB34:AB43" si="25">IF(AC34=0,0,AC34/AA$27)</f>
        <v>727.75628646164546</v>
      </c>
      <c r="AC34" s="765">
        <f>'[1]Vehicules neuf 2026'!L74</f>
        <v>42209.864614775433</v>
      </c>
      <c r="AD34" s="763">
        <f>AF34/(AF16+AF18)</f>
        <v>0.32366501349033733</v>
      </c>
      <c r="AE34" s="764">
        <f t="shared" ref="AE34:AE43" si="26">IF(AF34=0,0,AF34/AD$27)</f>
        <v>732.87181421559558</v>
      </c>
      <c r="AF34" s="765">
        <f>'[1]Vehicules neuf 2026'!M74</f>
        <v>41040.821596073351</v>
      </c>
      <c r="AG34" s="763">
        <f>AI34/(AI16+AI18)</f>
        <v>0.33560007847178658</v>
      </c>
      <c r="AH34" s="764">
        <f t="shared" ref="AH34:AH43" si="27">IF(AI34=0,0,AI34/AG$27)</f>
        <v>758.51665471081378</v>
      </c>
      <c r="AI34" s="765">
        <f>'[1]Vehicules neuf 2026'!N74</f>
        <v>41718.416009094755</v>
      </c>
      <c r="AJ34" s="763">
        <f>AL34/(AL16+AL18)</f>
        <v>0.32831373560409594</v>
      </c>
      <c r="AK34" s="764">
        <f t="shared" ref="AK34:AK43" si="28">IF(AL34=0,0,AL34/AJ$27)</f>
        <v>741.51701658435445</v>
      </c>
      <c r="AL34" s="765">
        <f>'[1]Vehicules neuf 2026'!O74</f>
        <v>36334.333812633369</v>
      </c>
      <c r="AM34" s="763">
        <f>AO34/(AO16+AO18)</f>
        <v>0.35226966170001711</v>
      </c>
      <c r="AN34" s="764">
        <f t="shared" ref="AN34:AN43" si="29">IF(AO34=0,0,AO34/AM$27)</f>
        <v>795.57061478901937</v>
      </c>
      <c r="AO34" s="765">
        <f>'[1]Vehicules neuf 2026'!P74</f>
        <v>33413.965821138816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770" t="s">
        <v>112</v>
      </c>
      <c r="C35" s="766">
        <f>E35/E27</f>
        <v>0.2</v>
      </c>
      <c r="D35" s="767">
        <f t="shared" si="16"/>
        <v>240</v>
      </c>
      <c r="E35" s="768">
        <f t="shared" si="17"/>
        <v>173520</v>
      </c>
      <c r="F35" s="766">
        <f>H35/H27</f>
        <v>0.2</v>
      </c>
      <c r="G35" s="767">
        <f t="shared" si="18"/>
        <v>240</v>
      </c>
      <c r="H35" s="769">
        <f>'[1]Vehicules neuf 2026'!E85</f>
        <v>11520</v>
      </c>
      <c r="I35" s="766">
        <f>K35/K27</f>
        <v>0.2</v>
      </c>
      <c r="J35" s="767">
        <f t="shared" si="19"/>
        <v>240</v>
      </c>
      <c r="K35" s="769">
        <f>'[1]Vehicules neuf 2026'!F85</f>
        <v>12240</v>
      </c>
      <c r="L35" s="766">
        <f>N35/N27</f>
        <v>0.2</v>
      </c>
      <c r="M35" s="767">
        <f t="shared" si="20"/>
        <v>240</v>
      </c>
      <c r="N35" s="769">
        <f>'[1]Vehicules neuf 2026'!G85</f>
        <v>17760</v>
      </c>
      <c r="O35" s="766">
        <f>Q35/Q27</f>
        <v>0.2</v>
      </c>
      <c r="P35" s="767">
        <f t="shared" si="21"/>
        <v>240</v>
      </c>
      <c r="Q35" s="769">
        <f>'[1]Vehicules neuf 2026'!H85</f>
        <v>18240</v>
      </c>
      <c r="R35" s="766">
        <f>T35/T27</f>
        <v>0.2</v>
      </c>
      <c r="S35" s="767">
        <f t="shared" si="22"/>
        <v>240</v>
      </c>
      <c r="T35" s="769">
        <f>'[1]Vehicules neuf 2026'!I85</f>
        <v>18960</v>
      </c>
      <c r="U35" s="766">
        <f>W35/W27</f>
        <v>0.2</v>
      </c>
      <c r="V35" s="767">
        <f t="shared" si="23"/>
        <v>240</v>
      </c>
      <c r="W35" s="769">
        <f>'[1]Vehicules neuf 2026'!J85</f>
        <v>17040</v>
      </c>
      <c r="X35" s="766">
        <f>Z35/Z27</f>
        <v>0.2</v>
      </c>
      <c r="Y35" s="767">
        <f t="shared" si="24"/>
        <v>240</v>
      </c>
      <c r="Z35" s="769">
        <f>'[1]Vehicules neuf 2026'!K85</f>
        <v>15360</v>
      </c>
      <c r="AA35" s="766">
        <f>AC35/AC27</f>
        <v>0.2</v>
      </c>
      <c r="AB35" s="767">
        <f t="shared" si="25"/>
        <v>240</v>
      </c>
      <c r="AC35" s="769">
        <f>'[1]Vehicules neuf 2026'!L85</f>
        <v>13920</v>
      </c>
      <c r="AD35" s="766">
        <f>AF35/AF27</f>
        <v>0.2</v>
      </c>
      <c r="AE35" s="767">
        <f t="shared" si="26"/>
        <v>240</v>
      </c>
      <c r="AF35" s="769">
        <f>'[1]Vehicules neuf 2026'!M85</f>
        <v>13440</v>
      </c>
      <c r="AG35" s="766">
        <f>AI35/AI27</f>
        <v>0.2</v>
      </c>
      <c r="AH35" s="767">
        <f t="shared" si="27"/>
        <v>240</v>
      </c>
      <c r="AI35" s="769">
        <f>'[1]Vehicules neuf 2026'!N85</f>
        <v>13200</v>
      </c>
      <c r="AJ35" s="766">
        <f>AL35/AL27</f>
        <v>0.2</v>
      </c>
      <c r="AK35" s="767">
        <f t="shared" si="28"/>
        <v>240</v>
      </c>
      <c r="AL35" s="769">
        <f>'[1]Vehicules neuf 2026'!O85</f>
        <v>11760</v>
      </c>
      <c r="AM35" s="766">
        <f>AO35/AO27</f>
        <v>0.2</v>
      </c>
      <c r="AN35" s="767">
        <f t="shared" si="29"/>
        <v>240</v>
      </c>
      <c r="AO35" s="769">
        <f>'[1]Vehicules neuf 2026'!P85</f>
        <v>10080</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744" t="s">
        <v>113</v>
      </c>
      <c r="C36" s="744"/>
      <c r="D36" s="764">
        <f t="shared" si="16"/>
        <v>115</v>
      </c>
      <c r="E36" s="752">
        <f t="shared" si="17"/>
        <v>83145</v>
      </c>
      <c r="F36" s="744"/>
      <c r="G36" s="764">
        <f t="shared" si="18"/>
        <v>115</v>
      </c>
      <c r="H36" s="765">
        <f>'[1]Vehicules neuf 2026'!E91</f>
        <v>5520</v>
      </c>
      <c r="I36" s="744"/>
      <c r="J36" s="764">
        <f t="shared" si="19"/>
        <v>115</v>
      </c>
      <c r="K36" s="765">
        <f>'[1]Vehicules neuf 2026'!F91</f>
        <v>5865</v>
      </c>
      <c r="L36" s="744"/>
      <c r="M36" s="764">
        <f t="shared" si="20"/>
        <v>115</v>
      </c>
      <c r="N36" s="765">
        <f>'[1]Vehicules neuf 2026'!G91</f>
        <v>8510</v>
      </c>
      <c r="O36" s="744"/>
      <c r="P36" s="764">
        <f t="shared" si="21"/>
        <v>115</v>
      </c>
      <c r="Q36" s="765">
        <f>'[1]Vehicules neuf 2026'!H91</f>
        <v>8740</v>
      </c>
      <c r="R36" s="744"/>
      <c r="S36" s="764">
        <f t="shared" si="22"/>
        <v>115</v>
      </c>
      <c r="T36" s="765">
        <f>'[1]Vehicules neuf 2026'!I91</f>
        <v>9085</v>
      </c>
      <c r="U36" s="744"/>
      <c r="V36" s="764">
        <f t="shared" si="23"/>
        <v>115</v>
      </c>
      <c r="W36" s="765">
        <f>'[1]Vehicules neuf 2026'!J91</f>
        <v>8165</v>
      </c>
      <c r="X36" s="744"/>
      <c r="Y36" s="764">
        <f t="shared" si="24"/>
        <v>115</v>
      </c>
      <c r="Z36" s="765">
        <f>'[1]Vehicules neuf 2026'!K91</f>
        <v>7360</v>
      </c>
      <c r="AA36" s="744"/>
      <c r="AB36" s="764">
        <f t="shared" si="25"/>
        <v>115</v>
      </c>
      <c r="AC36" s="765">
        <f>'[1]Vehicules neuf 2026'!L91</f>
        <v>6670</v>
      </c>
      <c r="AD36" s="744"/>
      <c r="AE36" s="764">
        <f t="shared" si="26"/>
        <v>115</v>
      </c>
      <c r="AF36" s="765">
        <f>'[1]Vehicules neuf 2026'!M91</f>
        <v>6440</v>
      </c>
      <c r="AG36" s="744"/>
      <c r="AH36" s="764">
        <f t="shared" si="27"/>
        <v>115</v>
      </c>
      <c r="AI36" s="765">
        <f>'[1]Vehicules neuf 2026'!N91</f>
        <v>6325</v>
      </c>
      <c r="AJ36" s="744"/>
      <c r="AK36" s="764">
        <f t="shared" si="28"/>
        <v>115</v>
      </c>
      <c r="AL36" s="765">
        <f>'[1]Vehicules neuf 2026'!O91</f>
        <v>5635</v>
      </c>
      <c r="AM36" s="744"/>
      <c r="AN36" s="764">
        <f t="shared" si="29"/>
        <v>115</v>
      </c>
      <c r="AO36" s="765">
        <f>'[1]Vehicules neuf 2026'!P91</f>
        <v>4830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744" t="s">
        <v>114</v>
      </c>
      <c r="C37" s="744"/>
      <c r="D37" s="764">
        <f t="shared" si="16"/>
        <v>10</v>
      </c>
      <c r="E37" s="752">
        <f t="shared" si="17"/>
        <v>7230</v>
      </c>
      <c r="F37" s="744"/>
      <c r="G37" s="764">
        <f>IF(H37=0,0,H37/F$27)</f>
        <v>10</v>
      </c>
      <c r="H37" s="765">
        <f>'[1]Vehicules neuf 2026'!E97</f>
        <v>480</v>
      </c>
      <c r="I37" s="744"/>
      <c r="J37" s="764">
        <f t="shared" si="19"/>
        <v>10</v>
      </c>
      <c r="K37" s="765">
        <f>'[1]Vehicules neuf 2026'!F97</f>
        <v>510</v>
      </c>
      <c r="L37" s="744"/>
      <c r="M37" s="764">
        <f t="shared" si="20"/>
        <v>10</v>
      </c>
      <c r="N37" s="765">
        <f>'[1]Vehicules neuf 2026'!G97</f>
        <v>740</v>
      </c>
      <c r="O37" s="744"/>
      <c r="P37" s="764">
        <f t="shared" si="21"/>
        <v>10</v>
      </c>
      <c r="Q37" s="765">
        <f>'[1]Vehicules neuf 2026'!H97</f>
        <v>760</v>
      </c>
      <c r="R37" s="744"/>
      <c r="S37" s="764">
        <f t="shared" si="22"/>
        <v>10</v>
      </c>
      <c r="T37" s="765">
        <f>'[1]Vehicules neuf 2026'!I97</f>
        <v>790</v>
      </c>
      <c r="U37" s="744"/>
      <c r="V37" s="764">
        <f t="shared" si="23"/>
        <v>10</v>
      </c>
      <c r="W37" s="765">
        <f>'[1]Vehicules neuf 2026'!J97</f>
        <v>710</v>
      </c>
      <c r="X37" s="744"/>
      <c r="Y37" s="764">
        <f t="shared" si="24"/>
        <v>10</v>
      </c>
      <c r="Z37" s="765">
        <f>'[1]Vehicules neuf 2026'!K97</f>
        <v>640</v>
      </c>
      <c r="AA37" s="744"/>
      <c r="AB37" s="764">
        <f t="shared" si="25"/>
        <v>10</v>
      </c>
      <c r="AC37" s="765">
        <f>'[1]Vehicules neuf 2026'!L97</f>
        <v>580</v>
      </c>
      <c r="AD37" s="744"/>
      <c r="AE37" s="764">
        <f t="shared" si="26"/>
        <v>10</v>
      </c>
      <c r="AF37" s="765">
        <f>'[1]Vehicules neuf 2026'!M97</f>
        <v>560</v>
      </c>
      <c r="AG37" s="744"/>
      <c r="AH37" s="764">
        <f t="shared" si="27"/>
        <v>10</v>
      </c>
      <c r="AI37" s="765">
        <f>'[1]Vehicules neuf 2026'!N97</f>
        <v>550</v>
      </c>
      <c r="AJ37" s="744"/>
      <c r="AK37" s="764">
        <f t="shared" si="28"/>
        <v>10</v>
      </c>
      <c r="AL37" s="765">
        <f>'[1]Vehicules neuf 2026'!O97</f>
        <v>490</v>
      </c>
      <c r="AM37" s="744"/>
      <c r="AN37" s="764">
        <f t="shared" si="29"/>
        <v>10</v>
      </c>
      <c r="AO37" s="765">
        <f>'[1]Vehicules neuf 2026'!P97</f>
        <v>420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770" t="s">
        <v>115</v>
      </c>
      <c r="C38" s="770"/>
      <c r="D38" s="767">
        <f t="shared" si="16"/>
        <v>120</v>
      </c>
      <c r="E38" s="768">
        <f t="shared" si="17"/>
        <v>86760</v>
      </c>
      <c r="F38" s="770"/>
      <c r="G38" s="767">
        <f t="shared" si="18"/>
        <v>120</v>
      </c>
      <c r="H38" s="769">
        <f>'[1]Vehicules neuf 2026'!E103</f>
        <v>5760</v>
      </c>
      <c r="I38" s="770"/>
      <c r="J38" s="767">
        <f t="shared" si="19"/>
        <v>120</v>
      </c>
      <c r="K38" s="769">
        <f>'[1]Vehicules neuf 2026'!F103</f>
        <v>6120</v>
      </c>
      <c r="L38" s="770"/>
      <c r="M38" s="767">
        <f t="shared" si="20"/>
        <v>120</v>
      </c>
      <c r="N38" s="769">
        <f>'[1]Vehicules neuf 2026'!G103</f>
        <v>8880</v>
      </c>
      <c r="O38" s="770"/>
      <c r="P38" s="767">
        <f t="shared" si="21"/>
        <v>120</v>
      </c>
      <c r="Q38" s="769">
        <f>'[1]Vehicules neuf 2026'!H103</f>
        <v>9120</v>
      </c>
      <c r="R38" s="770"/>
      <c r="S38" s="767">
        <f t="shared" si="22"/>
        <v>120</v>
      </c>
      <c r="T38" s="769">
        <f>'[1]Vehicules neuf 2026'!I103</f>
        <v>9480</v>
      </c>
      <c r="U38" s="770"/>
      <c r="V38" s="767">
        <f t="shared" si="23"/>
        <v>120</v>
      </c>
      <c r="W38" s="769">
        <f>'[1]Vehicules neuf 2026'!J103</f>
        <v>8520</v>
      </c>
      <c r="X38" s="770"/>
      <c r="Y38" s="767">
        <f t="shared" si="24"/>
        <v>120</v>
      </c>
      <c r="Z38" s="769">
        <f>'[1]Vehicules neuf 2026'!K103</f>
        <v>7680</v>
      </c>
      <c r="AA38" s="770"/>
      <c r="AB38" s="767">
        <f t="shared" si="25"/>
        <v>120</v>
      </c>
      <c r="AC38" s="769">
        <f>'[1]Vehicules neuf 2026'!L103</f>
        <v>6960</v>
      </c>
      <c r="AD38" s="770"/>
      <c r="AE38" s="767">
        <f t="shared" si="26"/>
        <v>120</v>
      </c>
      <c r="AF38" s="769">
        <f>'[1]Vehicules neuf 2026'!M103</f>
        <v>6720</v>
      </c>
      <c r="AG38" s="770"/>
      <c r="AH38" s="767">
        <f t="shared" si="27"/>
        <v>120</v>
      </c>
      <c r="AI38" s="769">
        <f>'[1]Vehicules neuf 2026'!N103</f>
        <v>6600</v>
      </c>
      <c r="AJ38" s="770"/>
      <c r="AK38" s="767">
        <f t="shared" si="28"/>
        <v>120</v>
      </c>
      <c r="AL38" s="769">
        <f>'[1]Vehicules neuf 2026'!O103</f>
        <v>5880</v>
      </c>
      <c r="AM38" s="770"/>
      <c r="AN38" s="767">
        <f t="shared" si="29"/>
        <v>120</v>
      </c>
      <c r="AO38" s="769">
        <f>'[1]Vehicules neuf 2026'!P103</f>
        <v>5040</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744" t="s">
        <v>116</v>
      </c>
      <c r="C39" s="744"/>
      <c r="D39" s="764">
        <f t="shared" si="16"/>
        <v>68.486860304287688</v>
      </c>
      <c r="E39" s="752">
        <f t="shared" si="17"/>
        <v>49516</v>
      </c>
      <c r="F39" s="744"/>
      <c r="G39" s="764">
        <f t="shared" si="18"/>
        <v>169.96875</v>
      </c>
      <c r="H39" s="765">
        <f>'[1]Vehicules neuf 2026'!E111</f>
        <v>8158.5</v>
      </c>
      <c r="I39" s="744"/>
      <c r="J39" s="764">
        <f t="shared" si="19"/>
        <v>61.421568627450981</v>
      </c>
      <c r="K39" s="765">
        <f>'[1]Vehicules neuf 2026'!F111</f>
        <v>3132.5</v>
      </c>
      <c r="L39" s="744"/>
      <c r="M39" s="764">
        <f t="shared" si="20"/>
        <v>-4.2905405405405403</v>
      </c>
      <c r="N39" s="765">
        <f>'[1]Vehicules neuf 2026'!G111</f>
        <v>-317.5</v>
      </c>
      <c r="O39" s="744"/>
      <c r="P39" s="764">
        <f t="shared" si="21"/>
        <v>149.76973684210526</v>
      </c>
      <c r="Q39" s="765">
        <f>'[1]Vehicules neuf 2026'!H111</f>
        <v>11382.5</v>
      </c>
      <c r="R39" s="744"/>
      <c r="S39" s="764">
        <f t="shared" si="22"/>
        <v>-13.512658227848101</v>
      </c>
      <c r="T39" s="765">
        <f>'[1]Vehicules neuf 2026'!I111</f>
        <v>-1067.5</v>
      </c>
      <c r="U39" s="744"/>
      <c r="V39" s="764">
        <f t="shared" si="23"/>
        <v>1.8661971830985915</v>
      </c>
      <c r="W39" s="765">
        <f>'[1]Vehicules neuf 2026'!J111</f>
        <v>132.5</v>
      </c>
      <c r="X39" s="744"/>
      <c r="Y39" s="764">
        <f t="shared" si="24"/>
        <v>18.4765625</v>
      </c>
      <c r="Z39" s="765">
        <f>'[1]Vehicules neuf 2026'!K111</f>
        <v>1182.5</v>
      </c>
      <c r="AA39" s="744"/>
      <c r="AB39" s="764">
        <f t="shared" si="25"/>
        <v>35.905172413793103</v>
      </c>
      <c r="AC39" s="765">
        <f>'[1]Vehicules neuf 2026'!L111</f>
        <v>2082.5</v>
      </c>
      <c r="AD39" s="744"/>
      <c r="AE39" s="764">
        <f t="shared" si="26"/>
        <v>42.544642857142854</v>
      </c>
      <c r="AF39" s="765">
        <f>'[1]Vehicules neuf 2026'!M111</f>
        <v>2382.5</v>
      </c>
      <c r="AG39" s="744"/>
      <c r="AH39" s="764">
        <f t="shared" si="27"/>
        <v>46.045454545454547</v>
      </c>
      <c r="AI39" s="765">
        <f>'[1]Vehicules neuf 2026'!N111</f>
        <v>2532.5</v>
      </c>
      <c r="AJ39" s="744"/>
      <c r="AK39" s="764">
        <f t="shared" si="28"/>
        <v>314.94897959183675</v>
      </c>
      <c r="AL39" s="765">
        <f>'[1]Vehicules neuf 2026'!O111</f>
        <v>15432.5</v>
      </c>
      <c r="AM39" s="744"/>
      <c r="AN39" s="764">
        <f t="shared" si="29"/>
        <v>106.72619047619048</v>
      </c>
      <c r="AO39" s="765">
        <f>'[1]Vehicules neuf 2026'!P111</f>
        <v>4482.5</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744" t="s">
        <v>117</v>
      </c>
      <c r="C40" s="744"/>
      <c r="D40" s="764">
        <f t="shared" si="16"/>
        <v>352.41066903929499</v>
      </c>
      <c r="E40" s="752">
        <f t="shared" si="17"/>
        <v>254792.91371541028</v>
      </c>
      <c r="F40" s="744"/>
      <c r="G40" s="764">
        <f t="shared" si="18"/>
        <v>402.63618334250259</v>
      </c>
      <c r="H40" s="765">
        <f>'[1]Vehicules neuf 2026'!E49</f>
        <v>19326.536800440124</v>
      </c>
      <c r="I40" s="744"/>
      <c r="J40" s="764">
        <f t="shared" si="19"/>
        <v>419.81904237788046</v>
      </c>
      <c r="K40" s="765">
        <f>'[1]Vehicules neuf 2026'!F49</f>
        <v>21410.771161271903</v>
      </c>
      <c r="L40" s="744"/>
      <c r="M40" s="764">
        <f t="shared" si="20"/>
        <v>321.98092245036372</v>
      </c>
      <c r="N40" s="765">
        <f>'[1]Vehicules neuf 2026'!G49</f>
        <v>23826.588261326917</v>
      </c>
      <c r="O40" s="744"/>
      <c r="P40" s="764">
        <f t="shared" si="21"/>
        <v>318.80558479828187</v>
      </c>
      <c r="Q40" s="765">
        <f>'[1]Vehicules neuf 2026'!H49</f>
        <v>24229.224444669424</v>
      </c>
      <c r="R40" s="744"/>
      <c r="S40" s="764">
        <f t="shared" si="22"/>
        <v>303.1014008631945</v>
      </c>
      <c r="T40" s="765">
        <f>'[1]Vehicules neuf 2026'!I49</f>
        <v>23945.010668192364</v>
      </c>
      <c r="U40" s="744"/>
      <c r="V40" s="764">
        <f t="shared" si="23"/>
        <v>318.57295368027337</v>
      </c>
      <c r="W40" s="765">
        <f>'[1]Vehicules neuf 2026'!J49</f>
        <v>22618.67971129941</v>
      </c>
      <c r="X40" s="744"/>
      <c r="Y40" s="764">
        <f t="shared" si="24"/>
        <v>334.91336941632801</v>
      </c>
      <c r="Z40" s="765">
        <f>'[1]Vehicules neuf 2026'!K49</f>
        <v>21434.455642644993</v>
      </c>
      <c r="AA40" s="744"/>
      <c r="AB40" s="764">
        <f t="shared" si="25"/>
        <v>357.3089862319369</v>
      </c>
      <c r="AC40" s="765">
        <f>'[1]Vehicules neuf 2026'!L49</f>
        <v>20723.92120145234</v>
      </c>
      <c r="AD40" s="744"/>
      <c r="AE40" s="764">
        <f t="shared" si="26"/>
        <v>365.41771261336373</v>
      </c>
      <c r="AF40" s="765">
        <f>'[1]Vehicules neuf 2026'!M49</f>
        <v>20463.39190634837</v>
      </c>
      <c r="AG40" s="744"/>
      <c r="AH40" s="764">
        <f t="shared" si="27"/>
        <v>361.29599767311197</v>
      </c>
      <c r="AI40" s="765">
        <f>'[1]Vehicules neuf 2026'!N49</f>
        <v>19871.279872021158</v>
      </c>
      <c r="AJ40" s="744"/>
      <c r="AK40" s="764">
        <f t="shared" si="28"/>
        <v>381.85184254571072</v>
      </c>
      <c r="AL40" s="765">
        <f>'[1]Vehicules neuf 2026'!O49</f>
        <v>18710.740284739826</v>
      </c>
      <c r="AM40" s="744"/>
      <c r="AN40" s="764">
        <f t="shared" si="29"/>
        <v>434.10270859532</v>
      </c>
      <c r="AO40" s="765">
        <f>'[1]Vehicules neuf 2026'!P49</f>
        <v>18232.313761003439</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744" t="s">
        <v>59</v>
      </c>
      <c r="C41" s="744"/>
      <c r="D41" s="764">
        <f t="shared" si="16"/>
        <v>0</v>
      </c>
      <c r="E41" s="752">
        <f t="shared" si="17"/>
        <v>0</v>
      </c>
      <c r="F41" s="744"/>
      <c r="G41" s="764">
        <f t="shared" si="18"/>
        <v>0</v>
      </c>
      <c r="H41" s="752"/>
      <c r="I41" s="744"/>
      <c r="J41" s="764">
        <f t="shared" si="19"/>
        <v>0</v>
      </c>
      <c r="K41" s="752"/>
      <c r="L41" s="744"/>
      <c r="M41" s="764">
        <f t="shared" si="20"/>
        <v>0</v>
      </c>
      <c r="N41" s="752"/>
      <c r="O41" s="744"/>
      <c r="P41" s="764">
        <f t="shared" si="21"/>
        <v>0</v>
      </c>
      <c r="Q41" s="752"/>
      <c r="R41" s="744"/>
      <c r="S41" s="764">
        <f t="shared" si="22"/>
        <v>0</v>
      </c>
      <c r="T41" s="752"/>
      <c r="U41" s="744"/>
      <c r="V41" s="764">
        <f t="shared" si="23"/>
        <v>0</v>
      </c>
      <c r="W41" s="752"/>
      <c r="X41" s="744"/>
      <c r="Y41" s="764">
        <f t="shared" si="24"/>
        <v>0</v>
      </c>
      <c r="Z41" s="752"/>
      <c r="AA41" s="744"/>
      <c r="AB41" s="764">
        <f t="shared" si="25"/>
        <v>0</v>
      </c>
      <c r="AC41" s="752"/>
      <c r="AD41" s="744"/>
      <c r="AE41" s="764">
        <f t="shared" si="26"/>
        <v>0</v>
      </c>
      <c r="AF41" s="752"/>
      <c r="AG41" s="744"/>
      <c r="AH41" s="764">
        <f t="shared" si="27"/>
        <v>0</v>
      </c>
      <c r="AI41" s="752"/>
      <c r="AJ41" s="744"/>
      <c r="AK41" s="764">
        <f t="shared" si="28"/>
        <v>0</v>
      </c>
      <c r="AL41" s="752"/>
      <c r="AM41" s="744"/>
      <c r="AN41" s="764">
        <f t="shared" si="29"/>
        <v>0</v>
      </c>
      <c r="AO41" s="752"/>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744" t="s">
        <v>59</v>
      </c>
      <c r="C42" s="744"/>
      <c r="D42" s="764">
        <f t="shared" si="16"/>
        <v>0</v>
      </c>
      <c r="E42" s="752">
        <f t="shared" si="17"/>
        <v>0</v>
      </c>
      <c r="F42" s="744"/>
      <c r="G42" s="764">
        <f t="shared" si="18"/>
        <v>0</v>
      </c>
      <c r="H42" s="752"/>
      <c r="I42" s="744"/>
      <c r="J42" s="764">
        <f t="shared" si="19"/>
        <v>0</v>
      </c>
      <c r="K42" s="752"/>
      <c r="L42" s="744"/>
      <c r="M42" s="764">
        <f t="shared" si="20"/>
        <v>0</v>
      </c>
      <c r="N42" s="752"/>
      <c r="O42" s="744"/>
      <c r="P42" s="764">
        <f t="shared" si="21"/>
        <v>0</v>
      </c>
      <c r="Q42" s="752"/>
      <c r="R42" s="744"/>
      <c r="S42" s="764">
        <f t="shared" si="22"/>
        <v>0</v>
      </c>
      <c r="T42" s="752"/>
      <c r="U42" s="744"/>
      <c r="V42" s="764">
        <f t="shared" si="23"/>
        <v>0</v>
      </c>
      <c r="W42" s="752"/>
      <c r="X42" s="744"/>
      <c r="Y42" s="764">
        <f t="shared" si="24"/>
        <v>0</v>
      </c>
      <c r="Z42" s="752"/>
      <c r="AA42" s="744"/>
      <c r="AB42" s="764">
        <f t="shared" si="25"/>
        <v>0</v>
      </c>
      <c r="AC42" s="752"/>
      <c r="AD42" s="744"/>
      <c r="AE42" s="764">
        <f t="shared" si="26"/>
        <v>0</v>
      </c>
      <c r="AF42" s="752"/>
      <c r="AG42" s="744"/>
      <c r="AH42" s="764">
        <f t="shared" si="27"/>
        <v>0</v>
      </c>
      <c r="AI42" s="752"/>
      <c r="AJ42" s="744"/>
      <c r="AK42" s="764">
        <f t="shared" si="28"/>
        <v>0</v>
      </c>
      <c r="AL42" s="752"/>
      <c r="AM42" s="744"/>
      <c r="AN42" s="764">
        <f t="shared" si="29"/>
        <v>0</v>
      </c>
      <c r="AO42" s="752"/>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744" t="s">
        <v>59</v>
      </c>
      <c r="C43" s="770"/>
      <c r="D43" s="764">
        <f t="shared" si="16"/>
        <v>0</v>
      </c>
      <c r="E43" s="752">
        <f t="shared" si="17"/>
        <v>0</v>
      </c>
      <c r="F43" s="770"/>
      <c r="G43" s="764">
        <f t="shared" si="18"/>
        <v>0</v>
      </c>
      <c r="H43" s="752"/>
      <c r="I43" s="770"/>
      <c r="J43" s="764">
        <f t="shared" si="19"/>
        <v>0</v>
      </c>
      <c r="K43" s="752"/>
      <c r="L43" s="770"/>
      <c r="M43" s="764">
        <f t="shared" si="20"/>
        <v>0</v>
      </c>
      <c r="N43" s="752"/>
      <c r="O43" s="770"/>
      <c r="P43" s="764">
        <f t="shared" si="21"/>
        <v>0</v>
      </c>
      <c r="Q43" s="752"/>
      <c r="R43" s="770"/>
      <c r="S43" s="764">
        <f t="shared" si="22"/>
        <v>0</v>
      </c>
      <c r="T43" s="752"/>
      <c r="U43" s="770"/>
      <c r="V43" s="764">
        <f t="shared" si="23"/>
        <v>0</v>
      </c>
      <c r="W43" s="752"/>
      <c r="X43" s="770"/>
      <c r="Y43" s="764">
        <f t="shared" si="24"/>
        <v>0</v>
      </c>
      <c r="Z43" s="752"/>
      <c r="AA43" s="770"/>
      <c r="AB43" s="764">
        <f t="shared" si="25"/>
        <v>0</v>
      </c>
      <c r="AC43" s="752"/>
      <c r="AD43" s="770"/>
      <c r="AE43" s="764">
        <f t="shared" si="26"/>
        <v>0</v>
      </c>
      <c r="AF43" s="752"/>
      <c r="AG43" s="770"/>
      <c r="AH43" s="764">
        <f t="shared" si="27"/>
        <v>0</v>
      </c>
      <c r="AI43" s="752"/>
      <c r="AJ43" s="770"/>
      <c r="AK43" s="764">
        <f t="shared" si="28"/>
        <v>0</v>
      </c>
      <c r="AL43" s="752"/>
      <c r="AM43" s="770"/>
      <c r="AN43" s="764">
        <f t="shared" si="29"/>
        <v>0</v>
      </c>
      <c r="AO43" s="752"/>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1154" t="s">
        <v>118</v>
      </c>
      <c r="C44" s="1155" t="s">
        <v>119</v>
      </c>
      <c r="D44" s="1156">
        <f>IFERROR(E44/E$30,0)</f>
        <v>0.44407458960012614</v>
      </c>
      <c r="E44" s="1157">
        <f>SUM(E34:E43)</f>
        <v>1183466.77230156</v>
      </c>
      <c r="F44" s="1155" t="s">
        <v>119</v>
      </c>
      <c r="G44" s="1156">
        <f>IFERROR(H44/H$30,0)</f>
        <v>0.49025687284782238</v>
      </c>
      <c r="H44" s="1157">
        <f>SUM(H34:H43)</f>
        <v>86426.965026094898</v>
      </c>
      <c r="I44" s="1155" t="s">
        <v>119</v>
      </c>
      <c r="J44" s="1156">
        <f>IFERROR(K44/K$30,0)</f>
        <v>0.46236446689166394</v>
      </c>
      <c r="K44" s="1157">
        <f>SUM(K34:K43)</f>
        <v>87132.832977707367</v>
      </c>
      <c r="L44" s="1155" t="s">
        <v>119</v>
      </c>
      <c r="M44" s="1156">
        <f>IFERROR(N44/N$30,0)</f>
        <v>0.40937457160776797</v>
      </c>
      <c r="N44" s="1157">
        <f>SUM(N34:N43)</f>
        <v>111754.85166973899</v>
      </c>
      <c r="O44" s="1155" t="s">
        <v>119</v>
      </c>
      <c r="P44" s="1156">
        <f>IFERROR(Q44/Q$30,0)</f>
        <v>0.4502032766780581</v>
      </c>
      <c r="Q44" s="1157">
        <f>SUM(Q34:Q43)</f>
        <v>125996.53087178357</v>
      </c>
      <c r="R44" s="1155" t="s">
        <v>119</v>
      </c>
      <c r="S44" s="1156">
        <f>IFERROR(T44/T$30,0)</f>
        <v>0.40556583094787357</v>
      </c>
      <c r="T44" s="1157">
        <f>SUM(T34:T43)</f>
        <v>117908.76570098721</v>
      </c>
      <c r="U44" s="1155" t="s">
        <v>119</v>
      </c>
      <c r="V44" s="1156">
        <f>IFERROR(W44/W$30,0)</f>
        <v>0.41086903236315325</v>
      </c>
      <c r="W44" s="1157">
        <f>SUM(W34:W43)</f>
        <v>107700.4945140308</v>
      </c>
      <c r="X44" s="1155" t="s">
        <v>119</v>
      </c>
      <c r="Y44" s="1156">
        <f>IFERROR(Z44/Z$30,0)</f>
        <v>0.42850822121948384</v>
      </c>
      <c r="Z44" s="1157">
        <f>SUM(Z34:Z43)</f>
        <v>100814.78266193639</v>
      </c>
      <c r="AA44" s="1155" t="s">
        <v>119</v>
      </c>
      <c r="AB44" s="1156">
        <f>IFERROR(AC44/AC$30,0)</f>
        <v>0.4352443263197569</v>
      </c>
      <c r="AC44" s="1157">
        <f>SUM(AC34:AC43)</f>
        <v>93146.28581622777</v>
      </c>
      <c r="AD44" s="1155" t="s">
        <v>119</v>
      </c>
      <c r="AE44" s="1156">
        <f>IFERROR(AF44/AF$30,0)</f>
        <v>0.43986954987407112</v>
      </c>
      <c r="AF44" s="1157">
        <f>SUM(AF34:AF43)</f>
        <v>91046.713502421713</v>
      </c>
      <c r="AG44" s="1155" t="s">
        <v>119</v>
      </c>
      <c r="AH44" s="1156">
        <f>IFERROR(AI44/AI$30,0)</f>
        <v>0.44694991165736486</v>
      </c>
      <c r="AI44" s="1157">
        <f>SUM(AI34:AI43)</f>
        <v>90797.195881115913</v>
      </c>
      <c r="AJ44" s="1155" t="s">
        <v>119</v>
      </c>
      <c r="AK44" s="1156">
        <f>IFERROR(AL44/AL$30,0)</f>
        <v>0.52320251239488202</v>
      </c>
      <c r="AL44" s="1157">
        <f>SUM(AL34:AL43)</f>
        <v>94242.574097373203</v>
      </c>
      <c r="AM44" s="1155" t="s">
        <v>119</v>
      </c>
      <c r="AN44" s="1156">
        <f>IFERROR(AO44/AO$30,0)</f>
        <v>0.49344773223250477</v>
      </c>
      <c r="AO44" s="1157">
        <f>SUM(AO34:AO43)</f>
        <v>76498.779582142248</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1158" t="s">
        <v>120</v>
      </c>
      <c r="C45" s="744"/>
      <c r="D45" s="751"/>
      <c r="E45" s="752">
        <f t="shared" ref="E45:E56" si="30">+SUM(H45,K45,N45,Q45,T45,W45,Z45,AC45,AF45,AI45,AL45,AO45)</f>
        <v>263797.83749999991</v>
      </c>
      <c r="F45" s="744"/>
      <c r="G45" s="751"/>
      <c r="H45" s="765">
        <f>[1]Salaire!$E$33</f>
        <v>26496.555448717947</v>
      </c>
      <c r="I45" s="744"/>
      <c r="J45" s="751"/>
      <c r="K45" s="765">
        <f>[1]Salaire!$F$33</f>
        <v>20698.717948717946</v>
      </c>
      <c r="L45" s="744"/>
      <c r="M45" s="751"/>
      <c r="N45" s="765">
        <f>[1]Salaire!$G$33</f>
        <v>20698.717948717946</v>
      </c>
      <c r="O45" s="744"/>
      <c r="P45" s="751"/>
      <c r="Q45" s="765">
        <f>[1]Salaire!$H$33</f>
        <v>20698.717948717946</v>
      </c>
      <c r="R45" s="744"/>
      <c r="S45" s="751"/>
      <c r="T45" s="765">
        <f>[1]Salaire!$I$33</f>
        <v>23102.564102564102</v>
      </c>
      <c r="U45" s="744"/>
      <c r="V45" s="751"/>
      <c r="W45" s="765">
        <f>[1]Salaire!$J$33</f>
        <v>20698.717948717946</v>
      </c>
      <c r="X45" s="744"/>
      <c r="Y45" s="751"/>
      <c r="Z45" s="765">
        <f>[1]Salaire!$K$33</f>
        <v>23102.564102564102</v>
      </c>
      <c r="AA45" s="744"/>
      <c r="AB45" s="751"/>
      <c r="AC45" s="765">
        <f>[1]Salaire!$L$33</f>
        <v>20698.717948717946</v>
      </c>
      <c r="AD45" s="744"/>
      <c r="AE45" s="751"/>
      <c r="AF45" s="765">
        <f>[1]Salaire!$M$33</f>
        <v>20698.717948717946</v>
      </c>
      <c r="AG45" s="744"/>
      <c r="AH45" s="751"/>
      <c r="AI45" s="765">
        <f>[1]Salaire!$N$33</f>
        <v>23102.564102564102</v>
      </c>
      <c r="AJ45" s="744"/>
      <c r="AK45" s="751"/>
      <c r="AL45" s="765">
        <f>[1]Salaire!$O$33</f>
        <v>20698.717948717946</v>
      </c>
      <c r="AM45" s="744"/>
      <c r="AN45" s="751"/>
      <c r="AO45" s="765">
        <f>[1]Salaire!$P$33</f>
        <v>23102.564102564102</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1159" t="s">
        <v>121</v>
      </c>
      <c r="C46" s="744"/>
      <c r="D46" s="751"/>
      <c r="E46" s="752">
        <f t="shared" si="30"/>
        <v>235724.65927776007</v>
      </c>
      <c r="F46" s="744"/>
      <c r="G46" s="751"/>
      <c r="H46" s="765">
        <f>[1]Salaire!$E$90</f>
        <v>15088.420585468717</v>
      </c>
      <c r="I46" s="744"/>
      <c r="J46" s="751"/>
      <c r="K46" s="765">
        <f>[1]Salaire!$F$90</f>
        <v>18491.133085468718</v>
      </c>
      <c r="L46" s="744"/>
      <c r="M46" s="751"/>
      <c r="N46" s="765">
        <f>[1]Salaire!$G$90</f>
        <v>18491.133085468718</v>
      </c>
      <c r="O46" s="744"/>
      <c r="P46" s="751"/>
      <c r="Q46" s="765">
        <f>[1]Salaire!$H$90</f>
        <v>18491.133085468718</v>
      </c>
      <c r="R46" s="744"/>
      <c r="S46" s="751"/>
      <c r="T46" s="765">
        <f>[1]Salaire!$I$90</f>
        <v>22799.576773502566</v>
      </c>
      <c r="U46" s="744"/>
      <c r="V46" s="751"/>
      <c r="W46" s="765">
        <f>[1]Salaire!$J$90</f>
        <v>18491.133085468718</v>
      </c>
      <c r="X46" s="744"/>
      <c r="Y46" s="751"/>
      <c r="Z46" s="765">
        <f>[1]Salaire!$K$90</f>
        <v>22799.576773502566</v>
      </c>
      <c r="AA46" s="744"/>
      <c r="AB46" s="751"/>
      <c r="AC46" s="765">
        <f>[1]Salaire!$L$90</f>
        <v>18491.133085468718</v>
      </c>
      <c r="AD46" s="744"/>
      <c r="AE46" s="751"/>
      <c r="AF46" s="765">
        <f>[1]Salaire!$M$90</f>
        <v>18491.133085468718</v>
      </c>
      <c r="AG46" s="744"/>
      <c r="AH46" s="751"/>
      <c r="AI46" s="765">
        <f>[1]Salaire!$N$90</f>
        <v>22799.576773502566</v>
      </c>
      <c r="AJ46" s="744"/>
      <c r="AK46" s="751"/>
      <c r="AL46" s="765">
        <f>[1]Salaire!$O$90</f>
        <v>18491.133085468718</v>
      </c>
      <c r="AM46" s="744"/>
      <c r="AN46" s="751"/>
      <c r="AO46" s="765">
        <f>[1]Salaire!$P$90</f>
        <v>22799.576773502566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1158" t="s">
        <v>122</v>
      </c>
      <c r="C47" s="1142"/>
      <c r="D47" s="1160"/>
      <c r="E47" s="1161">
        <f t="shared" si="30"/>
        <v>341.84999999999997</v>
      </c>
      <c r="F47" s="1142"/>
      <c r="G47" s="1160"/>
      <c r="H47" s="1162">
        <f>[1]Salaire!$E$161</f>
        <v>341.84999999999997</v>
      </c>
      <c r="I47" s="1142"/>
      <c r="J47" s="1160"/>
      <c r="K47" s="1162">
        <f>[1]Salaire!$F$161</f>
        <v>0</v>
      </c>
      <c r="L47" s="1142"/>
      <c r="M47" s="1160"/>
      <c r="N47" s="1162">
        <f>[1]Salaire!$G$161</f>
        <v>0</v>
      </c>
      <c r="O47" s="1142"/>
      <c r="P47" s="1160"/>
      <c r="Q47" s="1162">
        <f>[1]Salaire!$H$161</f>
        <v>0</v>
      </c>
      <c r="R47" s="1142"/>
      <c r="S47" s="1160"/>
      <c r="T47" s="1162">
        <f>[1]Salaire!$I$161</f>
        <v>0</v>
      </c>
      <c r="U47" s="1142"/>
      <c r="V47" s="1160"/>
      <c r="W47" s="1162">
        <f>[1]Salaire!$J$161</f>
        <v>0</v>
      </c>
      <c r="X47" s="1142"/>
      <c r="Y47" s="1160"/>
      <c r="Z47" s="1162">
        <f>[1]Salaire!$K$161</f>
        <v>0</v>
      </c>
      <c r="AA47" s="1142"/>
      <c r="AB47" s="1160"/>
      <c r="AC47" s="1162">
        <f>[1]Salaire!$L$161</f>
        <v>0</v>
      </c>
      <c r="AD47" s="1142"/>
      <c r="AE47" s="1160"/>
      <c r="AF47" s="1162">
        <f>[1]Salaire!$M$161</f>
        <v>0</v>
      </c>
      <c r="AG47" s="1142"/>
      <c r="AH47" s="1160"/>
      <c r="AI47" s="1162">
        <f>[1]Salaire!$N$161</f>
        <v>0</v>
      </c>
      <c r="AJ47" s="1142"/>
      <c r="AK47" s="1160"/>
      <c r="AL47" s="1162">
        <f>[1]Salaire!$O$161</f>
        <v>0</v>
      </c>
      <c r="AM47" s="1142"/>
      <c r="AN47" s="1160"/>
      <c r="AO47" s="1162">
        <f>[1]Salaire!$P$161</f>
        <v>0</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1158" t="s">
        <v>123</v>
      </c>
      <c r="C48" s="744"/>
      <c r="D48" s="751"/>
      <c r="E48" s="752">
        <f t="shared" si="30"/>
        <v>0</v>
      </c>
      <c r="F48" s="744"/>
      <c r="G48" s="751"/>
      <c r="H48" s="765"/>
      <c r="I48" s="744"/>
      <c r="J48" s="751"/>
      <c r="K48" s="765"/>
      <c r="L48" s="744"/>
      <c r="M48" s="751"/>
      <c r="N48" s="765"/>
      <c r="O48" s="744"/>
      <c r="P48" s="751"/>
      <c r="Q48" s="765"/>
      <c r="R48" s="744"/>
      <c r="S48" s="751"/>
      <c r="T48" s="765"/>
      <c r="U48" s="744"/>
      <c r="V48" s="751"/>
      <c r="W48" s="765"/>
      <c r="X48" s="744"/>
      <c r="Y48" s="751"/>
      <c r="Z48" s="765"/>
      <c r="AA48" s="744"/>
      <c r="AB48" s="751"/>
      <c r="AC48" s="765"/>
      <c r="AD48" s="744"/>
      <c r="AE48" s="751"/>
      <c r="AF48" s="765"/>
      <c r="AG48" s="744"/>
      <c r="AH48" s="751"/>
      <c r="AI48" s="765"/>
      <c r="AJ48" s="744"/>
      <c r="AK48" s="751"/>
      <c r="AL48" s="765"/>
      <c r="AM48" s="744"/>
      <c r="AN48" s="751"/>
      <c r="AO48" s="765"/>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744" t="s">
        <v>59</v>
      </c>
      <c r="C49" s="744"/>
      <c r="D49" s="751"/>
      <c r="E49" s="752">
        <f t="shared" si="30"/>
        <v>0</v>
      </c>
      <c r="F49" s="744"/>
      <c r="G49" s="751"/>
      <c r="H49" s="765"/>
      <c r="I49" s="744"/>
      <c r="J49" s="751"/>
      <c r="K49" s="765"/>
      <c r="L49" s="744"/>
      <c r="M49" s="751"/>
      <c r="N49" s="765"/>
      <c r="O49" s="744"/>
      <c r="P49" s="751"/>
      <c r="Q49" s="765"/>
      <c r="R49" s="744"/>
      <c r="S49" s="751"/>
      <c r="T49" s="765"/>
      <c r="U49" s="744"/>
      <c r="V49" s="751"/>
      <c r="W49" s="765"/>
      <c r="X49" s="744"/>
      <c r="Y49" s="751"/>
      <c r="Z49" s="765"/>
      <c r="AA49" s="744"/>
      <c r="AB49" s="751"/>
      <c r="AC49" s="765"/>
      <c r="AD49" s="744"/>
      <c r="AE49" s="751"/>
      <c r="AF49" s="765"/>
      <c r="AG49" s="744"/>
      <c r="AH49" s="751"/>
      <c r="AI49" s="765"/>
      <c r="AJ49" s="744"/>
      <c r="AK49" s="751"/>
      <c r="AL49" s="765"/>
      <c r="AM49" s="744"/>
      <c r="AN49" s="751"/>
      <c r="AO49" s="765"/>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744" t="s">
        <v>59</v>
      </c>
      <c r="C50" s="744"/>
      <c r="D50" s="751"/>
      <c r="E50" s="752">
        <f t="shared" si="30"/>
        <v>0</v>
      </c>
      <c r="F50" s="744"/>
      <c r="G50" s="751"/>
      <c r="H50" s="765"/>
      <c r="I50" s="744"/>
      <c r="J50" s="751"/>
      <c r="K50" s="765"/>
      <c r="L50" s="744"/>
      <c r="M50" s="751"/>
      <c r="N50" s="765"/>
      <c r="O50" s="744"/>
      <c r="P50" s="751"/>
      <c r="Q50" s="765"/>
      <c r="R50" s="744"/>
      <c r="S50" s="751"/>
      <c r="T50" s="765"/>
      <c r="U50" s="744"/>
      <c r="V50" s="751"/>
      <c r="W50" s="765"/>
      <c r="X50" s="744"/>
      <c r="Y50" s="751"/>
      <c r="Z50" s="765"/>
      <c r="AA50" s="744"/>
      <c r="AB50" s="751"/>
      <c r="AC50" s="765"/>
      <c r="AD50" s="744"/>
      <c r="AE50" s="751"/>
      <c r="AF50" s="765"/>
      <c r="AG50" s="744"/>
      <c r="AH50" s="751"/>
      <c r="AI50" s="765"/>
      <c r="AJ50" s="744"/>
      <c r="AK50" s="751"/>
      <c r="AL50" s="765"/>
      <c r="AM50" s="744"/>
      <c r="AN50" s="751"/>
      <c r="AO50" s="765"/>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744" t="s">
        <v>59</v>
      </c>
      <c r="C51" s="744"/>
      <c r="D51" s="751"/>
      <c r="E51" s="752">
        <f t="shared" si="30"/>
        <v>0</v>
      </c>
      <c r="F51" s="744"/>
      <c r="G51" s="751"/>
      <c r="H51" s="765"/>
      <c r="I51" s="744"/>
      <c r="J51" s="751"/>
      <c r="K51" s="765"/>
      <c r="L51" s="744"/>
      <c r="M51" s="751"/>
      <c r="N51" s="765"/>
      <c r="O51" s="744"/>
      <c r="P51" s="751"/>
      <c r="Q51" s="765"/>
      <c r="R51" s="744"/>
      <c r="S51" s="751"/>
      <c r="T51" s="765"/>
      <c r="U51" s="744"/>
      <c r="V51" s="751"/>
      <c r="W51" s="765"/>
      <c r="X51" s="744"/>
      <c r="Y51" s="751"/>
      <c r="Z51" s="765"/>
      <c r="AA51" s="744"/>
      <c r="AB51" s="751"/>
      <c r="AC51" s="765"/>
      <c r="AD51" s="744"/>
      <c r="AE51" s="751"/>
      <c r="AF51" s="765"/>
      <c r="AG51" s="744"/>
      <c r="AH51" s="751"/>
      <c r="AI51" s="765"/>
      <c r="AJ51" s="744"/>
      <c r="AK51" s="751"/>
      <c r="AL51" s="765"/>
      <c r="AM51" s="744"/>
      <c r="AN51" s="751"/>
      <c r="AO51" s="765"/>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1159" t="s">
        <v>124</v>
      </c>
      <c r="C52" s="744"/>
      <c r="D52" s="751"/>
      <c r="E52" s="752">
        <f t="shared" si="30"/>
        <v>148403.90845077176</v>
      </c>
      <c r="F52" s="744"/>
      <c r="G52" s="751"/>
      <c r="H52" s="765">
        <f>'[1]DAS-VAC'!$F$43</f>
        <v>11375.380652366253</v>
      </c>
      <c r="I52" s="744"/>
      <c r="J52" s="751"/>
      <c r="K52" s="765">
        <f>'[1]DAS-VAC'!$G$43</f>
        <v>9716.083521385257</v>
      </c>
      <c r="L52" s="744"/>
      <c r="M52" s="751"/>
      <c r="N52" s="765">
        <f>'[1]DAS-VAC'!$H$43</f>
        <v>12643.918376575097</v>
      </c>
      <c r="O52" s="744"/>
      <c r="P52" s="751"/>
      <c r="Q52" s="765">
        <f>'[1]DAS-VAC'!$I$43</f>
        <v>13199.320131258635</v>
      </c>
      <c r="R52" s="744"/>
      <c r="S52" s="751"/>
      <c r="T52" s="765">
        <f>'[1]DAS-VAC'!$J$43</f>
        <v>14866.607467335434</v>
      </c>
      <c r="U52" s="744"/>
      <c r="V52" s="751"/>
      <c r="W52" s="765">
        <f>'[1]DAS-VAC'!$K$43</f>
        <v>11600.208785435867</v>
      </c>
      <c r="X52" s="744"/>
      <c r="Y52" s="751"/>
      <c r="Z52" s="765">
        <f>'[1]DAS-VAC'!$L$43</f>
        <v>12704.781325943057</v>
      </c>
      <c r="AA52" s="744"/>
      <c r="AB52" s="751"/>
      <c r="AC52" s="765">
        <f>'[1]DAS-VAC'!$M$43</f>
        <v>12034.036621891559</v>
      </c>
      <c r="AD52" s="744"/>
      <c r="AE52" s="751"/>
      <c r="AF52" s="765">
        <f>'[1]DAS-VAC'!$N$43</f>
        <v>12210.090540119405</v>
      </c>
      <c r="AG52" s="744"/>
      <c r="AH52" s="751"/>
      <c r="AI52" s="765">
        <f>'[1]DAS-VAC'!$O$43</f>
        <v>14026.191794424054</v>
      </c>
      <c r="AJ52" s="744"/>
      <c r="AK52" s="751"/>
      <c r="AL52" s="765">
        <f>'[1]DAS-VAC'!$P$43</f>
        <v>13429.854049486477</v>
      </c>
      <c r="AM52" s="744"/>
      <c r="AN52" s="751"/>
      <c r="AO52" s="765">
        <f>'[1]DAS-VAC'!$Q$43</f>
        <v>10597.435184550675</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1158" t="s">
        <v>125</v>
      </c>
      <c r="C53" s="1142"/>
      <c r="D53" s="1160"/>
      <c r="E53" s="1161">
        <f t="shared" si="30"/>
        <v>180438.23230137891</v>
      </c>
      <c r="F53" s="1142"/>
      <c r="G53" s="1160"/>
      <c r="H53" s="1162">
        <f>'[1]DAS-VAC'!$F$51</f>
        <v>13830.859295388043</v>
      </c>
      <c r="I53" s="1142"/>
      <c r="J53" s="1160"/>
      <c r="K53" s="1162">
        <f>'[1]DAS-VAC'!$G$51</f>
        <v>11813.387893842868</v>
      </c>
      <c r="L53" s="1142"/>
      <c r="M53" s="1160"/>
      <c r="N53" s="1162">
        <f>'[1]DAS-VAC'!$H$51</f>
        <v>15373.222343324787</v>
      </c>
      <c r="O53" s="1142"/>
      <c r="P53" s="1160"/>
      <c r="Q53" s="1162">
        <f>'[1]DAS-VAC'!$I$51</f>
        <v>16048.512582499487</v>
      </c>
      <c r="R53" s="1142"/>
      <c r="S53" s="1160"/>
      <c r="T53" s="1162">
        <f>'[1]DAS-VAC'!$J$51</f>
        <v>18075.698947068635</v>
      </c>
      <c r="U53" s="1142"/>
      <c r="V53" s="1160"/>
      <c r="W53" s="1162">
        <f>'[1]DAS-VAC'!$K$51</f>
        <v>14104.218611366958</v>
      </c>
      <c r="X53" s="1142"/>
      <c r="Y53" s="1160"/>
      <c r="Z53" s="1162">
        <f>'[1]DAS-VAC'!$L$51</f>
        <v>15447.223109957196</v>
      </c>
      <c r="AA53" s="1142"/>
      <c r="AB53" s="1160"/>
      <c r="AC53" s="1162">
        <f>'[1]DAS-VAC'!$M$51</f>
        <v>14631.69210415009</v>
      </c>
      <c r="AD53" s="1142"/>
      <c r="AE53" s="1160"/>
      <c r="AF53" s="1162">
        <f>'[1]DAS-VAC'!$N$51</f>
        <v>14845.748850541657</v>
      </c>
      <c r="AG53" s="1142"/>
      <c r="AH53" s="1160"/>
      <c r="AI53" s="1162">
        <f>'[1]DAS-VAC'!$O$51</f>
        <v>17053.871961502377</v>
      </c>
      <c r="AJ53" s="1142"/>
      <c r="AK53" s="1160"/>
      <c r="AL53" s="1162">
        <f>'[1]DAS-VAC'!$P$51</f>
        <v>16328.80932889105</v>
      </c>
      <c r="AM53" s="1142"/>
      <c r="AN53" s="1160"/>
      <c r="AO53" s="1162">
        <f>'[1]DAS-VAC'!$Q$51</f>
        <v>12884.987272845756</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1163" t="s">
        <v>126</v>
      </c>
      <c r="C54" s="744"/>
      <c r="D54" s="751"/>
      <c r="E54" s="752">
        <f t="shared" si="30"/>
        <v>92964.915337884348</v>
      </c>
      <c r="F54" s="744"/>
      <c r="G54" s="751"/>
      <c r="H54" s="765">
        <f>'[1]DAS-VAC'!$F$59</f>
        <v>7125.8992456673177</v>
      </c>
      <c r="I54" s="744"/>
      <c r="J54" s="751"/>
      <c r="K54" s="765">
        <f>'[1]DAS-VAC'!$G$59</f>
        <v>6086.4628931320849</v>
      </c>
      <c r="L54" s="744"/>
      <c r="M54" s="751"/>
      <c r="N54" s="765">
        <f>'[1]DAS-VAC'!$H$59</f>
        <v>7920.5515116695087</v>
      </c>
      <c r="O54" s="744"/>
      <c r="P54" s="751"/>
      <c r="Q54" s="765">
        <f>'[1]DAS-VAC'!$I$59</f>
        <v>8268.4727870703864</v>
      </c>
      <c r="R54" s="744"/>
      <c r="S54" s="751"/>
      <c r="T54" s="765">
        <f>'[1]DAS-VAC'!$J$59</f>
        <v>9312.9144575114478</v>
      </c>
      <c r="U54" s="744"/>
      <c r="V54" s="751"/>
      <c r="W54" s="765">
        <f>'[1]DAS-VAC'!$K$59</f>
        <v>7266.738719334714</v>
      </c>
      <c r="X54" s="744"/>
      <c r="Y54" s="751"/>
      <c r="Z54" s="765">
        <f>'[1]DAS-VAC'!$L$59</f>
        <v>7958.6779936083803</v>
      </c>
      <c r="AA54" s="744"/>
      <c r="AB54" s="751"/>
      <c r="AC54" s="765">
        <f>'[1]DAS-VAC'!$M$59</f>
        <v>7538.5022362686323</v>
      </c>
      <c r="AD54" s="744"/>
      <c r="AE54" s="751"/>
      <c r="AF54" s="765">
        <f>'[1]DAS-VAC'!$N$59</f>
        <v>7648.7879947355914</v>
      </c>
      <c r="AG54" s="744"/>
      <c r="AH54" s="751"/>
      <c r="AI54" s="765">
        <f>'[1]DAS-VAC'!$O$59</f>
        <v>8786.4514236436135</v>
      </c>
      <c r="AJ54" s="744"/>
      <c r="AK54" s="751"/>
      <c r="AL54" s="765">
        <f>'[1]DAS-VAC'!$P$59</f>
        <v>8412.8865455373434</v>
      </c>
      <c r="AM54" s="744"/>
      <c r="AN54" s="751"/>
      <c r="AO54" s="765">
        <f>'[1]DAS-VAC'!$Q$59</f>
        <v>6638.5695297053126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1158" t="s">
        <v>127</v>
      </c>
      <c r="C55" s="744"/>
      <c r="D55" s="751"/>
      <c r="E55" s="752">
        <f t="shared" si="30"/>
        <v>40533.226096686565</v>
      </c>
      <c r="F55" s="744"/>
      <c r="G55" s="751"/>
      <c r="H55" s="765">
        <f>'[1]DAS-VAC'!$F$67</f>
        <v>3106.9321605581836</v>
      </c>
      <c r="I55" s="744"/>
      <c r="J55" s="751"/>
      <c r="K55" s="765">
        <f>'[1]DAS-VAC'!$G$67</f>
        <v>2653.7320631096295</v>
      </c>
      <c r="L55" s="744"/>
      <c r="M55" s="751"/>
      <c r="N55" s="765">
        <f>'[1]DAS-VAC'!$H$67</f>
        <v>3453.4050191526694</v>
      </c>
      <c r="O55" s="744"/>
      <c r="P55" s="751"/>
      <c r="Q55" s="765">
        <f>'[1]DAS-VAC'!$I$67</f>
        <v>3605.1006525904641</v>
      </c>
      <c r="R55" s="744"/>
      <c r="S55" s="751"/>
      <c r="T55" s="765">
        <f>'[1]DAS-VAC'!$J$67</f>
        <v>4060.4830968052729</v>
      </c>
      <c r="U55" s="744"/>
      <c r="V55" s="751"/>
      <c r="W55" s="765">
        <f>'[1]DAS-VAC'!$K$67</f>
        <v>3168.338963423012</v>
      </c>
      <c r="X55" s="744"/>
      <c r="Y55" s="751"/>
      <c r="Z55" s="765">
        <f>'[1]DAS-VAC'!$L$67</f>
        <v>3470.028379772993</v>
      </c>
      <c r="AA55" s="744"/>
      <c r="AB55" s="751"/>
      <c r="AC55" s="765">
        <f>'[1]DAS-VAC'!$M$67</f>
        <v>3286.8293857148751</v>
      </c>
      <c r="AD55" s="744"/>
      <c r="AE55" s="751"/>
      <c r="AF55" s="765">
        <f>'[1]DAS-VAC'!$N$67</f>
        <v>3334.9145968608063</v>
      </c>
      <c r="AG55" s="744"/>
      <c r="AH55" s="751"/>
      <c r="AI55" s="765">
        <f>'[1]DAS-VAC'!$O$67</f>
        <v>3830.9422522215477</v>
      </c>
      <c r="AJ55" s="744"/>
      <c r="AK55" s="751"/>
      <c r="AL55" s="765">
        <f>'[1]DAS-VAC'!$P$67</f>
        <v>3668.0658637363949</v>
      </c>
      <c r="AM55" s="744"/>
      <c r="AN55" s="751"/>
      <c r="AO55" s="765">
        <f>'[1]DAS-VAC'!$Q$67</f>
        <v>2894.4536627407133</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744" t="s">
        <v>59</v>
      </c>
      <c r="C56" s="770"/>
      <c r="D56" s="771"/>
      <c r="E56" s="768">
        <f t="shared" si="30"/>
        <v>0</v>
      </c>
      <c r="F56" s="770"/>
      <c r="G56" s="771"/>
      <c r="H56" s="768"/>
      <c r="I56" s="770"/>
      <c r="J56" s="771"/>
      <c r="K56" s="768"/>
      <c r="L56" s="770"/>
      <c r="M56" s="771"/>
      <c r="N56" s="768"/>
      <c r="O56" s="770"/>
      <c r="P56" s="771"/>
      <c r="Q56" s="768"/>
      <c r="R56" s="770"/>
      <c r="S56" s="771"/>
      <c r="T56" s="768"/>
      <c r="U56" s="770"/>
      <c r="V56" s="771"/>
      <c r="W56" s="768"/>
      <c r="X56" s="770"/>
      <c r="Y56" s="771"/>
      <c r="Z56" s="768"/>
      <c r="AA56" s="770"/>
      <c r="AB56" s="771"/>
      <c r="AC56" s="768"/>
      <c r="AD56" s="770"/>
      <c r="AE56" s="771"/>
      <c r="AF56" s="768"/>
      <c r="AG56" s="770"/>
      <c r="AH56" s="771"/>
      <c r="AI56" s="768"/>
      <c r="AJ56" s="770"/>
      <c r="AK56" s="771"/>
      <c r="AL56" s="768"/>
      <c r="AM56" s="770"/>
      <c r="AN56" s="771"/>
      <c r="AO56" s="768"/>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1154" t="s">
        <v>128</v>
      </c>
      <c r="C57" s="1155" t="s">
        <v>119</v>
      </c>
      <c r="D57" s="1156">
        <f>IFERROR(E57/E$30,0)</f>
        <v>0.36104995570578263</v>
      </c>
      <c r="E57" s="1157">
        <f>+SUM(E45:E56)</f>
        <v>962204.62896448153</v>
      </c>
      <c r="F57" s="1155" t="s">
        <v>119</v>
      </c>
      <c r="G57" s="1156">
        <f>IFERROR(H57/H$30,0)</f>
        <v>0.43885797571551938</v>
      </c>
      <c r="H57" s="1157">
        <f>+SUM(H45:H56)</f>
        <v>77365.897388166457</v>
      </c>
      <c r="I57" s="1155" t="s">
        <v>119</v>
      </c>
      <c r="J57" s="1156">
        <f>IFERROR(K57/K$30,0)</f>
        <v>0.36858221680953823</v>
      </c>
      <c r="K57" s="1157">
        <f>+SUM(K45:K56)</f>
        <v>69459.517405656501</v>
      </c>
      <c r="L57" s="1155" t="s">
        <v>119</v>
      </c>
      <c r="M57" s="1156">
        <f>IFERROR(N57/N$30,0)</f>
        <v>0.28785365073664554</v>
      </c>
      <c r="N57" s="1157">
        <f>+SUM(N45:N56)</f>
        <v>78580.948284908722</v>
      </c>
      <c r="O57" s="1155" t="s">
        <v>119</v>
      </c>
      <c r="P57" s="1156">
        <f>IFERROR(Q57/Q$30,0)</f>
        <v>0.28696338613312877</v>
      </c>
      <c r="Q57" s="1157">
        <f>+SUM(Q45:Q56)</f>
        <v>80311.257187605646</v>
      </c>
      <c r="R57" s="1155" t="s">
        <v>119</v>
      </c>
      <c r="S57" s="1156">
        <f>IFERROR(T57/T$30,0)</f>
        <v>0.31719784911958554</v>
      </c>
      <c r="T57" s="1157">
        <f>+SUM(T45:T56)</f>
        <v>92217.844844787454</v>
      </c>
      <c r="U57" s="1155" t="s">
        <v>119</v>
      </c>
      <c r="V57" s="1156">
        <f>IFERROR(W57/W$30,0)</f>
        <v>0.28737565035936385</v>
      </c>
      <c r="W57" s="1157">
        <f>+SUM(W45:W56)</f>
        <v>75329.356113747213</v>
      </c>
      <c r="X57" s="1155" t="s">
        <v>119</v>
      </c>
      <c r="Y57" s="1156">
        <f>IFERROR(Z57/Z$30,0)</f>
        <v>0.36334061090316278</v>
      </c>
      <c r="Z57" s="1157">
        <f>+SUM(Z45:Z56)</f>
        <v>85482.851685348287</v>
      </c>
      <c r="AA57" s="1155" t="s">
        <v>119</v>
      </c>
      <c r="AB57" s="1156">
        <f>IFERROR(AC57/AC$30,0)</f>
        <v>0.35830662837144761</v>
      </c>
      <c r="AC57" s="1157">
        <f>+SUM(AC45:AC56)</f>
        <v>76680.911382211823</v>
      </c>
      <c r="AD57" s="1155" t="s">
        <v>119</v>
      </c>
      <c r="AE57" s="1156">
        <f>IFERROR(AF57/AF$30,0)</f>
        <v>0.37311460278341002</v>
      </c>
      <c r="AF57" s="1157">
        <f>+SUM(AF45:AF56)</f>
        <v>77229.393016444126</v>
      </c>
      <c r="AG57" s="1155" t="s">
        <v>119</v>
      </c>
      <c r="AH57" s="1156">
        <f>IFERROR(AI57/AI$30,0)</f>
        <v>0.44105472817318075</v>
      </c>
      <c r="AI57" s="1157">
        <f>+SUM(AI45:AI56)</f>
        <v>89599.59830785825</v>
      </c>
      <c r="AJ57" s="1155" t="s">
        <v>119</v>
      </c>
      <c r="AK57" s="1156">
        <f>IFERROR(AL57/AL$30,0)</f>
        <v>0.4498478636141689</v>
      </c>
      <c r="AL57" s="1157">
        <f>+SUM(AL45:AL56)</f>
        <v>81029.466821837937</v>
      </c>
      <c r="AM57" s="1155" t="s">
        <v>119</v>
      </c>
      <c r="AN57" s="1156">
        <f>IFERROR(AO57/AO$30,0)</f>
        <v>0.50905000468220307</v>
      </c>
      <c r="AO57" s="1157">
        <f>+SUM(AO45:AO56)</f>
        <v>78917.586525909122</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744" t="s">
        <v>129</v>
      </c>
      <c r="C58" s="744"/>
      <c r="D58" s="751"/>
      <c r="E58" s="752">
        <f t="shared" ref="E58:E74" si="31">+SUM(H58,K58,N58,Q58,T58,W58,Z58,AC58,AF58,AI58,AL58,AO58)</f>
        <v>0</v>
      </c>
      <c r="F58" s="744"/>
      <c r="G58" s="751"/>
      <c r="H58" s="765">
        <f>[1]DEPA!$C$6</f>
        <v>0</v>
      </c>
      <c r="I58" s="744"/>
      <c r="J58" s="751"/>
      <c r="K58" s="765">
        <f>[1]DEPA!$D$6</f>
        <v>0</v>
      </c>
      <c r="L58" s="744"/>
      <c r="M58" s="751"/>
      <c r="N58" s="765">
        <f>[1]DEPA!$E$6</f>
        <v>0</v>
      </c>
      <c r="O58" s="744"/>
      <c r="P58" s="751"/>
      <c r="Q58" s="765">
        <f>[1]DEPA!$F$6</f>
        <v>0</v>
      </c>
      <c r="R58" s="744"/>
      <c r="S58" s="751"/>
      <c r="T58" s="765">
        <f>[1]DEPA!$G$6</f>
        <v>0</v>
      </c>
      <c r="U58" s="744"/>
      <c r="V58" s="751"/>
      <c r="W58" s="765">
        <f>[1]DEPA!$H$6</f>
        <v>0</v>
      </c>
      <c r="X58" s="744"/>
      <c r="Y58" s="751"/>
      <c r="Z58" s="765">
        <f>[1]DEPA!$I$6</f>
        <v>0</v>
      </c>
      <c r="AA58" s="744"/>
      <c r="AB58" s="751"/>
      <c r="AC58" s="765">
        <f>[1]DEPA!$J$6</f>
        <v>0</v>
      </c>
      <c r="AD58" s="744"/>
      <c r="AE58" s="751"/>
      <c r="AF58" s="765">
        <f>[1]DEPA!$K$6</f>
        <v>0</v>
      </c>
      <c r="AG58" s="744"/>
      <c r="AH58" s="751"/>
      <c r="AI58" s="765">
        <f>[1]DEPA!$L$6</f>
        <v>0</v>
      </c>
      <c r="AJ58" s="744"/>
      <c r="AK58" s="751"/>
      <c r="AL58" s="765">
        <f>[1]DEPA!$M$6</f>
        <v>0</v>
      </c>
      <c r="AM58" s="744"/>
      <c r="AN58" s="751"/>
      <c r="AO58" s="765">
        <f>[1]DEPA!$N$6</f>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744" t="s">
        <v>130</v>
      </c>
      <c r="C59" s="744"/>
      <c r="D59" s="751"/>
      <c r="E59" s="752">
        <f t="shared" si="31"/>
        <v>0</v>
      </c>
      <c r="F59" s="744"/>
      <c r="G59" s="751"/>
      <c r="H59" s="765">
        <f>[1]DEPA!$C$32</f>
        <v>0</v>
      </c>
      <c r="I59" s="744"/>
      <c r="J59" s="751"/>
      <c r="K59" s="765">
        <f>[1]DEPA!$D$32</f>
        <v>0</v>
      </c>
      <c r="L59" s="744"/>
      <c r="M59" s="751"/>
      <c r="N59" s="765">
        <f>[1]DEPA!$E$32</f>
        <v>0</v>
      </c>
      <c r="O59" s="744"/>
      <c r="P59" s="751"/>
      <c r="Q59" s="765">
        <f>[1]DEPA!$F$32</f>
        <v>0</v>
      </c>
      <c r="R59" s="744"/>
      <c r="S59" s="751"/>
      <c r="T59" s="765">
        <f>[1]DEPA!$G$32</f>
        <v>0</v>
      </c>
      <c r="U59" s="744"/>
      <c r="V59" s="751"/>
      <c r="W59" s="765">
        <f>[1]DEPA!$H$32</f>
        <v>0</v>
      </c>
      <c r="X59" s="744"/>
      <c r="Y59" s="751"/>
      <c r="Z59" s="765">
        <f>[1]DEPA!$I$32</f>
        <v>0</v>
      </c>
      <c r="AA59" s="744"/>
      <c r="AB59" s="751"/>
      <c r="AC59" s="765">
        <f>[1]DEPA!$J$32</f>
        <v>0</v>
      </c>
      <c r="AD59" s="744"/>
      <c r="AE59" s="751"/>
      <c r="AF59" s="765">
        <f>[1]DEPA!$K$32</f>
        <v>0</v>
      </c>
      <c r="AG59" s="744"/>
      <c r="AH59" s="751"/>
      <c r="AI59" s="765">
        <f>[1]DEPA!$L$32</f>
        <v>0</v>
      </c>
      <c r="AJ59" s="744"/>
      <c r="AK59" s="751"/>
      <c r="AL59" s="765">
        <f>[1]DEPA!$M$32</f>
        <v>0</v>
      </c>
      <c r="AM59" s="744"/>
      <c r="AN59" s="751"/>
      <c r="AO59" s="765">
        <f>[1]DEPA!$N$32</f>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770" t="s">
        <v>131</v>
      </c>
      <c r="C60" s="772"/>
      <c r="D60" s="773"/>
      <c r="E60" s="774">
        <f t="shared" si="31"/>
        <v>107430.57520000001</v>
      </c>
      <c r="F60" s="772"/>
      <c r="G60" s="773"/>
      <c r="H60" s="775">
        <f>[1]DEPA!$C$41</f>
        <v>8952.5479333333333</v>
      </c>
      <c r="I60" s="772"/>
      <c r="J60" s="773"/>
      <c r="K60" s="775">
        <f>[1]DEPA!$D$41</f>
        <v>8952.5479333333333</v>
      </c>
      <c r="L60" s="772"/>
      <c r="M60" s="773"/>
      <c r="N60" s="775">
        <f>[1]DEPA!$E$41</f>
        <v>8952.5479333333333</v>
      </c>
      <c r="O60" s="772"/>
      <c r="P60" s="773"/>
      <c r="Q60" s="775">
        <f>[1]DEPA!$F$41</f>
        <v>8952.5479333333333</v>
      </c>
      <c r="R60" s="772"/>
      <c r="S60" s="773"/>
      <c r="T60" s="775">
        <f>[1]DEPA!$G$41</f>
        <v>8952.5479333333333</v>
      </c>
      <c r="U60" s="772"/>
      <c r="V60" s="773"/>
      <c r="W60" s="775">
        <f>[1]DEPA!$H$41</f>
        <v>8952.5479333333333</v>
      </c>
      <c r="X60" s="772"/>
      <c r="Y60" s="773"/>
      <c r="Z60" s="775">
        <f>[1]DEPA!$I$41</f>
        <v>8952.5479333333333</v>
      </c>
      <c r="AA60" s="772"/>
      <c r="AB60" s="773"/>
      <c r="AC60" s="775">
        <f>[1]DEPA!$J$41</f>
        <v>8952.5479333333333</v>
      </c>
      <c r="AD60" s="772"/>
      <c r="AE60" s="773"/>
      <c r="AF60" s="775">
        <f>[1]DEPA!$K$41</f>
        <v>8952.5479333333333</v>
      </c>
      <c r="AG60" s="772"/>
      <c r="AH60" s="773"/>
      <c r="AI60" s="775">
        <f>[1]DEPA!$L$41</f>
        <v>8952.5479333333333</v>
      </c>
      <c r="AJ60" s="772"/>
      <c r="AK60" s="773"/>
      <c r="AL60" s="775">
        <f>[1]DEPA!$M$41</f>
        <v>8952.5479333333333</v>
      </c>
      <c r="AM60" s="772"/>
      <c r="AN60" s="773"/>
      <c r="AO60" s="775">
        <f>[1]DEPA!$N$41</f>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744" t="s">
        <v>132</v>
      </c>
      <c r="C61" s="744"/>
      <c r="D61" s="751"/>
      <c r="E61" s="752">
        <f t="shared" si="31"/>
        <v>83784</v>
      </c>
      <c r="F61" s="744"/>
      <c r="G61" s="751"/>
      <c r="H61" s="765">
        <f>[1]DEPA!$C$55</f>
        <v>10194</v>
      </c>
      <c r="I61" s="744"/>
      <c r="J61" s="751"/>
      <c r="K61" s="765">
        <f>[1]DEPA!$D$55</f>
        <v>6690</v>
      </c>
      <c r="L61" s="744"/>
      <c r="M61" s="751"/>
      <c r="N61" s="765">
        <f>[1]DEPA!$E$55</f>
        <v>6690</v>
      </c>
      <c r="O61" s="744"/>
      <c r="P61" s="751"/>
      <c r="Q61" s="765">
        <f>[1]DEPA!$F$55</f>
        <v>6690</v>
      </c>
      <c r="R61" s="744"/>
      <c r="S61" s="751"/>
      <c r="T61" s="765">
        <f>[1]DEPA!$G$55</f>
        <v>6690</v>
      </c>
      <c r="U61" s="744"/>
      <c r="V61" s="751"/>
      <c r="W61" s="765">
        <f>[1]DEPA!$H$55</f>
        <v>6690</v>
      </c>
      <c r="X61" s="744"/>
      <c r="Y61" s="751"/>
      <c r="Z61" s="765">
        <f>[1]DEPA!$I$55</f>
        <v>6690</v>
      </c>
      <c r="AA61" s="744"/>
      <c r="AB61" s="751"/>
      <c r="AC61" s="765">
        <f>[1]DEPA!$J$55</f>
        <v>6690</v>
      </c>
      <c r="AD61" s="744"/>
      <c r="AE61" s="751"/>
      <c r="AF61" s="765">
        <f>[1]DEPA!$K$55</f>
        <v>6690</v>
      </c>
      <c r="AG61" s="744"/>
      <c r="AH61" s="751"/>
      <c r="AI61" s="765">
        <f>[1]DEPA!$L$55</f>
        <v>6690</v>
      </c>
      <c r="AJ61" s="744"/>
      <c r="AK61" s="751"/>
      <c r="AL61" s="765">
        <f>[1]DEPA!$M$55</f>
        <v>6690</v>
      </c>
      <c r="AM61" s="744"/>
      <c r="AN61" s="751"/>
      <c r="AO61" s="765">
        <f>[1]DEPA!$N$55</f>
        <v>6690</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744" t="s">
        <v>133</v>
      </c>
      <c r="C62" s="744"/>
      <c r="D62" s="751"/>
      <c r="E62" s="752">
        <f t="shared" si="31"/>
        <v>18000</v>
      </c>
      <c r="F62" s="744"/>
      <c r="G62" s="751"/>
      <c r="H62" s="765">
        <f>[1]DEPA!$C$75</f>
        <v>1500</v>
      </c>
      <c r="I62" s="744"/>
      <c r="J62" s="751"/>
      <c r="K62" s="765">
        <f>[1]DEPA!$D$75</f>
        <v>1500</v>
      </c>
      <c r="L62" s="744"/>
      <c r="M62" s="751"/>
      <c r="N62" s="765">
        <f>[1]DEPA!$E$75</f>
        <v>1500</v>
      </c>
      <c r="O62" s="744"/>
      <c r="P62" s="751"/>
      <c r="Q62" s="765">
        <f>[1]DEPA!$F$75</f>
        <v>1500</v>
      </c>
      <c r="R62" s="744"/>
      <c r="S62" s="751"/>
      <c r="T62" s="765">
        <f>[1]DEPA!$G$75</f>
        <v>1500</v>
      </c>
      <c r="U62" s="744"/>
      <c r="V62" s="751"/>
      <c r="W62" s="765">
        <f>[1]DEPA!$H$75</f>
        <v>1500</v>
      </c>
      <c r="X62" s="744"/>
      <c r="Y62" s="751"/>
      <c r="Z62" s="765">
        <f>[1]DEPA!$I$75</f>
        <v>1500</v>
      </c>
      <c r="AA62" s="744"/>
      <c r="AB62" s="751"/>
      <c r="AC62" s="765">
        <f>[1]DEPA!$J$75</f>
        <v>1500</v>
      </c>
      <c r="AD62" s="744"/>
      <c r="AE62" s="751"/>
      <c r="AF62" s="765">
        <f>[1]DEPA!$K$75</f>
        <v>1500</v>
      </c>
      <c r="AG62" s="744"/>
      <c r="AH62" s="751"/>
      <c r="AI62" s="765">
        <f>[1]DEPA!$L$75</f>
        <v>1500</v>
      </c>
      <c r="AJ62" s="744"/>
      <c r="AK62" s="751"/>
      <c r="AL62" s="765">
        <f>[1]DEPA!$M$75</f>
        <v>1500</v>
      </c>
      <c r="AM62" s="744"/>
      <c r="AN62" s="751"/>
      <c r="AO62" s="765">
        <f>[1]DEPA!$N$75</f>
        <v>1500</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770" t="s">
        <v>134</v>
      </c>
      <c r="C63" s="772"/>
      <c r="D63" s="773"/>
      <c r="E63" s="774">
        <f t="shared" si="31"/>
        <v>55389.440000000002</v>
      </c>
      <c r="F63" s="772"/>
      <c r="G63" s="773"/>
      <c r="H63" s="775">
        <f>[1]DEPA!$C$84</f>
        <v>5549.12</v>
      </c>
      <c r="I63" s="772"/>
      <c r="J63" s="773"/>
      <c r="K63" s="775">
        <f>[1]DEPA!$D$84</f>
        <v>4109.12</v>
      </c>
      <c r="L63" s="772"/>
      <c r="M63" s="773"/>
      <c r="N63" s="775">
        <f>[1]DEPA!$E$84</f>
        <v>3629.12</v>
      </c>
      <c r="O63" s="772"/>
      <c r="P63" s="773"/>
      <c r="Q63" s="775">
        <f>[1]DEPA!$F$84</f>
        <v>3629.12</v>
      </c>
      <c r="R63" s="772"/>
      <c r="S63" s="773"/>
      <c r="T63" s="775">
        <f>[1]DEPA!$G$84</f>
        <v>3629.12</v>
      </c>
      <c r="U63" s="772"/>
      <c r="V63" s="773"/>
      <c r="W63" s="775">
        <f>[1]DEPA!$H$84</f>
        <v>4909.12</v>
      </c>
      <c r="X63" s="772"/>
      <c r="Y63" s="773"/>
      <c r="Z63" s="775">
        <f>[1]DEPA!$I$84</f>
        <v>3629.12</v>
      </c>
      <c r="AA63" s="772"/>
      <c r="AB63" s="773"/>
      <c r="AC63" s="775">
        <f>[1]DEPA!$J$84</f>
        <v>3629.12</v>
      </c>
      <c r="AD63" s="772"/>
      <c r="AE63" s="773"/>
      <c r="AF63" s="775">
        <f>[1]DEPA!$K$84</f>
        <v>3629.12</v>
      </c>
      <c r="AG63" s="772"/>
      <c r="AH63" s="773"/>
      <c r="AI63" s="775">
        <f>[1]DEPA!$L$84</f>
        <v>4589.12</v>
      </c>
      <c r="AJ63" s="772"/>
      <c r="AK63" s="773"/>
      <c r="AL63" s="775">
        <f>[1]DEPA!$M$84</f>
        <v>5549.12</v>
      </c>
      <c r="AM63" s="772"/>
      <c r="AN63" s="773"/>
      <c r="AO63" s="775">
        <f>[1]DEPA!$N$84</f>
        <v>8909.1200000000008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744" t="s">
        <v>135</v>
      </c>
      <c r="C64" s="744"/>
      <c r="D64" s="751"/>
      <c r="E64" s="752">
        <f t="shared" si="31"/>
        <v>840</v>
      </c>
      <c r="F64" s="744"/>
      <c r="G64" s="751"/>
      <c r="H64" s="765">
        <f>[1]DEPA!$C$113</f>
        <v>70</v>
      </c>
      <c r="I64" s="744"/>
      <c r="J64" s="751"/>
      <c r="K64" s="765">
        <f>[1]DEPA!$D$113</f>
        <v>70</v>
      </c>
      <c r="L64" s="744"/>
      <c r="M64" s="751"/>
      <c r="N64" s="765">
        <f>[1]DEPA!$E$113</f>
        <v>70</v>
      </c>
      <c r="O64" s="744"/>
      <c r="P64" s="751"/>
      <c r="Q64" s="765">
        <f>[1]DEPA!$F$113</f>
        <v>70</v>
      </c>
      <c r="R64" s="744"/>
      <c r="S64" s="751"/>
      <c r="T64" s="765">
        <f>[1]DEPA!$G$113</f>
        <v>70</v>
      </c>
      <c r="U64" s="744"/>
      <c r="V64" s="751"/>
      <c r="W64" s="765">
        <f>[1]DEPA!$H$113</f>
        <v>70</v>
      </c>
      <c r="X64" s="744"/>
      <c r="Y64" s="751"/>
      <c r="Z64" s="765">
        <f>[1]DEPA!$I$113</f>
        <v>70</v>
      </c>
      <c r="AA64" s="744"/>
      <c r="AB64" s="751"/>
      <c r="AC64" s="765">
        <f>[1]DEPA!$J$113</f>
        <v>70</v>
      </c>
      <c r="AD64" s="744"/>
      <c r="AE64" s="751"/>
      <c r="AF64" s="765">
        <f>[1]DEPA!$K$113</f>
        <v>70</v>
      </c>
      <c r="AG64" s="744"/>
      <c r="AH64" s="751"/>
      <c r="AI64" s="765">
        <f>[1]DEPA!$L$113</f>
        <v>70</v>
      </c>
      <c r="AJ64" s="744"/>
      <c r="AK64" s="751"/>
      <c r="AL64" s="765">
        <f>[1]DEPA!$M$113</f>
        <v>70</v>
      </c>
      <c r="AM64" s="744"/>
      <c r="AN64" s="751"/>
      <c r="AO64" s="765">
        <f>[1]DEPA!$N$113</f>
        <v>70</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744" t="s">
        <v>136</v>
      </c>
      <c r="C65" s="744"/>
      <c r="D65" s="751"/>
      <c r="E65" s="752">
        <f t="shared" si="31"/>
        <v>0</v>
      </c>
      <c r="F65" s="744"/>
      <c r="G65" s="751"/>
      <c r="H65" s="765">
        <f>[1]DEPA!$C$122</f>
        <v>0</v>
      </c>
      <c r="I65" s="744"/>
      <c r="J65" s="751"/>
      <c r="K65" s="765">
        <f>[1]DEPA!$D$122</f>
        <v>0</v>
      </c>
      <c r="L65" s="744"/>
      <c r="M65" s="751"/>
      <c r="N65" s="765">
        <f>[1]DEPA!$E$122</f>
        <v>0</v>
      </c>
      <c r="O65" s="744"/>
      <c r="P65" s="751"/>
      <c r="Q65" s="765">
        <f>[1]DEPA!$F$122</f>
        <v>0</v>
      </c>
      <c r="R65" s="744"/>
      <c r="S65" s="751"/>
      <c r="T65" s="765">
        <f>[1]DEPA!$G$122</f>
        <v>0</v>
      </c>
      <c r="U65" s="744"/>
      <c r="V65" s="751"/>
      <c r="W65" s="765">
        <f>[1]DEPA!$H$122</f>
        <v>0</v>
      </c>
      <c r="X65" s="744"/>
      <c r="Y65" s="751"/>
      <c r="Z65" s="765">
        <f>[1]DEPA!$I$122</f>
        <v>0</v>
      </c>
      <c r="AA65" s="744"/>
      <c r="AB65" s="751"/>
      <c r="AC65" s="765">
        <f>[1]DEPA!$J$122</f>
        <v>0</v>
      </c>
      <c r="AD65" s="744"/>
      <c r="AE65" s="751"/>
      <c r="AF65" s="765">
        <f>[1]DEPA!$K$122</f>
        <v>0</v>
      </c>
      <c r="AG65" s="744"/>
      <c r="AH65" s="751"/>
      <c r="AI65" s="765">
        <f>[1]DEPA!$L$122</f>
        <v>0</v>
      </c>
      <c r="AJ65" s="744"/>
      <c r="AK65" s="751"/>
      <c r="AL65" s="765">
        <f>[1]DEPA!$M$122</f>
        <v>0</v>
      </c>
      <c r="AM65" s="744"/>
      <c r="AN65" s="751"/>
      <c r="AO65" s="765">
        <f>[1]DEPA!$N$122</f>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744" t="s">
        <v>137</v>
      </c>
      <c r="C66" s="744"/>
      <c r="D66" s="751"/>
      <c r="E66" s="752">
        <f t="shared" si="31"/>
        <v>7140</v>
      </c>
      <c r="F66" s="744"/>
      <c r="G66" s="751"/>
      <c r="H66" s="765">
        <f>[1]DEPA!$C$131</f>
        <v>595</v>
      </c>
      <c r="I66" s="744"/>
      <c r="J66" s="751"/>
      <c r="K66" s="765">
        <f>[1]DEPA!$D$131</f>
        <v>595</v>
      </c>
      <c r="L66" s="744"/>
      <c r="M66" s="751"/>
      <c r="N66" s="765">
        <f>[1]DEPA!$E$131</f>
        <v>595</v>
      </c>
      <c r="O66" s="744"/>
      <c r="P66" s="751"/>
      <c r="Q66" s="765">
        <f>[1]DEPA!$F$131</f>
        <v>595</v>
      </c>
      <c r="R66" s="744"/>
      <c r="S66" s="751"/>
      <c r="T66" s="765">
        <f>[1]DEPA!$G$131</f>
        <v>595</v>
      </c>
      <c r="U66" s="744"/>
      <c r="V66" s="751"/>
      <c r="W66" s="765">
        <f>[1]DEPA!$H$131</f>
        <v>595</v>
      </c>
      <c r="X66" s="744"/>
      <c r="Y66" s="751"/>
      <c r="Z66" s="765">
        <f>[1]DEPA!$I$131</f>
        <v>595</v>
      </c>
      <c r="AA66" s="744"/>
      <c r="AB66" s="751"/>
      <c r="AC66" s="765">
        <f>[1]DEPA!$J$131</f>
        <v>595</v>
      </c>
      <c r="AD66" s="744"/>
      <c r="AE66" s="751"/>
      <c r="AF66" s="765">
        <f>[1]DEPA!$K$131</f>
        <v>595</v>
      </c>
      <c r="AG66" s="744"/>
      <c r="AH66" s="751"/>
      <c r="AI66" s="765">
        <f>[1]DEPA!$L$131</f>
        <v>595</v>
      </c>
      <c r="AJ66" s="744"/>
      <c r="AK66" s="751"/>
      <c r="AL66" s="765">
        <f>[1]DEPA!$M$131</f>
        <v>595</v>
      </c>
      <c r="AM66" s="744"/>
      <c r="AN66" s="751"/>
      <c r="AO66" s="765">
        <f>[1]DEPA!$N$131</f>
        <v>595</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744" t="s">
        <v>138</v>
      </c>
      <c r="C67" s="744"/>
      <c r="D67" s="751"/>
      <c r="E67" s="752">
        <f t="shared" si="31"/>
        <v>5250</v>
      </c>
      <c r="F67" s="744"/>
      <c r="G67" s="751"/>
      <c r="H67" s="765">
        <f>[1]DEPA!$C$140</f>
        <v>437.5</v>
      </c>
      <c r="I67" s="744"/>
      <c r="J67" s="751"/>
      <c r="K67" s="765">
        <f>[1]DEPA!$D$140</f>
        <v>437.5</v>
      </c>
      <c r="L67" s="744"/>
      <c r="M67" s="751"/>
      <c r="N67" s="765">
        <f>[1]DEPA!$E$140</f>
        <v>437.5</v>
      </c>
      <c r="O67" s="744"/>
      <c r="P67" s="751"/>
      <c r="Q67" s="765">
        <f>[1]DEPA!$F$140</f>
        <v>437.5</v>
      </c>
      <c r="R67" s="744"/>
      <c r="S67" s="751"/>
      <c r="T67" s="765">
        <f>[1]DEPA!$G$140</f>
        <v>437.5</v>
      </c>
      <c r="U67" s="744"/>
      <c r="V67" s="751"/>
      <c r="W67" s="765">
        <f>[1]DEPA!$H$140</f>
        <v>437.5</v>
      </c>
      <c r="X67" s="744"/>
      <c r="Y67" s="751"/>
      <c r="Z67" s="765">
        <f>[1]DEPA!$I$140</f>
        <v>437.5</v>
      </c>
      <c r="AA67" s="744"/>
      <c r="AB67" s="751"/>
      <c r="AC67" s="765">
        <f>[1]DEPA!$J$140</f>
        <v>437.5</v>
      </c>
      <c r="AD67" s="744"/>
      <c r="AE67" s="751"/>
      <c r="AF67" s="765">
        <f>[1]DEPA!$K$140</f>
        <v>437.5</v>
      </c>
      <c r="AG67" s="744"/>
      <c r="AH67" s="751"/>
      <c r="AI67" s="765">
        <f>[1]DEPA!$L$140</f>
        <v>437.5</v>
      </c>
      <c r="AJ67" s="744"/>
      <c r="AK67" s="751"/>
      <c r="AL67" s="765">
        <f>[1]DEPA!$M$140</f>
        <v>437.5</v>
      </c>
      <c r="AM67" s="744"/>
      <c r="AN67" s="751"/>
      <c r="AO67" s="765">
        <f>[1]DEPA!$N$140</f>
        <v>437.5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744" t="s">
        <v>139</v>
      </c>
      <c r="C68" s="744"/>
      <c r="D68" s="751"/>
      <c r="E68" s="752">
        <f t="shared" si="31"/>
        <v>2735.0400000000004</v>
      </c>
      <c r="F68" s="744"/>
      <c r="G68" s="751"/>
      <c r="H68" s="765">
        <f>[1]DEPA!$C$149</f>
        <v>227.92</v>
      </c>
      <c r="I68" s="744"/>
      <c r="J68" s="751"/>
      <c r="K68" s="765">
        <f>[1]DEPA!$D$149</f>
        <v>227.92</v>
      </c>
      <c r="L68" s="744"/>
      <c r="M68" s="751"/>
      <c r="N68" s="765">
        <f>[1]DEPA!$E$149</f>
        <v>227.92</v>
      </c>
      <c r="O68" s="744"/>
      <c r="P68" s="751"/>
      <c r="Q68" s="765">
        <f>[1]DEPA!$F$149</f>
        <v>227.92</v>
      </c>
      <c r="R68" s="744"/>
      <c r="S68" s="751"/>
      <c r="T68" s="765">
        <f>[1]DEPA!$G$149</f>
        <v>227.92</v>
      </c>
      <c r="U68" s="744"/>
      <c r="V68" s="751"/>
      <c r="W68" s="765">
        <f>[1]DEPA!$H$149</f>
        <v>227.92</v>
      </c>
      <c r="X68" s="744"/>
      <c r="Y68" s="751"/>
      <c r="Z68" s="765">
        <f>[1]DEPA!$I$149</f>
        <v>227.92</v>
      </c>
      <c r="AA68" s="744"/>
      <c r="AB68" s="751"/>
      <c r="AC68" s="765">
        <f>[1]DEPA!$J$149</f>
        <v>227.92</v>
      </c>
      <c r="AD68" s="744"/>
      <c r="AE68" s="751"/>
      <c r="AF68" s="765">
        <f>[1]DEPA!$K$149</f>
        <v>227.92</v>
      </c>
      <c r="AG68" s="744"/>
      <c r="AH68" s="751"/>
      <c r="AI68" s="765">
        <f>[1]DEPA!$L$149</f>
        <v>227.92</v>
      </c>
      <c r="AJ68" s="744"/>
      <c r="AK68" s="751"/>
      <c r="AL68" s="765">
        <f>[1]DEPA!$M$149</f>
        <v>227.92</v>
      </c>
      <c r="AM68" s="744"/>
      <c r="AN68" s="751"/>
      <c r="AO68" s="765">
        <f>[1]DEPA!$N$149</f>
        <v>227.92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744" t="s">
        <v>140</v>
      </c>
      <c r="C69" s="744"/>
      <c r="D69" s="751"/>
      <c r="E69" s="752">
        <f t="shared" si="31"/>
        <v>1440</v>
      </c>
      <c r="F69" s="744"/>
      <c r="G69" s="751"/>
      <c r="H69" s="765">
        <f>[1]DEPA!$C$158</f>
        <v>120</v>
      </c>
      <c r="I69" s="744"/>
      <c r="J69" s="751"/>
      <c r="K69" s="765">
        <f>[1]DEPA!$D$158</f>
        <v>120</v>
      </c>
      <c r="L69" s="744"/>
      <c r="M69" s="751"/>
      <c r="N69" s="765">
        <f>[1]DEPA!$E$158</f>
        <v>120</v>
      </c>
      <c r="O69" s="744"/>
      <c r="P69" s="751"/>
      <c r="Q69" s="765">
        <f>[1]DEPA!$F$158</f>
        <v>120</v>
      </c>
      <c r="R69" s="744"/>
      <c r="S69" s="751"/>
      <c r="T69" s="765">
        <f>[1]DEPA!$G$158</f>
        <v>120</v>
      </c>
      <c r="U69" s="744"/>
      <c r="V69" s="751"/>
      <c r="W69" s="765">
        <f>[1]DEPA!$H$158</f>
        <v>120</v>
      </c>
      <c r="X69" s="744"/>
      <c r="Y69" s="751"/>
      <c r="Z69" s="765">
        <f>[1]DEPA!$I$158</f>
        <v>120</v>
      </c>
      <c r="AA69" s="744"/>
      <c r="AB69" s="751"/>
      <c r="AC69" s="765">
        <f>[1]DEPA!$J$158</f>
        <v>120</v>
      </c>
      <c r="AD69" s="744"/>
      <c r="AE69" s="751"/>
      <c r="AF69" s="765">
        <f>[1]DEPA!$K$158</f>
        <v>120</v>
      </c>
      <c r="AG69" s="744"/>
      <c r="AH69" s="751"/>
      <c r="AI69" s="765">
        <f>[1]DEPA!$L$158</f>
        <v>120</v>
      </c>
      <c r="AJ69" s="744"/>
      <c r="AK69" s="751"/>
      <c r="AL69" s="765">
        <f>[1]DEPA!$M$158</f>
        <v>120</v>
      </c>
      <c r="AM69" s="744"/>
      <c r="AN69" s="751"/>
      <c r="AO69" s="765">
        <f>[1]DEPA!$N$158</f>
        <v>120</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744" t="s">
        <v>141</v>
      </c>
      <c r="C70" s="744"/>
      <c r="D70" s="751"/>
      <c r="E70" s="752">
        <f t="shared" si="31"/>
        <v>23000.000000000004</v>
      </c>
      <c r="F70" s="744"/>
      <c r="G70" s="751"/>
      <c r="H70" s="765">
        <f>[1]DEPA!$C$169</f>
        <v>1916.6666666666667</v>
      </c>
      <c r="I70" s="744"/>
      <c r="J70" s="751"/>
      <c r="K70" s="765">
        <f>[1]DEPA!$D$169</f>
        <v>1916.6666666666667</v>
      </c>
      <c r="L70" s="744"/>
      <c r="M70" s="751"/>
      <c r="N70" s="765">
        <f>[1]DEPA!$E$169</f>
        <v>1916.6666666666667</v>
      </c>
      <c r="O70" s="744"/>
      <c r="P70" s="751"/>
      <c r="Q70" s="765">
        <f>[1]DEPA!$F$169</f>
        <v>1916.6666666666667</v>
      </c>
      <c r="R70" s="744"/>
      <c r="S70" s="751"/>
      <c r="T70" s="765">
        <f>[1]DEPA!$G$169</f>
        <v>1916.6666666666667</v>
      </c>
      <c r="U70" s="744"/>
      <c r="V70" s="751"/>
      <c r="W70" s="765">
        <f>[1]DEPA!$H$169</f>
        <v>1916.6666666666667</v>
      </c>
      <c r="X70" s="744"/>
      <c r="Y70" s="751"/>
      <c r="Z70" s="765">
        <f>[1]DEPA!$I$169</f>
        <v>1916.6666666666667</v>
      </c>
      <c r="AA70" s="744"/>
      <c r="AB70" s="751"/>
      <c r="AC70" s="765">
        <f>[1]DEPA!$J$169</f>
        <v>1916.6666666666667</v>
      </c>
      <c r="AD70" s="744"/>
      <c r="AE70" s="751"/>
      <c r="AF70" s="765">
        <f>[1]DEPA!$K$169</f>
        <v>1916.6666666666667</v>
      </c>
      <c r="AG70" s="744"/>
      <c r="AH70" s="751"/>
      <c r="AI70" s="765">
        <f>[1]DEPA!$L$169</f>
        <v>1916.6666666666667</v>
      </c>
      <c r="AJ70" s="744"/>
      <c r="AK70" s="751"/>
      <c r="AL70" s="765">
        <f>[1]DEPA!$M$169</f>
        <v>1916.6666666666667</v>
      </c>
      <c r="AM70" s="744"/>
      <c r="AN70" s="751"/>
      <c r="AO70" s="765">
        <f>[1]DEPA!$N$169</f>
        <v>1916.6666666666667</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744" t="s">
        <v>142</v>
      </c>
      <c r="C71" s="744"/>
      <c r="D71" s="751"/>
      <c r="E71" s="752">
        <f t="shared" si="31"/>
        <v>43967.388901838982</v>
      </c>
      <c r="F71" s="744"/>
      <c r="G71" s="751"/>
      <c r="H71" s="765">
        <f>[1]DEPA!$C$181</f>
        <v>2814.8933450917157</v>
      </c>
      <c r="I71" s="744"/>
      <c r="J71" s="751"/>
      <c r="K71" s="765">
        <f>[1]DEPA!$D$181</f>
        <v>2848.5113413270478</v>
      </c>
      <c r="L71" s="744"/>
      <c r="M71" s="751"/>
      <c r="N71" s="765">
        <f>[1]DEPA!$E$181</f>
        <v>3886.4260291018004</v>
      </c>
      <c r="O71" s="744"/>
      <c r="P71" s="751"/>
      <c r="Q71" s="765">
        <f>[1]DEPA!$F$181</f>
        <v>4126.9453945062978</v>
      </c>
      <c r="R71" s="744"/>
      <c r="S71" s="751"/>
      <c r="T71" s="765">
        <f>[1]DEPA!$G$181</f>
        <v>4393.2604985450807</v>
      </c>
      <c r="U71" s="744"/>
      <c r="V71" s="751"/>
      <c r="W71" s="765">
        <f>[1]DEPA!$H$181</f>
        <v>3970.1321055074304</v>
      </c>
      <c r="X71" s="744"/>
      <c r="Y71" s="751"/>
      <c r="Z71" s="765">
        <f>[1]DEPA!$I$181</f>
        <v>3764.2586023400909</v>
      </c>
      <c r="AA71" s="744"/>
      <c r="AB71" s="751"/>
      <c r="AC71" s="765">
        <f>[1]DEPA!$J$181</f>
        <v>3649.3021509956943</v>
      </c>
      <c r="AD71" s="744"/>
      <c r="AE71" s="751"/>
      <c r="AF71" s="765">
        <f>[1]DEPA!$K$181</f>
        <v>3805.8496167836875</v>
      </c>
      <c r="AG71" s="744"/>
      <c r="AH71" s="751"/>
      <c r="AI71" s="765">
        <f>[1]DEPA!$L$181</f>
        <v>3815.2392310537534</v>
      </c>
      <c r="AJ71" s="744"/>
      <c r="AK71" s="751"/>
      <c r="AL71" s="765">
        <f>[1]DEPA!$M$181</f>
        <v>3943.5460114820748</v>
      </c>
      <c r="AM71" s="744"/>
      <c r="AN71" s="751"/>
      <c r="AO71" s="765">
        <f>[1]DEPA!$N$181</f>
        <v>2949.0245751043112</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744" t="s">
        <v>59</v>
      </c>
      <c r="C72" s="744"/>
      <c r="D72" s="751"/>
      <c r="E72" s="752">
        <f t="shared" si="31"/>
        <v>0</v>
      </c>
      <c r="F72" s="744"/>
      <c r="G72" s="751"/>
      <c r="H72" s="752"/>
      <c r="I72" s="744"/>
      <c r="J72" s="751"/>
      <c r="K72" s="752"/>
      <c r="L72" s="744"/>
      <c r="M72" s="751"/>
      <c r="N72" s="752"/>
      <c r="O72" s="744"/>
      <c r="P72" s="751"/>
      <c r="Q72" s="752"/>
      <c r="R72" s="744"/>
      <c r="S72" s="751"/>
      <c r="T72" s="752"/>
      <c r="U72" s="744"/>
      <c r="V72" s="751"/>
      <c r="W72" s="752"/>
      <c r="X72" s="744"/>
      <c r="Y72" s="751"/>
      <c r="Z72" s="752"/>
      <c r="AA72" s="744"/>
      <c r="AB72" s="751"/>
      <c r="AC72" s="752"/>
      <c r="AD72" s="744"/>
      <c r="AE72" s="751"/>
      <c r="AF72" s="752"/>
      <c r="AG72" s="744"/>
      <c r="AH72" s="751"/>
      <c r="AI72" s="752"/>
      <c r="AJ72" s="744"/>
      <c r="AK72" s="751"/>
      <c r="AL72" s="752"/>
      <c r="AM72" s="744"/>
      <c r="AN72" s="751"/>
      <c r="AO72" s="752"/>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744" t="s">
        <v>59</v>
      </c>
      <c r="C73" s="744"/>
      <c r="D73" s="751"/>
      <c r="E73" s="752">
        <f t="shared" si="31"/>
        <v>0</v>
      </c>
      <c r="F73" s="744"/>
      <c r="G73" s="751"/>
      <c r="H73" s="752"/>
      <c r="I73" s="744"/>
      <c r="J73" s="751"/>
      <c r="K73" s="752"/>
      <c r="L73" s="744"/>
      <c r="M73" s="751"/>
      <c r="N73" s="752"/>
      <c r="O73" s="744"/>
      <c r="P73" s="751"/>
      <c r="Q73" s="752"/>
      <c r="R73" s="744"/>
      <c r="S73" s="751"/>
      <c r="T73" s="752"/>
      <c r="U73" s="744"/>
      <c r="V73" s="751"/>
      <c r="W73" s="752"/>
      <c r="X73" s="744"/>
      <c r="Y73" s="751"/>
      <c r="Z73" s="752"/>
      <c r="AA73" s="744"/>
      <c r="AB73" s="751"/>
      <c r="AC73" s="752"/>
      <c r="AD73" s="744"/>
      <c r="AE73" s="751"/>
      <c r="AF73" s="752"/>
      <c r="AG73" s="744"/>
      <c r="AH73" s="751"/>
      <c r="AI73" s="752"/>
      <c r="AJ73" s="744"/>
      <c r="AK73" s="751"/>
      <c r="AL73" s="752"/>
      <c r="AM73" s="744"/>
      <c r="AN73" s="751"/>
      <c r="AO73" s="752"/>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744" t="s">
        <v>59</v>
      </c>
      <c r="C74" s="770"/>
      <c r="D74" s="771"/>
      <c r="E74" s="752">
        <f t="shared" si="31"/>
        <v>0</v>
      </c>
      <c r="F74" s="770"/>
      <c r="G74" s="771"/>
      <c r="H74" s="752"/>
      <c r="I74" s="770"/>
      <c r="J74" s="771"/>
      <c r="K74" s="752"/>
      <c r="L74" s="770"/>
      <c r="M74" s="771"/>
      <c r="N74" s="752"/>
      <c r="O74" s="770"/>
      <c r="P74" s="771"/>
      <c r="Q74" s="752"/>
      <c r="R74" s="770"/>
      <c r="S74" s="771"/>
      <c r="T74" s="752"/>
      <c r="U74" s="770"/>
      <c r="V74" s="771"/>
      <c r="W74" s="752"/>
      <c r="X74" s="770"/>
      <c r="Y74" s="771"/>
      <c r="Z74" s="752"/>
      <c r="AA74" s="770"/>
      <c r="AB74" s="771"/>
      <c r="AC74" s="752"/>
      <c r="AD74" s="770"/>
      <c r="AE74" s="771"/>
      <c r="AF74" s="752"/>
      <c r="AG74" s="770"/>
      <c r="AH74" s="771"/>
      <c r="AI74" s="752"/>
      <c r="AJ74" s="770"/>
      <c r="AK74" s="771"/>
      <c r="AL74" s="752"/>
      <c r="AM74" s="770"/>
      <c r="AN74" s="771"/>
      <c r="AO74" s="752"/>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1154" t="s">
        <v>143</v>
      </c>
      <c r="C75" s="1155" t="s">
        <v>119</v>
      </c>
      <c r="D75" s="1156">
        <f>IFERROR(E75/E$30,0)</f>
        <v>0.13094712485526977</v>
      </c>
      <c r="E75" s="1157">
        <f>+SUM(E58:E74)</f>
        <v>348976.44410183898</v>
      </c>
      <c r="F75" s="1155" t="s">
        <v>119</v>
      </c>
      <c r="G75" s="1156">
        <f>IFERROR(H75/H$30,0)</f>
        <v>0.18366217565242215</v>
      </c>
      <c r="H75" s="1157">
        <f>+SUM(H58:H74)</f>
        <v>32377.647945091718</v>
      </c>
      <c r="I75" s="1155" t="s">
        <v>119</v>
      </c>
      <c r="J75" s="1156">
        <f>IFERROR(K75/K$30,0)</f>
        <v>0.14575318327113801</v>
      </c>
      <c r="K75" s="1157">
        <f>+SUM(K58:K74)</f>
        <v>27467.265941327048</v>
      </c>
      <c r="L75" s="1155" t="s">
        <v>119</v>
      </c>
      <c r="M75" s="1156">
        <f>IFERROR(N75/N$30,0)</f>
        <v>0.10266038693490991</v>
      </c>
      <c r="N75" s="1157">
        <f>+SUM(N58:N74)</f>
        <v>28025.1806291018</v>
      </c>
      <c r="O75" s="1155" t="s">
        <v>119</v>
      </c>
      <c r="P75" s="1156">
        <f>IFERROR(Q75/Q$30,0)</f>
        <v>0.1009973105376625</v>
      </c>
      <c r="Q75" s="1157">
        <f>+SUM(Q58:Q74)</f>
        <v>28265.6999945063</v>
      </c>
      <c r="R75" s="1155" t="s">
        <v>119</v>
      </c>
      <c r="S75" s="1156">
        <f>IFERROR(T75/T$30,0)</f>
        <v>9.8140374409515396E-2</v>
      </c>
      <c r="T75" s="1157">
        <f>+SUM(T58:T74)</f>
        <v>28532.015098545082</v>
      </c>
      <c r="U75" s="1155" t="s">
        <v>119</v>
      </c>
      <c r="V75" s="1156">
        <f>IFERROR(W75/W$30,0)</f>
        <v>0.11211632311817375</v>
      </c>
      <c r="W75" s="1157">
        <f>+SUM(W58:W74)</f>
        <v>29388.88670550743</v>
      </c>
      <c r="X75" s="1155" t="s">
        <v>119</v>
      </c>
      <c r="Y75" s="1156">
        <f>IFERROR(Z75/Z$30,0)</f>
        <v>0.11860037028590337</v>
      </c>
      <c r="Z75" s="1157">
        <f>+SUM(Z58:Z74)</f>
        <v>27903.013202340091</v>
      </c>
      <c r="AA75" s="1155" t="s">
        <v>119</v>
      </c>
      <c r="AB75" s="1156">
        <f>IFERROR(AC75/AC$30,0)</f>
        <v>0.12984515629731311</v>
      </c>
      <c r="AC75" s="1157">
        <f>+SUM(AC58:AC74)</f>
        <v>27788.056750995696</v>
      </c>
      <c r="AD75" s="1155" t="s">
        <v>119</v>
      </c>
      <c r="AE75" s="1156">
        <f>IFERROR(AF75/AF$30,0)</f>
        <v>0.13500740450031468</v>
      </c>
      <c r="AF75" s="1157">
        <f>+SUM(AF58:AF74)</f>
        <v>27944.604216783686</v>
      </c>
      <c r="AG75" s="1155" t="s">
        <v>119</v>
      </c>
      <c r="AH75" s="1156">
        <f>IFERROR(AI75/AI$30,0)</f>
        <v>0.14232936230070106</v>
      </c>
      <c r="AI75" s="1157">
        <f>+SUM(AI58:AI74)</f>
        <v>28913.993831053755</v>
      </c>
      <c r="AJ75" s="1155" t="s">
        <v>119</v>
      </c>
      <c r="AK75" s="1156">
        <f>IFERROR(AL75/AL$30,0)</f>
        <v>0.1665625032836561</v>
      </c>
      <c r="AL75" s="1157">
        <f>+SUM(AL58:AL74)</f>
        <v>30002.300611482075</v>
      </c>
      <c r="AM75" s="1155" t="s">
        <v>119</v>
      </c>
      <c r="AN75" s="1156">
        <f>IFERROR(AO75/AO$30,0)</f>
        <v>0.20878512465950699</v>
      </c>
      <c r="AO75" s="1157">
        <f>+SUM(AO58:AO74)</f>
        <v>32367.779175104315</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770"/>
      <c r="C76" s="770"/>
      <c r="D76" s="771"/>
      <c r="E76" s="768"/>
      <c r="F76" s="770"/>
      <c r="G76" s="771"/>
      <c r="H76" s="768"/>
      <c r="I76" s="770"/>
      <c r="J76" s="771"/>
      <c r="K76" s="768"/>
      <c r="L76" s="770"/>
      <c r="M76" s="771"/>
      <c r="N76" s="768"/>
      <c r="O76" s="770"/>
      <c r="P76" s="771"/>
      <c r="Q76" s="768"/>
      <c r="R76" s="770"/>
      <c r="S76" s="771"/>
      <c r="T76" s="768"/>
      <c r="U76" s="770"/>
      <c r="V76" s="771"/>
      <c r="W76" s="768"/>
      <c r="X76" s="770"/>
      <c r="Y76" s="771"/>
      <c r="Z76" s="768"/>
      <c r="AA76" s="770"/>
      <c r="AB76" s="771"/>
      <c r="AC76" s="768"/>
      <c r="AD76" s="770"/>
      <c r="AE76" s="771"/>
      <c r="AF76" s="768"/>
      <c r="AG76" s="770"/>
      <c r="AH76" s="771"/>
      <c r="AI76" s="768"/>
      <c r="AJ76" s="770"/>
      <c r="AK76" s="771"/>
      <c r="AL76" s="768"/>
      <c r="AM76" s="770"/>
      <c r="AN76" s="771"/>
      <c r="AO76" s="768"/>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1164" t="s">
        <v>144</v>
      </c>
      <c r="C77" s="1155" t="s">
        <v>119</v>
      </c>
      <c r="D77" s="1156">
        <f>IFERROR(E77/E$30,0)</f>
        <v>0.93607167016117854</v>
      </c>
      <c r="E77" s="1165">
        <f>E44+E57+E75</f>
        <v>2494647.8453678805</v>
      </c>
      <c r="F77" s="1155" t="s">
        <v>119</v>
      </c>
      <c r="G77" s="1156">
        <f>IFERROR(H77/H$30,0)</f>
        <v>1.112777024215764</v>
      </c>
      <c r="H77" s="1165">
        <f>H44+H57+H75</f>
        <v>196170.51035935307</v>
      </c>
      <c r="I77" s="1155" t="s">
        <v>119</v>
      </c>
      <c r="J77" s="1156">
        <f>IFERROR(K77/K$30,0)</f>
        <v>0.97669986697234024</v>
      </c>
      <c r="K77" s="1165">
        <f>K44+K57+K75</f>
        <v>184059.61632469093</v>
      </c>
      <c r="L77" s="1155" t="s">
        <v>119</v>
      </c>
      <c r="M77" s="1156">
        <f>IFERROR(N77/N$30,0)</f>
        <v>0.79988860927932348</v>
      </c>
      <c r="N77" s="1165">
        <f>N44+N57+N75</f>
        <v>218360.98058374954</v>
      </c>
      <c r="O77" s="1155" t="s">
        <v>119</v>
      </c>
      <c r="P77" s="1156">
        <f>IFERROR(Q77/Q$30,0)</f>
        <v>0.8381639733488494</v>
      </c>
      <c r="Q77" s="1165">
        <f>Q44+Q57+Q75</f>
        <v>234573.48805389553</v>
      </c>
      <c r="R77" s="1155" t="s">
        <v>119</v>
      </c>
      <c r="S77" s="1156">
        <f>IFERROR(T77/T$30,0)</f>
        <v>0.82090405447697457</v>
      </c>
      <c r="T77" s="1165">
        <f>T44+T57+T75</f>
        <v>238658.62564431975</v>
      </c>
      <c r="U77" s="1155" t="s">
        <v>119</v>
      </c>
      <c r="V77" s="1156">
        <f>IFERROR(W77/W$30,0)</f>
        <v>0.81036100584069093</v>
      </c>
      <c r="W77" s="1165">
        <f>W44+W57+W75</f>
        <v>212418.73733328545</v>
      </c>
      <c r="X77" s="1155" t="s">
        <v>119</v>
      </c>
      <c r="Y77" s="1156">
        <f>IFERROR(Z77/Z$30,0)</f>
        <v>0.91044920240854998</v>
      </c>
      <c r="Z77" s="1165">
        <f>Z44+Z57+Z75</f>
        <v>214200.64754962476</v>
      </c>
      <c r="AA77" s="1155" t="s">
        <v>119</v>
      </c>
      <c r="AB77" s="1156">
        <f>IFERROR(AC77/AC$30,0)</f>
        <v>0.92339611098851759</v>
      </c>
      <c r="AC77" s="1165">
        <f>AC44+AC57+AC75</f>
        <v>197615.25394943528</v>
      </c>
      <c r="AD77" s="1155" t="s">
        <v>119</v>
      </c>
      <c r="AE77" s="1156">
        <f>IFERROR(AF77/AF$30,0)</f>
        <v>0.94799155715779593</v>
      </c>
      <c r="AF77" s="1165">
        <f>AF44+AF57+AF75</f>
        <v>196220.71073564954</v>
      </c>
      <c r="AG77" s="1155" t="s">
        <v>119</v>
      </c>
      <c r="AH77" s="1156">
        <f>IFERROR(AI77/AI$30,0)</f>
        <v>1.0303340021312466</v>
      </c>
      <c r="AI77" s="1165">
        <f>AI44+AI57+AI75</f>
        <v>209310.78802002792</v>
      </c>
      <c r="AJ77" s="1155" t="s">
        <v>119</v>
      </c>
      <c r="AK77" s="1156">
        <f>IFERROR(AL77/AL$30,0)</f>
        <v>1.1396128792927072</v>
      </c>
      <c r="AL77" s="1165">
        <f>AL44+AL57+AL75</f>
        <v>205274.34153069323</v>
      </c>
      <c r="AM77" s="1155" t="s">
        <v>119</v>
      </c>
      <c r="AN77" s="1156">
        <f>IFERROR(AO77/AO$30,0)</f>
        <v>1.2112828615742148</v>
      </c>
      <c r="AO77" s="1165">
        <f>AO44+AO57+AO75</f>
        <v>187784.1452831557</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744" t="s">
        <v>145</v>
      </c>
      <c r="C78" s="744"/>
      <c r="D78" s="751"/>
      <c r="E78" s="752">
        <f t="shared" ref="E78:E85" si="32">+SUM(H78,K78,N78,Q78,T78,W78,Z78,AC78,AF78,AI78,AL78,AO78)</f>
        <v>140000</v>
      </c>
      <c r="F78" s="744"/>
      <c r="G78" s="751"/>
      <c r="H78" s="765">
        <f>'[1]Vehicules neuf 2026'!E67</f>
        <v>0</v>
      </c>
      <c r="I78" s="744"/>
      <c r="J78" s="751"/>
      <c r="K78" s="765">
        <f>'[1]Vehicules neuf 2026'!F67</f>
        <v>0</v>
      </c>
      <c r="L78" s="744"/>
      <c r="M78" s="751"/>
      <c r="N78" s="765">
        <f>'[1]Vehicules neuf 2026'!G67</f>
        <v>35000</v>
      </c>
      <c r="O78" s="744"/>
      <c r="P78" s="751"/>
      <c r="Q78" s="765">
        <f>'[1]Vehicules neuf 2026'!H67</f>
        <v>0</v>
      </c>
      <c r="R78" s="744"/>
      <c r="S78" s="751"/>
      <c r="T78" s="765">
        <f>'[1]Vehicules neuf 2026'!I67</f>
        <v>0</v>
      </c>
      <c r="U78" s="744"/>
      <c r="V78" s="751"/>
      <c r="W78" s="765">
        <f>'[1]Vehicules neuf 2026'!J67</f>
        <v>35000</v>
      </c>
      <c r="X78" s="744"/>
      <c r="Y78" s="751"/>
      <c r="Z78" s="765">
        <f>'[1]Vehicules neuf 2026'!K67</f>
        <v>0</v>
      </c>
      <c r="AA78" s="744"/>
      <c r="AB78" s="751"/>
      <c r="AC78" s="765">
        <f>'[1]Vehicules neuf 2026'!L67</f>
        <v>0</v>
      </c>
      <c r="AD78" s="744"/>
      <c r="AE78" s="751"/>
      <c r="AF78" s="765">
        <f>'[1]Vehicules neuf 2026'!M67</f>
        <v>35000</v>
      </c>
      <c r="AG78" s="744"/>
      <c r="AH78" s="751"/>
      <c r="AI78" s="765">
        <f>'[1]Vehicules neuf 2026'!N67</f>
        <v>0</v>
      </c>
      <c r="AJ78" s="744"/>
      <c r="AK78" s="751"/>
      <c r="AL78" s="765">
        <f>'[1]Vehicules neuf 2026'!O67</f>
        <v>0</v>
      </c>
      <c r="AM78" s="744"/>
      <c r="AN78" s="751"/>
      <c r="AO78" s="765">
        <f>'[1]Vehicules neuf 2026'!P67</f>
        <v>35000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744" t="s">
        <v>146</v>
      </c>
      <c r="C79" s="744"/>
      <c r="D79" s="751"/>
      <c r="E79" s="752">
        <f t="shared" si="32"/>
        <v>0</v>
      </c>
      <c r="F79" s="744"/>
      <c r="G79" s="751"/>
      <c r="H79" s="765"/>
      <c r="I79" s="744"/>
      <c r="J79" s="751"/>
      <c r="K79" s="765"/>
      <c r="L79" s="744"/>
      <c r="M79" s="751"/>
      <c r="N79" s="765"/>
      <c r="O79" s="744"/>
      <c r="P79" s="751"/>
      <c r="Q79" s="765"/>
      <c r="R79" s="744"/>
      <c r="S79" s="751"/>
      <c r="T79" s="765"/>
      <c r="U79" s="744"/>
      <c r="V79" s="751"/>
      <c r="W79" s="765"/>
      <c r="X79" s="744"/>
      <c r="Y79" s="751"/>
      <c r="Z79" s="765"/>
      <c r="AA79" s="744"/>
      <c r="AB79" s="751"/>
      <c r="AC79" s="765"/>
      <c r="AD79" s="744"/>
      <c r="AE79" s="751"/>
      <c r="AF79" s="765"/>
      <c r="AG79" s="744"/>
      <c r="AH79" s="751"/>
      <c r="AI79" s="765"/>
      <c r="AJ79" s="744"/>
      <c r="AK79" s="751"/>
      <c r="AL79" s="765"/>
      <c r="AM79" s="744"/>
      <c r="AN79" s="751"/>
      <c r="AO79" s="765"/>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744" t="s">
        <v>147</v>
      </c>
      <c r="C80" s="744"/>
      <c r="D80" s="751"/>
      <c r="E80" s="752">
        <f t="shared" si="32"/>
        <v>0</v>
      </c>
      <c r="F80" s="744"/>
      <c r="G80" s="751"/>
      <c r="H80" s="765"/>
      <c r="I80" s="744"/>
      <c r="J80" s="751"/>
      <c r="K80" s="765"/>
      <c r="L80" s="744"/>
      <c r="M80" s="751"/>
      <c r="N80" s="765"/>
      <c r="O80" s="744"/>
      <c r="P80" s="751"/>
      <c r="Q80" s="765"/>
      <c r="R80" s="744"/>
      <c r="S80" s="751"/>
      <c r="T80" s="765"/>
      <c r="U80" s="744"/>
      <c r="V80" s="751"/>
      <c r="W80" s="765"/>
      <c r="X80" s="744"/>
      <c r="Y80" s="751"/>
      <c r="Z80" s="765"/>
      <c r="AA80" s="744"/>
      <c r="AB80" s="751"/>
      <c r="AC80" s="765"/>
      <c r="AD80" s="744"/>
      <c r="AE80" s="751"/>
      <c r="AF80" s="765"/>
      <c r="AG80" s="744"/>
      <c r="AH80" s="751"/>
      <c r="AI80" s="765"/>
      <c r="AJ80" s="744"/>
      <c r="AK80" s="751"/>
      <c r="AL80" s="765"/>
      <c r="AM80" s="744"/>
      <c r="AN80" s="751"/>
      <c r="AO80" s="765"/>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744" t="s">
        <v>148</v>
      </c>
      <c r="C81" s="744"/>
      <c r="D81" s="751"/>
      <c r="E81" s="752">
        <f t="shared" si="32"/>
        <v>971329.00248800265</v>
      </c>
      <c r="F81" s="744"/>
      <c r="G81" s="751"/>
      <c r="H81" s="765">
        <f>'[1]Vehicules neuf 2026'!E65</f>
        <v>62754.401846134992</v>
      </c>
      <c r="I81" s="744"/>
      <c r="J81" s="751"/>
      <c r="K81" s="765">
        <f>'[1]Vehicules neuf 2026'!F65</f>
        <v>68211.306354494562</v>
      </c>
      <c r="L81" s="744"/>
      <c r="M81" s="751"/>
      <c r="N81" s="765">
        <f>'[1]Vehicules neuf 2026'!G65</f>
        <v>100952.73340465195</v>
      </c>
      <c r="O81" s="744"/>
      <c r="P81" s="751"/>
      <c r="Q81" s="765">
        <f>'[1]Vehicules neuf 2026'!H65</f>
        <v>103681.18565883172</v>
      </c>
      <c r="R81" s="744"/>
      <c r="S81" s="751"/>
      <c r="T81" s="765">
        <f>'[1]Vehicules neuf 2026'!I65</f>
        <v>107773.86404010141</v>
      </c>
      <c r="U81" s="744"/>
      <c r="V81" s="751"/>
      <c r="W81" s="765">
        <f>'[1]Vehicules neuf 2026'!J65</f>
        <v>96860.055023382272</v>
      </c>
      <c r="X81" s="744"/>
      <c r="Y81" s="751"/>
      <c r="Z81" s="765">
        <f>'[1]Vehicules neuf 2026'!K65</f>
        <v>85946.246006663147</v>
      </c>
      <c r="AA81" s="744"/>
      <c r="AB81" s="751"/>
      <c r="AC81" s="765">
        <f>'[1]Vehicules neuf 2026'!L65</f>
        <v>77760.889244123799</v>
      </c>
      <c r="AD81" s="744"/>
      <c r="AE81" s="751"/>
      <c r="AF81" s="765">
        <f>'[1]Vehicules neuf 2026'!M65</f>
        <v>75032.436989944021</v>
      </c>
      <c r="AG81" s="744"/>
      <c r="AH81" s="751"/>
      <c r="AI81" s="765">
        <f>'[1]Vehicules neuf 2026'!N65</f>
        <v>73668.210862854117</v>
      </c>
      <c r="AJ81" s="744"/>
      <c r="AK81" s="751"/>
      <c r="AL81" s="765">
        <f>'[1]Vehicules neuf 2026'!O65</f>
        <v>64118.627973224888</v>
      </c>
      <c r="AM81" s="744"/>
      <c r="AN81" s="751"/>
      <c r="AO81" s="765">
        <f>'[1]Vehicules neuf 2026'!P65</f>
        <v>54569.045083595651</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744" t="s">
        <v>59</v>
      </c>
      <c r="C82" s="744"/>
      <c r="D82" s="751"/>
      <c r="E82" s="752">
        <f t="shared" si="32"/>
        <v>0</v>
      </c>
      <c r="F82" s="744"/>
      <c r="G82" s="751"/>
      <c r="H82" s="765"/>
      <c r="I82" s="744"/>
      <c r="J82" s="751"/>
      <c r="K82" s="765"/>
      <c r="L82" s="744"/>
      <c r="M82" s="751"/>
      <c r="N82" s="765"/>
      <c r="O82" s="744"/>
      <c r="P82" s="751"/>
      <c r="Q82" s="765"/>
      <c r="R82" s="744"/>
      <c r="S82" s="751"/>
      <c r="T82" s="765"/>
      <c r="U82" s="744"/>
      <c r="V82" s="751"/>
      <c r="W82" s="765"/>
      <c r="X82" s="744"/>
      <c r="Y82" s="751"/>
      <c r="Z82" s="765"/>
      <c r="AA82" s="744"/>
      <c r="AB82" s="751"/>
      <c r="AC82" s="765"/>
      <c r="AD82" s="744"/>
      <c r="AE82" s="751"/>
      <c r="AF82" s="765"/>
      <c r="AG82" s="744"/>
      <c r="AH82" s="751"/>
      <c r="AI82" s="765"/>
      <c r="AJ82" s="744"/>
      <c r="AK82" s="751"/>
      <c r="AL82" s="765"/>
      <c r="AM82" s="744"/>
      <c r="AN82" s="751"/>
      <c r="AO82" s="765"/>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744" t="s">
        <v>59</v>
      </c>
      <c r="C83" s="744"/>
      <c r="D83" s="751"/>
      <c r="E83" s="752">
        <f t="shared" si="32"/>
        <v>0</v>
      </c>
      <c r="F83" s="744"/>
      <c r="G83" s="751"/>
      <c r="H83" s="765"/>
      <c r="I83" s="744"/>
      <c r="J83" s="751"/>
      <c r="K83" s="765"/>
      <c r="L83" s="744"/>
      <c r="M83" s="751"/>
      <c r="N83" s="765"/>
      <c r="O83" s="744"/>
      <c r="P83" s="751"/>
      <c r="Q83" s="765"/>
      <c r="R83" s="744"/>
      <c r="S83" s="751"/>
      <c r="T83" s="765"/>
      <c r="U83" s="744"/>
      <c r="V83" s="751"/>
      <c r="W83" s="765"/>
      <c r="X83" s="744"/>
      <c r="Y83" s="751"/>
      <c r="Z83" s="765"/>
      <c r="AA83" s="744"/>
      <c r="AB83" s="751"/>
      <c r="AC83" s="765"/>
      <c r="AD83" s="744"/>
      <c r="AE83" s="751"/>
      <c r="AF83" s="765"/>
      <c r="AG83" s="744"/>
      <c r="AH83" s="751"/>
      <c r="AI83" s="765"/>
      <c r="AJ83" s="744"/>
      <c r="AK83" s="751"/>
      <c r="AL83" s="765"/>
      <c r="AM83" s="744"/>
      <c r="AN83" s="751"/>
      <c r="AO83" s="765"/>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744" t="s">
        <v>59</v>
      </c>
      <c r="C84" s="744"/>
      <c r="D84" s="751"/>
      <c r="E84" s="752">
        <f t="shared" si="32"/>
        <v>0</v>
      </c>
      <c r="F84" s="744"/>
      <c r="G84" s="751"/>
      <c r="H84" s="765"/>
      <c r="I84" s="744"/>
      <c r="J84" s="751"/>
      <c r="K84" s="765"/>
      <c r="L84" s="744"/>
      <c r="M84" s="751"/>
      <c r="N84" s="765"/>
      <c r="O84" s="744"/>
      <c r="P84" s="751"/>
      <c r="Q84" s="765"/>
      <c r="R84" s="744"/>
      <c r="S84" s="751"/>
      <c r="T84" s="765"/>
      <c r="U84" s="744"/>
      <c r="V84" s="751"/>
      <c r="W84" s="765"/>
      <c r="X84" s="744"/>
      <c r="Y84" s="751"/>
      <c r="Z84" s="765"/>
      <c r="AA84" s="744"/>
      <c r="AB84" s="751"/>
      <c r="AC84" s="765"/>
      <c r="AD84" s="744"/>
      <c r="AE84" s="751"/>
      <c r="AF84" s="765"/>
      <c r="AG84" s="744"/>
      <c r="AH84" s="751"/>
      <c r="AI84" s="765"/>
      <c r="AJ84" s="744"/>
      <c r="AK84" s="751"/>
      <c r="AL84" s="765"/>
      <c r="AM84" s="744"/>
      <c r="AN84" s="751"/>
      <c r="AO84" s="765"/>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744" t="s">
        <v>149</v>
      </c>
      <c r="C85" s="744"/>
      <c r="D85" s="751"/>
      <c r="E85" s="752">
        <f t="shared" si="32"/>
        <v>329001.14999999997</v>
      </c>
      <c r="F85" s="744"/>
      <c r="G85" s="751"/>
      <c r="H85" s="765">
        <f>'[1]Vehicules neuf 2026'!E64</f>
        <v>21842.399999999998</v>
      </c>
      <c r="I85" s="744"/>
      <c r="J85" s="751"/>
      <c r="K85" s="765">
        <f>'[1]Vehicules neuf 2026'!F64</f>
        <v>23207.55</v>
      </c>
      <c r="L85" s="744"/>
      <c r="M85" s="751"/>
      <c r="N85" s="765">
        <f>'[1]Vehicules neuf 2026'!G64</f>
        <v>33673.699999999997</v>
      </c>
      <c r="O85" s="744"/>
      <c r="P85" s="751"/>
      <c r="Q85" s="765">
        <f>'[1]Vehicules neuf 2026'!H64</f>
        <v>34583.799999999996</v>
      </c>
      <c r="R85" s="744"/>
      <c r="S85" s="751"/>
      <c r="T85" s="765">
        <f>'[1]Vehicules neuf 2026'!I64</f>
        <v>35948.949999999997</v>
      </c>
      <c r="U85" s="744"/>
      <c r="V85" s="751"/>
      <c r="W85" s="765">
        <f>'[1]Vehicules neuf 2026'!J64</f>
        <v>32308.549999999996</v>
      </c>
      <c r="X85" s="744"/>
      <c r="Y85" s="751"/>
      <c r="Z85" s="765">
        <f>'[1]Vehicules neuf 2026'!K64</f>
        <v>29123.199999999997</v>
      </c>
      <c r="AA85" s="744"/>
      <c r="AB85" s="751"/>
      <c r="AC85" s="765">
        <f>'[1]Vehicules neuf 2026'!L64</f>
        <v>26392.899999999998</v>
      </c>
      <c r="AD85" s="744"/>
      <c r="AE85" s="751"/>
      <c r="AF85" s="765">
        <f>'[1]Vehicules neuf 2026'!M64</f>
        <v>25482.799999999996</v>
      </c>
      <c r="AG85" s="744"/>
      <c r="AH85" s="751"/>
      <c r="AI85" s="765">
        <f>'[1]Vehicules neuf 2026'!N64</f>
        <v>25027.749999999996</v>
      </c>
      <c r="AJ85" s="744"/>
      <c r="AK85" s="751"/>
      <c r="AL85" s="765">
        <f>'[1]Vehicules neuf 2026'!O64</f>
        <v>22297.449999999997</v>
      </c>
      <c r="AM85" s="744"/>
      <c r="AN85" s="751"/>
      <c r="AO85" s="765">
        <f>'[1]Vehicules neuf 2026'!P64</f>
        <v>19112.099999999999</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1166" t="s">
        <v>150</v>
      </c>
      <c r="C86" s="776"/>
      <c r="D86" s="1167"/>
      <c r="E86" s="777">
        <f>+SUM(E78:E85)</f>
        <v>1440330.1524880026</v>
      </c>
      <c r="F86" s="776"/>
      <c r="G86" s="1167"/>
      <c r="H86" s="777">
        <f>+SUM(H78:H85)</f>
        <v>84596.801846134986</v>
      </c>
      <c r="I86" s="776"/>
      <c r="J86" s="1167"/>
      <c r="K86" s="777">
        <f>+SUM(K78:K85)</f>
        <v>91418.856354494565</v>
      </c>
      <c r="L86" s="776"/>
      <c r="M86" s="1167"/>
      <c r="N86" s="777">
        <f>+SUM(N78:N85)</f>
        <v>169626.43340465194</v>
      </c>
      <c r="O86" s="776"/>
      <c r="P86" s="1167"/>
      <c r="Q86" s="777">
        <f>+SUM(Q78:Q85)</f>
        <v>138264.98565883172</v>
      </c>
      <c r="R86" s="776"/>
      <c r="S86" s="1167"/>
      <c r="T86" s="777">
        <f>+SUM(T78:T85)</f>
        <v>143722.81404010142</v>
      </c>
      <c r="U86" s="776"/>
      <c r="V86" s="1167"/>
      <c r="W86" s="777">
        <f>+SUM(W78:W85)</f>
        <v>164168.60502338226</v>
      </c>
      <c r="X86" s="776"/>
      <c r="Y86" s="1167"/>
      <c r="Z86" s="777">
        <f>+SUM(Z78:Z85)</f>
        <v>115069.44600666314</v>
      </c>
      <c r="AA86" s="776"/>
      <c r="AB86" s="1167"/>
      <c r="AC86" s="777">
        <f>+SUM(AC78:AC85)</f>
        <v>104153.78924412379</v>
      </c>
      <c r="AD86" s="776"/>
      <c r="AE86" s="1167"/>
      <c r="AF86" s="777">
        <f>+SUM(AF78:AF85)</f>
        <v>135515.23698994401</v>
      </c>
      <c r="AG86" s="776"/>
      <c r="AH86" s="1167"/>
      <c r="AI86" s="777">
        <f>+SUM(AI78:AI85)</f>
        <v>98695.960862854117</v>
      </c>
      <c r="AJ86" s="776"/>
      <c r="AK86" s="1167"/>
      <c r="AL86" s="777">
        <f>+SUM(AL78:AL85)</f>
        <v>86416.077973224892</v>
      </c>
      <c r="AM86" s="776"/>
      <c r="AN86" s="1167"/>
      <c r="AO86" s="777">
        <f>+SUM(AO78:AO85)</f>
        <v>108681.14508359565</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759"/>
      <c r="C87" s="778"/>
      <c r="D87" s="779"/>
      <c r="E87" s="780"/>
      <c r="F87" s="778"/>
      <c r="G87" s="779"/>
      <c r="H87" s="780"/>
      <c r="I87" s="778"/>
      <c r="J87" s="779"/>
      <c r="K87" s="780"/>
      <c r="L87" s="778"/>
      <c r="M87" s="779"/>
      <c r="N87" s="780"/>
      <c r="O87" s="778"/>
      <c r="P87" s="779"/>
      <c r="Q87" s="780"/>
      <c r="R87" s="778"/>
      <c r="S87" s="779"/>
      <c r="T87" s="780"/>
      <c r="U87" s="778"/>
      <c r="V87" s="779"/>
      <c r="W87" s="780"/>
      <c r="X87" s="778"/>
      <c r="Y87" s="779"/>
      <c r="Z87" s="780"/>
      <c r="AA87" s="778"/>
      <c r="AB87" s="779"/>
      <c r="AC87" s="780"/>
      <c r="AD87" s="778"/>
      <c r="AE87" s="779"/>
      <c r="AF87" s="780"/>
      <c r="AG87" s="778"/>
      <c r="AH87" s="779"/>
      <c r="AI87" s="780"/>
      <c r="AJ87" s="778"/>
      <c r="AK87" s="779"/>
      <c r="AL87" s="780"/>
      <c r="AM87" s="778"/>
      <c r="AN87" s="779"/>
      <c r="AO87" s="780"/>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1168" t="s">
        <v>151</v>
      </c>
      <c r="C88" s="1169"/>
      <c r="D88" s="1170">
        <f>E88/E8</f>
        <v>4.4758874042790511E-2</v>
      </c>
      <c r="E88" s="1171">
        <f>E30-E77+E86</f>
        <v>1610700.3018836393</v>
      </c>
      <c r="F88" s="1169"/>
      <c r="G88" s="1172"/>
      <c r="H88" s="1171">
        <f>H30-H77+H86</f>
        <v>64715.436652773627</v>
      </c>
      <c r="I88" s="1169"/>
      <c r="J88" s="1172"/>
      <c r="K88" s="1171">
        <f>K30-K77+K86</f>
        <v>95809.778981196185</v>
      </c>
      <c r="L88" s="1169"/>
      <c r="M88" s="1172"/>
      <c r="N88" s="1171">
        <f>N30-N77+N86</f>
        <v>224254.6891353018</v>
      </c>
      <c r="O88" s="1169"/>
      <c r="P88" s="1172"/>
      <c r="Q88" s="1171">
        <f>Q30-Q77+Q86</f>
        <v>183557.36575561186</v>
      </c>
      <c r="R88" s="1169"/>
      <c r="S88" s="1172"/>
      <c r="T88" s="1171">
        <f>T30-T77+T86</f>
        <v>195790.76520185819</v>
      </c>
      <c r="U88" s="1169"/>
      <c r="V88" s="1172"/>
      <c r="W88" s="1171">
        <f>W30-W77+W86</f>
        <v>213878.39534909537</v>
      </c>
      <c r="X88" s="1169"/>
      <c r="Y88" s="1172"/>
      <c r="Z88" s="1171">
        <f>Z30-Z77+Z86</f>
        <v>136137.98973423117</v>
      </c>
      <c r="AA88" s="1169"/>
      <c r="AB88" s="1172"/>
      <c r="AC88" s="1171">
        <f>AC30-AC77+AC86</f>
        <v>120547.72549788683</v>
      </c>
      <c r="AD88" s="1169"/>
      <c r="AE88" s="1172"/>
      <c r="AF88" s="1171">
        <f>AF30-AF77+AF86</f>
        <v>146280.24174309606</v>
      </c>
      <c r="AG88" s="1169"/>
      <c r="AH88" s="1172"/>
      <c r="AI88" s="1171">
        <f>AI30-AI77+AI86</f>
        <v>92533.654390623706</v>
      </c>
      <c r="AJ88" s="1169"/>
      <c r="AK88" s="1172"/>
      <c r="AL88" s="1171">
        <f>AL30-AL77+AL86</f>
        <v>61268.115549527487</v>
      </c>
      <c r="AM88" s="1169"/>
      <c r="AN88" s="1172"/>
      <c r="AO88" s="1171">
        <f>AO30-AO77+AO86</f>
        <v>75926.143892437191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781"/>
      <c r="C89" s="781"/>
      <c r="D89" s="781"/>
      <c r="E89" s="782"/>
      <c r="F89" s="781"/>
      <c r="G89" s="781"/>
      <c r="H89" s="782"/>
      <c r="I89" s="781"/>
      <c r="J89" s="781"/>
      <c r="K89" s="782"/>
      <c r="L89" s="781"/>
      <c r="M89" s="781"/>
      <c r="N89" s="782"/>
      <c r="O89" s="781"/>
      <c r="P89" s="781"/>
      <c r="Q89" s="782"/>
      <c r="R89" s="781"/>
      <c r="S89" s="781"/>
      <c r="T89" s="782"/>
      <c r="U89" s="781"/>
      <c r="V89" s="781"/>
      <c r="W89" s="782"/>
      <c r="X89" s="781"/>
      <c r="Y89" s="781"/>
      <c r="Z89" s="782"/>
      <c r="AA89" s="781"/>
      <c r="AB89" s="781"/>
      <c r="AC89" s="782"/>
      <c r="AD89" s="781"/>
      <c r="AE89" s="781"/>
      <c r="AF89" s="782"/>
      <c r="AG89" s="781"/>
      <c r="AH89" s="781"/>
      <c r="AI89" s="782"/>
      <c r="AJ89" s="781"/>
      <c r="AK89" s="781"/>
      <c r="AL89" s="782"/>
      <c r="AM89" s="781"/>
      <c r="AN89" s="781"/>
      <c r="AO89" s="782"/>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781"/>
      <c r="C90" s="781"/>
      <c r="D90" s="781"/>
      <c r="E90" s="781"/>
      <c r="F90" s="781"/>
      <c r="G90" s="781"/>
      <c r="H90" s="781"/>
      <c r="I90" s="781"/>
      <c r="J90" s="781"/>
      <c r="K90" s="781"/>
      <c r="L90" s="781"/>
      <c r="M90" s="781"/>
      <c r="N90" s="781"/>
      <c r="O90" s="781"/>
      <c r="P90" s="781"/>
      <c r="Q90" s="781"/>
      <c r="R90" s="781"/>
      <c r="S90" s="781"/>
      <c r="T90" s="781"/>
      <c r="U90" s="781"/>
      <c r="V90" s="781"/>
      <c r="W90" s="781"/>
      <c r="X90" s="781"/>
      <c r="Y90" s="781"/>
      <c r="Z90" s="781"/>
      <c r="AA90" s="781"/>
      <c r="AB90" s="781"/>
      <c r="AC90" s="781"/>
      <c r="AD90" s="781"/>
      <c r="AE90" s="781"/>
      <c r="AF90" s="781"/>
      <c r="AG90" s="781"/>
      <c r="AH90" s="781"/>
      <c r="AI90" s="781"/>
      <c r="AJ90" s="781"/>
      <c r="AK90" s="781"/>
      <c r="AL90" s="781"/>
      <c r="AM90" s="781"/>
      <c r="AN90" s="781"/>
      <c r="AO90" s="781"/>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783"/>
      <c r="C91" s="783"/>
      <c r="D91" s="783"/>
      <c r="E91" s="783"/>
      <c r="F91" s="783"/>
      <c r="G91" s="783"/>
      <c r="H91" s="783"/>
      <c r="I91" s="783"/>
      <c r="J91" s="783"/>
      <c r="K91" s="783"/>
      <c r="L91" s="783"/>
      <c r="M91" s="783"/>
      <c r="N91" s="783"/>
      <c r="O91" s="783"/>
      <c r="P91" s="783"/>
      <c r="Q91" s="783"/>
      <c r="R91" s="783"/>
      <c r="S91" s="783"/>
      <c r="T91" s="783"/>
      <c r="U91" s="783"/>
      <c r="V91" s="783"/>
      <c r="W91" s="783"/>
      <c r="X91" s="783"/>
      <c r="Y91" s="783"/>
      <c r="Z91" s="783"/>
      <c r="AA91" s="783"/>
      <c r="AB91" s="783"/>
      <c r="AC91" s="783"/>
      <c r="AD91" s="783"/>
      <c r="AE91" s="783"/>
      <c r="AF91" s="783"/>
      <c r="AG91" s="783"/>
      <c r="AH91" s="783"/>
      <c r="AI91" s="783"/>
      <c r="AJ91" s="783"/>
      <c r="AK91" s="783"/>
      <c r="AL91" s="783"/>
      <c r="AM91" s="783"/>
      <c r="AN91" s="783"/>
      <c r="AO91" s="783"/>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1173" t="str">
        <f>B4</f>
        <v>Budget 2025</v>
      </c>
      <c r="C92" s="784" t="s">
        <v>152</v>
      </c>
      <c r="D92" s="784"/>
      <c r="E92" s="784"/>
      <c r="F92" s="784"/>
      <c r="G92" s="784"/>
      <c r="H92" s="784"/>
      <c r="I92" s="784"/>
      <c r="J92" s="784"/>
      <c r="K92" s="784"/>
      <c r="L92" s="784"/>
      <c r="M92" s="784"/>
      <c r="N92" s="784"/>
      <c r="O92" s="784"/>
      <c r="P92" s="784"/>
      <c r="Q92" s="784"/>
      <c r="R92" s="784"/>
      <c r="S92" s="784"/>
      <c r="T92" s="784"/>
      <c r="U92" s="784"/>
      <c r="V92" s="784"/>
      <c r="W92" s="784"/>
      <c r="X92" s="784"/>
      <c r="Y92" s="784"/>
      <c r="Z92" s="784"/>
      <c r="AA92" s="784"/>
      <c r="AB92" s="784"/>
      <c r="AC92" s="784"/>
      <c r="AD92" s="784"/>
      <c r="AE92" s="784"/>
      <c r="AF92" s="784"/>
      <c r="AG92" s="784"/>
      <c r="AH92" s="784"/>
      <c r="AI92" s="784"/>
      <c r="AJ92" s="784"/>
      <c r="AK92" s="784"/>
      <c r="AL92" s="784"/>
      <c r="AM92" s="784"/>
      <c r="AN92" s="784"/>
      <c r="AO92" s="784"/>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1174"/>
      <c r="C93" s="783"/>
      <c r="D93" s="783"/>
      <c r="E93" s="783"/>
      <c r="F93" s="783"/>
      <c r="G93" s="783"/>
      <c r="H93" s="783"/>
      <c r="I93" s="783"/>
      <c r="J93" s="783"/>
      <c r="K93" s="783"/>
      <c r="L93" s="783"/>
      <c r="M93" s="783"/>
      <c r="N93" s="783"/>
      <c r="O93" s="783"/>
      <c r="P93" s="783"/>
      <c r="Q93" s="783"/>
      <c r="R93" s="783"/>
      <c r="S93" s="783"/>
      <c r="T93" s="783"/>
      <c r="U93" s="783"/>
      <c r="V93" s="783"/>
      <c r="W93" s="783"/>
      <c r="X93" s="783"/>
      <c r="Y93" s="783"/>
      <c r="Z93" s="783"/>
      <c r="AA93" s="783"/>
      <c r="AB93" s="783"/>
      <c r="AC93" s="783"/>
      <c r="AD93" s="783"/>
      <c r="AE93" s="783"/>
      <c r="AF93" s="783"/>
      <c r="AG93" s="783"/>
      <c r="AH93" s="783"/>
      <c r="AI93" s="783"/>
      <c r="AJ93" s="783"/>
      <c r="AK93" s="783"/>
      <c r="AL93" s="783"/>
      <c r="AM93" s="783"/>
      <c r="AN93" s="783"/>
      <c r="AO93" s="783"/>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912" t="s">
        <v>3</v>
      </c>
      <c r="C94" s="1287">
        <v>2021</v>
      </c>
      <c r="D94" s="1288"/>
      <c r="E94" s="1289"/>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744"/>
      <c r="C95" s="785" t="s">
        <v>93</v>
      </c>
      <c r="D95" s="762" t="s">
        <v>94</v>
      </c>
      <c r="E95" s="786" t="s">
        <v>95</v>
      </c>
      <c r="F95" s="785" t="s">
        <v>93</v>
      </c>
      <c r="G95" s="762" t="s">
        <v>94</v>
      </c>
      <c r="H95" s="786" t="s">
        <v>95</v>
      </c>
      <c r="I95" s="785" t="s">
        <v>93</v>
      </c>
      <c r="J95" s="762" t="s">
        <v>94</v>
      </c>
      <c r="K95" s="786" t="s">
        <v>95</v>
      </c>
      <c r="L95" s="785" t="s">
        <v>93</v>
      </c>
      <c r="M95" s="762" t="s">
        <v>94</v>
      </c>
      <c r="N95" s="786" t="s">
        <v>95</v>
      </c>
      <c r="O95" s="785" t="s">
        <v>93</v>
      </c>
      <c r="P95" s="762" t="s">
        <v>94</v>
      </c>
      <c r="Q95" s="786" t="s">
        <v>95</v>
      </c>
      <c r="R95" s="785" t="s">
        <v>93</v>
      </c>
      <c r="S95" s="762" t="s">
        <v>94</v>
      </c>
      <c r="T95" s="786" t="s">
        <v>95</v>
      </c>
      <c r="U95" s="785" t="s">
        <v>93</v>
      </c>
      <c r="V95" s="762" t="s">
        <v>94</v>
      </c>
      <c r="W95" s="786" t="s">
        <v>95</v>
      </c>
      <c r="X95" s="785" t="s">
        <v>93</v>
      </c>
      <c r="Y95" s="762" t="s">
        <v>94</v>
      </c>
      <c r="Z95" s="786" t="s">
        <v>95</v>
      </c>
      <c r="AA95" s="785" t="s">
        <v>93</v>
      </c>
      <c r="AB95" s="762" t="s">
        <v>94</v>
      </c>
      <c r="AC95" s="786" t="s">
        <v>95</v>
      </c>
      <c r="AD95" s="785" t="s">
        <v>93</v>
      </c>
      <c r="AE95" s="762" t="s">
        <v>94</v>
      </c>
      <c r="AF95" s="786" t="s">
        <v>95</v>
      </c>
      <c r="AG95" s="785" t="s">
        <v>93</v>
      </c>
      <c r="AH95" s="762" t="s">
        <v>94</v>
      </c>
      <c r="AI95" s="786" t="s">
        <v>95</v>
      </c>
      <c r="AJ95" s="785" t="s">
        <v>93</v>
      </c>
      <c r="AK95" s="762" t="s">
        <v>94</v>
      </c>
      <c r="AL95" s="786" t="s">
        <v>95</v>
      </c>
      <c r="AM95" s="785" t="s">
        <v>93</v>
      </c>
      <c r="AN95" s="762" t="s">
        <v>94</v>
      </c>
      <c r="AO95" s="786"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33">+$C$92&amp;B96</f>
        <v>Véhicules usagésVentes nettes</v>
      </c>
      <c r="B96" s="770" t="s">
        <v>96</v>
      </c>
      <c r="C96" s="735"/>
      <c r="D96" s="736"/>
      <c r="E96" s="737">
        <f>+SUM(H96,K96,N96,Q96,T96,W96,Z96,AC96,AF96,AI96,AL96,AO96)</f>
        <v>18503608.462466374</v>
      </c>
      <c r="F96" s="735"/>
      <c r="G96" s="736"/>
      <c r="H96" s="787">
        <f>'[1]Vehicules usages 2026'!E49</f>
        <v>1039006.6025411608</v>
      </c>
      <c r="I96" s="735"/>
      <c r="J96" s="736"/>
      <c r="K96" s="787">
        <f>'[1]Vehicules usages 2026'!F49</f>
        <v>948717.19560298533</v>
      </c>
      <c r="L96" s="735"/>
      <c r="M96" s="736"/>
      <c r="N96" s="787">
        <f>'[1]Vehicules usages 2026'!G49</f>
        <v>1332498.4906039732</v>
      </c>
      <c r="O96" s="735"/>
      <c r="P96" s="736"/>
      <c r="Q96" s="787">
        <f>'[1]Vehicules usages 2026'!H49</f>
        <v>1484291.1825978032</v>
      </c>
      <c r="R96" s="735"/>
      <c r="S96" s="736"/>
      <c r="T96" s="787">
        <f>'[1]Vehicules usages 2026'!I49</f>
        <v>1643017.3843954331</v>
      </c>
      <c r="U96" s="735"/>
      <c r="V96" s="736"/>
      <c r="W96" s="787">
        <f>'[1]Vehicules usages 2026'!J49</f>
        <v>1874491.9506228818</v>
      </c>
      <c r="X96" s="735"/>
      <c r="Y96" s="736"/>
      <c r="Z96" s="787">
        <f>'[1]Vehicules usages 2026'!K49</f>
        <v>1897814.9194857227</v>
      </c>
      <c r="AA96" s="735"/>
      <c r="AB96" s="736"/>
      <c r="AC96" s="787">
        <f>'[1]Vehicules usages 2026'!L49</f>
        <v>1852382.3201543055</v>
      </c>
      <c r="AD96" s="735"/>
      <c r="AE96" s="736"/>
      <c r="AF96" s="787">
        <f>'[1]Vehicules usages 2026'!M49</f>
        <v>1682729.812317315</v>
      </c>
      <c r="AG96" s="735"/>
      <c r="AH96" s="736"/>
      <c r="AI96" s="787">
        <f>'[1]Vehicules usages 2026'!N49</f>
        <v>1857845.4731739857</v>
      </c>
      <c r="AJ96" s="735"/>
      <c r="AK96" s="736"/>
      <c r="AL96" s="787">
        <f>'[1]Vehicules usages 2026'!O49</f>
        <v>1552789.7324022062</v>
      </c>
      <c r="AM96" s="735"/>
      <c r="AN96" s="736"/>
      <c r="AO96" s="787">
        <f>'[1]Vehicules usages 2026'!P49</f>
        <v>1338023.398568602</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33"/>
        <v>Véhicules usagésCertifié</v>
      </c>
      <c r="B97" s="744" t="s">
        <v>153</v>
      </c>
      <c r="C97" s="739">
        <f>+SUM(F97,I97,L97,O97,R97,U97,X97,AA97,AD97,AG97,AJ97,AM97)</f>
        <v>329</v>
      </c>
      <c r="D97" s="740">
        <f>IF(C97=0,0,E97/C97)</f>
        <v>1500</v>
      </c>
      <c r="E97" s="741">
        <f>+SUM(H97,K97,N97,Q97,T97,W97,Z97,AC97,AF97,AI97,AL97,AO97)</f>
        <v>493500</v>
      </c>
      <c r="F97" s="742">
        <f>'[1]Vehicules usages 2026'!E18</f>
        <v>20</v>
      </c>
      <c r="G97" s="740">
        <f>IF(F97=0,0,H97/F97)</f>
        <v>1500</v>
      </c>
      <c r="H97" s="743">
        <f>'[1]Vehicules usages 2026'!E40</f>
        <v>30000</v>
      </c>
      <c r="I97" s="742">
        <f>'[1]Vehicules usages 2026'!F18</f>
        <v>21</v>
      </c>
      <c r="J97" s="740">
        <f>IF(I97=0,0,K97/I97)</f>
        <v>1500</v>
      </c>
      <c r="K97" s="743">
        <f>'[1]Vehicules usages 2026'!F40</f>
        <v>31500</v>
      </c>
      <c r="L97" s="742">
        <f>'[1]Vehicules usages 2026'!G18</f>
        <v>31</v>
      </c>
      <c r="M97" s="740">
        <f>IF(L97=0,0,N97/L97)</f>
        <v>1500</v>
      </c>
      <c r="N97" s="743">
        <f>'[1]Vehicules usages 2026'!G40</f>
        <v>46500</v>
      </c>
      <c r="O97" s="742">
        <f>'[1]Vehicules usages 2026'!H18</f>
        <v>31</v>
      </c>
      <c r="P97" s="740">
        <f>IF(O97=0,0,Q97/O97)</f>
        <v>1500</v>
      </c>
      <c r="Q97" s="743">
        <f>'[1]Vehicules usages 2026'!H40</f>
        <v>46500</v>
      </c>
      <c r="R97" s="742">
        <f>'[1]Vehicules usages 2026'!I18</f>
        <v>33</v>
      </c>
      <c r="S97" s="740">
        <f>IF(R97=0,0,T97/R97)</f>
        <v>1500</v>
      </c>
      <c r="T97" s="743">
        <f>'[1]Vehicules usages 2026'!I40</f>
        <v>49500</v>
      </c>
      <c r="U97" s="742">
        <f>'[1]Vehicules usages 2026'!J18</f>
        <v>31</v>
      </c>
      <c r="V97" s="740">
        <f>IF(U97=0,0,W97/U97)</f>
        <v>1500</v>
      </c>
      <c r="W97" s="743">
        <f>'[1]Vehicules usages 2026'!J40</f>
        <v>46500</v>
      </c>
      <c r="X97" s="742">
        <f>'[1]Vehicules usages 2026'!K18</f>
        <v>30</v>
      </c>
      <c r="Y97" s="740">
        <f>IF(X97=0,0,Z97/X97)</f>
        <v>1500</v>
      </c>
      <c r="Z97" s="743">
        <f>'[1]Vehicules usages 2026'!K40</f>
        <v>45000</v>
      </c>
      <c r="AA97" s="742">
        <f>'[1]Vehicules usages 2026'!L18</f>
        <v>29</v>
      </c>
      <c r="AB97" s="740">
        <f>IF(AA97=0,0,AC97/AA97)</f>
        <v>1500</v>
      </c>
      <c r="AC97" s="743">
        <f>'[1]Vehicules usages 2026'!L40</f>
        <v>43500</v>
      </c>
      <c r="AD97" s="742">
        <f>'[1]Vehicules usages 2026'!M18</f>
        <v>29</v>
      </c>
      <c r="AE97" s="740">
        <f>IF(AD97=0,0,AF97/AD97)</f>
        <v>1500</v>
      </c>
      <c r="AF97" s="743">
        <f>'[1]Vehicules usages 2026'!M40</f>
        <v>43500</v>
      </c>
      <c r="AG97" s="742">
        <f>'[1]Vehicules usages 2026'!N18</f>
        <v>28</v>
      </c>
      <c r="AH97" s="740">
        <f>IF(AG97=0,0,AI97/AG97)</f>
        <v>1500</v>
      </c>
      <c r="AI97" s="743">
        <f>'[1]Vehicules usages 2026'!N40</f>
        <v>42000</v>
      </c>
      <c r="AJ97" s="742">
        <f>'[1]Vehicules usages 2026'!O18</f>
        <v>25</v>
      </c>
      <c r="AK97" s="740">
        <f>IF(AJ97=0,0,AL97/AJ97)</f>
        <v>1500</v>
      </c>
      <c r="AL97" s="743">
        <f>'[1]Vehicules usages 2026'!O40</f>
        <v>37500</v>
      </c>
      <c r="AM97" s="742">
        <f>'[1]Vehicules usages 2026'!P18</f>
        <v>21</v>
      </c>
      <c r="AN97" s="740">
        <f>IF(AM97=0,0,AO97/AM97)</f>
        <v>1500</v>
      </c>
      <c r="AO97" s="743">
        <f>'[1]Vehicules usages 2026'!P40</f>
        <v>31500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33"/>
        <v>Véhicules usagésNon Certifié</v>
      </c>
      <c r="B98" s="744" t="s">
        <v>154</v>
      </c>
      <c r="C98" s="739">
        <f>+SUM(F98,I98,L98,O98,R98,U98,X98,AA98,AD98,AG98,AJ98,AM98)</f>
        <v>102</v>
      </c>
      <c r="D98" s="740">
        <f>IF(C98=0,0,E98/C98)</f>
        <v>1500</v>
      </c>
      <c r="E98" s="741">
        <f>+SUM(H98,K98,N98,Q98,T98,W98,Z98,AC98,AF98,AI98,AL98,AO98)</f>
        <v>153000</v>
      </c>
      <c r="F98" s="742">
        <f>'[1]Vehicules usages 2026'!E19</f>
        <v>6</v>
      </c>
      <c r="G98" s="740">
        <f>IF(F98=0,0,H98/F98)</f>
        <v>1500</v>
      </c>
      <c r="H98" s="743">
        <f>'[1]Vehicules usages 2026'!E42</f>
        <v>9000</v>
      </c>
      <c r="I98" s="742">
        <f>'[1]Vehicules usages 2026'!F19</f>
        <v>6</v>
      </c>
      <c r="J98" s="740">
        <f>IF(I98=0,0,K98/I98)</f>
        <v>1500</v>
      </c>
      <c r="K98" s="743">
        <f>'[1]Vehicules usages 2026'!F42</f>
        <v>9000</v>
      </c>
      <c r="L98" s="742">
        <f>'[1]Vehicules usages 2026'!G19</f>
        <v>9</v>
      </c>
      <c r="M98" s="740">
        <f>IF(L98=0,0,N98/L98)</f>
        <v>1500</v>
      </c>
      <c r="N98" s="743">
        <f>'[1]Vehicules usages 2026'!G42</f>
        <v>13500</v>
      </c>
      <c r="O98" s="742">
        <f>'[1]Vehicules usages 2026'!H19</f>
        <v>10</v>
      </c>
      <c r="P98" s="740">
        <f>IF(O98=0,0,Q98/O98)</f>
        <v>1500</v>
      </c>
      <c r="Q98" s="743">
        <f>'[1]Vehicules usages 2026'!H42</f>
        <v>15000</v>
      </c>
      <c r="R98" s="742">
        <f>'[1]Vehicules usages 2026'!I19</f>
        <v>10</v>
      </c>
      <c r="S98" s="740">
        <f>IF(R98=0,0,T98/R98)</f>
        <v>1500</v>
      </c>
      <c r="T98" s="743">
        <f>'[1]Vehicules usages 2026'!I42</f>
        <v>15000</v>
      </c>
      <c r="U98" s="742">
        <f>'[1]Vehicules usages 2026'!J19</f>
        <v>10</v>
      </c>
      <c r="V98" s="740">
        <f>IF(U98=0,0,W98/U98)</f>
        <v>1500</v>
      </c>
      <c r="W98" s="743">
        <f>'[1]Vehicules usages 2026'!J42</f>
        <v>15000</v>
      </c>
      <c r="X98" s="742">
        <f>'[1]Vehicules usages 2026'!K19</f>
        <v>9</v>
      </c>
      <c r="Y98" s="740">
        <f>IF(X98=0,0,Z98/X98)</f>
        <v>1500</v>
      </c>
      <c r="Z98" s="743">
        <f>'[1]Vehicules usages 2026'!K42</f>
        <v>13500</v>
      </c>
      <c r="AA98" s="742">
        <f>'[1]Vehicules usages 2026'!L19</f>
        <v>9</v>
      </c>
      <c r="AB98" s="740">
        <f>IF(AA98=0,0,AC98/AA98)</f>
        <v>1500</v>
      </c>
      <c r="AC98" s="743">
        <f>'[1]Vehicules usages 2026'!L42</f>
        <v>13500</v>
      </c>
      <c r="AD98" s="742">
        <f>'[1]Vehicules usages 2026'!M19</f>
        <v>9</v>
      </c>
      <c r="AE98" s="740">
        <f>IF(AD98=0,0,AF98/AD98)</f>
        <v>1500</v>
      </c>
      <c r="AF98" s="743">
        <f>'[1]Vehicules usages 2026'!M42</f>
        <v>13500</v>
      </c>
      <c r="AG98" s="742">
        <f>'[1]Vehicules usages 2026'!N19</f>
        <v>9</v>
      </c>
      <c r="AH98" s="740">
        <f>IF(AG98=0,0,AI98/AG98)</f>
        <v>1500</v>
      </c>
      <c r="AI98" s="743">
        <f>'[1]Vehicules usages 2026'!N42</f>
        <v>13500</v>
      </c>
      <c r="AJ98" s="742">
        <f>'[1]Vehicules usages 2026'!O19</f>
        <v>8</v>
      </c>
      <c r="AK98" s="740">
        <f>IF(AJ98=0,0,AL98/AJ98)</f>
        <v>1500</v>
      </c>
      <c r="AL98" s="743">
        <f>'[1]Vehicules usages 2026'!O42</f>
        <v>12000</v>
      </c>
      <c r="AM98" s="742">
        <f>'[1]Vehicules usages 2026'!P19</f>
        <v>7</v>
      </c>
      <c r="AN98" s="740">
        <f>IF(AM98=0,0,AO98/AM98)</f>
        <v>1500</v>
      </c>
      <c r="AO98" s="743">
        <f>'[1]Vehicules usages 2026'!P42</f>
        <v>10500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33"/>
        <v>Véhicules usagésAutres Marques</v>
      </c>
      <c r="B99" s="744" t="s">
        <v>3858</v>
      </c>
      <c r="C99" s="739">
        <f>+SUM(F99,I99,L99,O99,R99,U99,X99,AA99,AD99,AG99,AJ99,AM99)</f>
        <v>102</v>
      </c>
      <c r="D99" s="740">
        <f>IF(C99=0,0,E99/C99)</f>
        <v>1500</v>
      </c>
      <c r="E99" s="741">
        <f>+SUM(H99,K99,N99,Q99,T99,W99,Z99,AC99,AF99,AI99,AL99,AO99)</f>
        <v>153000</v>
      </c>
      <c r="F99" s="742">
        <f>'[1]Vehicules usages 2026'!E20</f>
        <v>6</v>
      </c>
      <c r="G99" s="740">
        <f>IF(F99=0,0,H99/F99)</f>
        <v>1500</v>
      </c>
      <c r="H99" s="743">
        <f>'[1]Vehicules usages 2026'!E44</f>
        <v>9000</v>
      </c>
      <c r="I99" s="742">
        <f>'[1]Vehicules usages 2026'!F20</f>
        <v>6</v>
      </c>
      <c r="J99" s="740">
        <f>IF(I99=0,0,K99/I99)</f>
        <v>1500</v>
      </c>
      <c r="K99" s="743">
        <f>'[1]Vehicules usages 2026'!F44</f>
        <v>9000</v>
      </c>
      <c r="L99" s="742">
        <f>'[1]Vehicules usages 2026'!G20</f>
        <v>9</v>
      </c>
      <c r="M99" s="740">
        <f>IF(L99=0,0,N99/L99)</f>
        <v>1500</v>
      </c>
      <c r="N99" s="743">
        <f>'[1]Vehicules usages 2026'!G44</f>
        <v>13500</v>
      </c>
      <c r="O99" s="742">
        <f>'[1]Vehicules usages 2026'!H20</f>
        <v>10</v>
      </c>
      <c r="P99" s="740">
        <f>IF(O99=0,0,Q99/O99)</f>
        <v>1500</v>
      </c>
      <c r="Q99" s="743">
        <f>'[1]Vehicules usages 2026'!H44</f>
        <v>15000</v>
      </c>
      <c r="R99" s="742">
        <f>'[1]Vehicules usages 2026'!I20</f>
        <v>10</v>
      </c>
      <c r="S99" s="740">
        <f>IF(R99=0,0,T99/R99)</f>
        <v>1500</v>
      </c>
      <c r="T99" s="743">
        <f>'[1]Vehicules usages 2026'!I44</f>
        <v>15000</v>
      </c>
      <c r="U99" s="742">
        <f>'[1]Vehicules usages 2026'!J20</f>
        <v>10</v>
      </c>
      <c r="V99" s="740">
        <f>IF(U99=0,0,W99/U99)</f>
        <v>1500</v>
      </c>
      <c r="W99" s="743">
        <f>'[1]Vehicules usages 2026'!J44</f>
        <v>15000</v>
      </c>
      <c r="X99" s="742">
        <f>'[1]Vehicules usages 2026'!K20</f>
        <v>9</v>
      </c>
      <c r="Y99" s="740">
        <f>IF(X99=0,0,Z99/X99)</f>
        <v>1500</v>
      </c>
      <c r="Z99" s="743">
        <f>'[1]Vehicules usages 2026'!K44</f>
        <v>13500</v>
      </c>
      <c r="AA99" s="742">
        <f>'[1]Vehicules usages 2026'!L20</f>
        <v>9</v>
      </c>
      <c r="AB99" s="740">
        <f>IF(AA99=0,0,AC99/AA99)</f>
        <v>1500</v>
      </c>
      <c r="AC99" s="743">
        <f>'[1]Vehicules usages 2026'!L44</f>
        <v>13500</v>
      </c>
      <c r="AD99" s="742">
        <f>'[1]Vehicules usages 2026'!M20</f>
        <v>9</v>
      </c>
      <c r="AE99" s="740">
        <f>IF(AD99=0,0,AF99/AD99)</f>
        <v>1500</v>
      </c>
      <c r="AF99" s="743">
        <f>'[1]Vehicules usages 2026'!M44</f>
        <v>13500</v>
      </c>
      <c r="AG99" s="742">
        <f>'[1]Vehicules usages 2026'!N20</f>
        <v>9</v>
      </c>
      <c r="AH99" s="740">
        <f>IF(AG99=0,0,AI99/AG99)</f>
        <v>1500</v>
      </c>
      <c r="AI99" s="743">
        <f>'[1]Vehicules usages 2026'!N44</f>
        <v>13500</v>
      </c>
      <c r="AJ99" s="742">
        <f>'[1]Vehicules usages 2026'!O20</f>
        <v>8</v>
      </c>
      <c r="AK99" s="740">
        <f>IF(AJ99=0,0,AL99/AJ99)</f>
        <v>1500</v>
      </c>
      <c r="AL99" s="743">
        <f>'[1]Vehicules usages 2026'!O44</f>
        <v>12000</v>
      </c>
      <c r="AM99" s="742">
        <f>'[1]Vehicules usages 2026'!P20</f>
        <v>7</v>
      </c>
      <c r="AN99" s="740">
        <f>IF(AM99=0,0,AO99/AM99)</f>
        <v>1500</v>
      </c>
      <c r="AO99" s="743">
        <f>'[1]Vehicules usages 2026'!P44</f>
        <v>10500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33"/>
        <v>Véhicules usagésTotal Usagés</v>
      </c>
      <c r="B100" s="1143" t="s">
        <v>155</v>
      </c>
      <c r="C100" s="1144">
        <f>+C97+C98+C99</f>
        <v>533</v>
      </c>
      <c r="D100" s="1145">
        <f>IF(C100&lt;=0,0,E100/C100)</f>
        <v>1500</v>
      </c>
      <c r="E100" s="1146">
        <f>+E97+E98+E99</f>
        <v>799500</v>
      </c>
      <c r="F100" s="1144">
        <f>+F97+F98+F99</f>
        <v>32</v>
      </c>
      <c r="G100" s="1145">
        <f>IF(F100&lt;=0,0,H100/F100)</f>
        <v>1500</v>
      </c>
      <c r="H100" s="1146">
        <f>+H97+H98+H99</f>
        <v>48000</v>
      </c>
      <c r="I100" s="1144">
        <f>+I97+I98+I99</f>
        <v>33</v>
      </c>
      <c r="J100" s="1145">
        <f>IF(I100&lt;=0,0,K100/I100)</f>
        <v>1500</v>
      </c>
      <c r="K100" s="1146">
        <f>+K97+K98+K99</f>
        <v>49500</v>
      </c>
      <c r="L100" s="1144">
        <f>+L97+L98+L99</f>
        <v>49</v>
      </c>
      <c r="M100" s="1145">
        <f>IF(L100&lt;=0,0,N100/L100)</f>
        <v>1500</v>
      </c>
      <c r="N100" s="1146">
        <f>+N97+N98+N99</f>
        <v>73500</v>
      </c>
      <c r="O100" s="1144">
        <f>+O97+O98+O99</f>
        <v>51</v>
      </c>
      <c r="P100" s="1145">
        <f>IF(O100&lt;=0,0,Q100/O100)</f>
        <v>1500</v>
      </c>
      <c r="Q100" s="1146">
        <f>+Q97+Q98+Q99</f>
        <v>76500</v>
      </c>
      <c r="R100" s="1144">
        <f>+R97+R98+R99</f>
        <v>53</v>
      </c>
      <c r="S100" s="1145">
        <f>IF(R100&lt;=0,0,T100/R100)</f>
        <v>1500</v>
      </c>
      <c r="T100" s="1146">
        <f>+T97+T98+T99</f>
        <v>79500</v>
      </c>
      <c r="U100" s="1144">
        <f>+U97+U98+U99</f>
        <v>51</v>
      </c>
      <c r="V100" s="1145">
        <f>IF(U100&lt;=0,0,W100/U100)</f>
        <v>1500</v>
      </c>
      <c r="W100" s="1146">
        <f>+W97+W98+W99</f>
        <v>76500</v>
      </c>
      <c r="X100" s="1144">
        <f>+X97+X98+X99</f>
        <v>48</v>
      </c>
      <c r="Y100" s="1145">
        <f>IF(X100&lt;=0,0,Z100/X100)</f>
        <v>1500</v>
      </c>
      <c r="Z100" s="1146">
        <f>+Z97+Z98+Z99</f>
        <v>72000</v>
      </c>
      <c r="AA100" s="1144">
        <f>+AA97+AA98+AA99</f>
        <v>47</v>
      </c>
      <c r="AB100" s="1145">
        <f>IF(AA100&lt;=0,0,AC100/AA100)</f>
        <v>1500</v>
      </c>
      <c r="AC100" s="1146">
        <f>+AC97+AC98+AC99</f>
        <v>70500</v>
      </c>
      <c r="AD100" s="1144">
        <f>+AD97+AD98+AD99</f>
        <v>47</v>
      </c>
      <c r="AE100" s="1145">
        <f>IF(AD100&lt;=0,0,AF100/AD100)</f>
        <v>1500</v>
      </c>
      <c r="AF100" s="1146">
        <f>+AF97+AF98+AF99</f>
        <v>70500</v>
      </c>
      <c r="AG100" s="1144">
        <f>+AG97+AG98+AG99</f>
        <v>46</v>
      </c>
      <c r="AH100" s="1145">
        <f>IF(AG100&lt;=0,0,AI100/AG100)</f>
        <v>1500</v>
      </c>
      <c r="AI100" s="1146">
        <f>+AI97+AI98+AI99</f>
        <v>69000</v>
      </c>
      <c r="AJ100" s="1144">
        <f>+AJ97+AJ98+AJ99</f>
        <v>41</v>
      </c>
      <c r="AK100" s="1145">
        <f>IF(AJ100&lt;=0,0,AL100/AJ100)</f>
        <v>1500</v>
      </c>
      <c r="AL100" s="1146">
        <f>+AL97+AL98+AL99</f>
        <v>61500</v>
      </c>
      <c r="AM100" s="1144">
        <f>+AM97+AM98+AM99</f>
        <v>35</v>
      </c>
      <c r="AN100" s="1145">
        <f>IF(AM100&lt;=0,0,AO100/AM100)</f>
        <v>1500</v>
      </c>
      <c r="AO100" s="1146">
        <f>+AO97+AO98+AO99</f>
        <v>52500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33"/>
        <v>Véhicules usagés</v>
      </c>
      <c r="B101" s="744"/>
      <c r="C101" s="744"/>
      <c r="D101" s="751"/>
      <c r="E101" s="745"/>
      <c r="F101" s="744"/>
      <c r="G101" s="751"/>
      <c r="H101" s="745"/>
      <c r="I101" s="744"/>
      <c r="J101" s="751"/>
      <c r="K101" s="745"/>
      <c r="L101" s="744"/>
      <c r="M101" s="751"/>
      <c r="N101" s="745"/>
      <c r="O101" s="744"/>
      <c r="P101" s="751"/>
      <c r="Q101" s="745"/>
      <c r="R101" s="744"/>
      <c r="S101" s="751"/>
      <c r="T101" s="745"/>
      <c r="U101" s="744"/>
      <c r="V101" s="751"/>
      <c r="W101" s="745"/>
      <c r="X101" s="744"/>
      <c r="Y101" s="751"/>
      <c r="Z101" s="745"/>
      <c r="AA101" s="744"/>
      <c r="AB101" s="751"/>
      <c r="AC101" s="745"/>
      <c r="AD101" s="744"/>
      <c r="AE101" s="751"/>
      <c r="AF101" s="745"/>
      <c r="AG101" s="744"/>
      <c r="AH101" s="751"/>
      <c r="AI101" s="745"/>
      <c r="AJ101" s="744"/>
      <c r="AK101" s="751"/>
      <c r="AL101" s="745"/>
      <c r="AM101" s="744"/>
      <c r="AN101" s="751"/>
      <c r="AO101" s="745"/>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33"/>
        <v>Véhicules usagés</v>
      </c>
      <c r="B102" s="744"/>
      <c r="C102" s="744"/>
      <c r="D102" s="751"/>
      <c r="E102" s="745"/>
      <c r="F102" s="744"/>
      <c r="G102" s="751"/>
      <c r="H102" s="745"/>
      <c r="I102" s="744"/>
      <c r="J102" s="751"/>
      <c r="K102" s="745"/>
      <c r="L102" s="744"/>
      <c r="M102" s="751"/>
      <c r="N102" s="745"/>
      <c r="O102" s="744"/>
      <c r="P102" s="751"/>
      <c r="Q102" s="745"/>
      <c r="R102" s="744"/>
      <c r="S102" s="751"/>
      <c r="T102" s="745"/>
      <c r="U102" s="744"/>
      <c r="V102" s="751"/>
      <c r="W102" s="745"/>
      <c r="X102" s="744"/>
      <c r="Y102" s="751"/>
      <c r="Z102" s="745"/>
      <c r="AA102" s="744"/>
      <c r="AB102" s="751"/>
      <c r="AC102" s="745"/>
      <c r="AD102" s="744"/>
      <c r="AE102" s="751"/>
      <c r="AF102" s="745"/>
      <c r="AG102" s="744"/>
      <c r="AH102" s="751"/>
      <c r="AI102" s="745"/>
      <c r="AJ102" s="744"/>
      <c r="AK102" s="751"/>
      <c r="AL102" s="745"/>
      <c r="AM102" s="744"/>
      <c r="AN102" s="751"/>
      <c r="AO102" s="745"/>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33"/>
        <v>Véhicules usagésVentes au Gros</v>
      </c>
      <c r="B103" s="744" t="s">
        <v>156</v>
      </c>
      <c r="C103" s="739">
        <f>+SUM(F103,I103,L103,O103,R103,U103,X103,AA103,AD103,AG103,AJ103,AM103)</f>
        <v>340</v>
      </c>
      <c r="D103" s="740">
        <f>IF(C103=0,0,E103/C103)</f>
        <v>500</v>
      </c>
      <c r="E103" s="741">
        <f>+SUM(H103,K103,N103,Q103,T103,W103,Z103,AC103,AF103,AI103,AL103,AO103)</f>
        <v>170000</v>
      </c>
      <c r="F103" s="742">
        <f>'[1]Vehicules usages 2026'!E21</f>
        <v>16</v>
      </c>
      <c r="G103" s="740">
        <f>IF(F103=0,0,H103/F103)</f>
        <v>500</v>
      </c>
      <c r="H103" s="743">
        <f>'[1]Vehicules usages 2026'!E46</f>
        <v>8000</v>
      </c>
      <c r="I103" s="742">
        <f>'[1]Vehicules usages 2026'!F21</f>
        <v>9</v>
      </c>
      <c r="J103" s="740">
        <f>IF(I103=0,0,K103/I103)</f>
        <v>500</v>
      </c>
      <c r="K103" s="743">
        <f>'[1]Vehicules usages 2026'!F46</f>
        <v>4500</v>
      </c>
      <c r="L103" s="742">
        <f>'[1]Vehicules usages 2026'!G21</f>
        <v>9</v>
      </c>
      <c r="M103" s="740">
        <f>IF(L103=0,0,N103/L103)</f>
        <v>500</v>
      </c>
      <c r="N103" s="743">
        <f>'[1]Vehicules usages 2026'!G46</f>
        <v>4500</v>
      </c>
      <c r="O103" s="742">
        <f>'[1]Vehicules usages 2026'!H21</f>
        <v>16</v>
      </c>
      <c r="P103" s="740">
        <f>IF(O103=0,0,Q103/O103)</f>
        <v>500</v>
      </c>
      <c r="Q103" s="743">
        <f>'[1]Vehicules usages 2026'!H46</f>
        <v>8000</v>
      </c>
      <c r="R103" s="742">
        <f>'[1]Vehicules usages 2026'!I21</f>
        <v>22</v>
      </c>
      <c r="S103" s="740">
        <f>IF(R103=0,0,T103/R103)</f>
        <v>500</v>
      </c>
      <c r="T103" s="743">
        <f>'[1]Vehicules usages 2026'!I46</f>
        <v>11000</v>
      </c>
      <c r="U103" s="742">
        <f>'[1]Vehicules usages 2026'!J21</f>
        <v>39</v>
      </c>
      <c r="V103" s="740">
        <f>IF(U103=0,0,W103/U103)</f>
        <v>500</v>
      </c>
      <c r="W103" s="743">
        <f>'[1]Vehicules usages 2026'!J46</f>
        <v>19500</v>
      </c>
      <c r="X103" s="742">
        <f>'[1]Vehicules usages 2026'!K21</f>
        <v>44</v>
      </c>
      <c r="Y103" s="740">
        <f>IF(X103=0,0,Z103/X103)</f>
        <v>500</v>
      </c>
      <c r="Z103" s="743">
        <f>'[1]Vehicules usages 2026'!K46</f>
        <v>22000</v>
      </c>
      <c r="AA103" s="742">
        <f>'[1]Vehicules usages 2026'!L21</f>
        <v>43</v>
      </c>
      <c r="AB103" s="740">
        <f>IF(AA103=0,0,AC103/AA103)</f>
        <v>500</v>
      </c>
      <c r="AC103" s="743">
        <f>'[1]Vehicules usages 2026'!L46</f>
        <v>21500</v>
      </c>
      <c r="AD103" s="742">
        <f>'[1]Vehicules usages 2026'!M21</f>
        <v>33</v>
      </c>
      <c r="AE103" s="740">
        <f>IF(AD103=0,0,AF103/AD103)</f>
        <v>500</v>
      </c>
      <c r="AF103" s="743">
        <f>'[1]Vehicules usages 2026'!M46</f>
        <v>16500</v>
      </c>
      <c r="AG103" s="742">
        <f>'[1]Vehicules usages 2026'!N21</f>
        <v>45</v>
      </c>
      <c r="AH103" s="740">
        <f>IF(AG103=0,0,AI103/AG103)</f>
        <v>500</v>
      </c>
      <c r="AI103" s="743">
        <f>'[1]Vehicules usages 2026'!N46</f>
        <v>22500</v>
      </c>
      <c r="AJ103" s="742">
        <f>'[1]Vehicules usages 2026'!O21</f>
        <v>34</v>
      </c>
      <c r="AK103" s="740">
        <f>IF(AJ103=0,0,AL103/AJ103)</f>
        <v>500</v>
      </c>
      <c r="AL103" s="743">
        <f>'[1]Vehicules usages 2026'!O46</f>
        <v>17000</v>
      </c>
      <c r="AM103" s="742">
        <f>'[1]Vehicules usages 2026'!P21</f>
        <v>30</v>
      </c>
      <c r="AN103" s="740">
        <f>IF(AM103=0,0,AO103/AM103)</f>
        <v>500</v>
      </c>
      <c r="AO103" s="743">
        <f>'[1]Vehicules usages 2026'!P46</f>
        <v>15000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33"/>
        <v>Véhicules usagés</v>
      </c>
      <c r="B104" s="770"/>
      <c r="C104" s="788"/>
      <c r="D104" s="789"/>
      <c r="E104" s="790"/>
      <c r="F104" s="788"/>
      <c r="G104" s="789"/>
      <c r="H104" s="790"/>
      <c r="I104" s="788"/>
      <c r="J104" s="789"/>
      <c r="K104" s="790"/>
      <c r="L104" s="788"/>
      <c r="M104" s="789"/>
      <c r="N104" s="790"/>
      <c r="O104" s="788"/>
      <c r="P104" s="789"/>
      <c r="Q104" s="790"/>
      <c r="R104" s="788"/>
      <c r="S104" s="789"/>
      <c r="T104" s="790"/>
      <c r="U104" s="788"/>
      <c r="V104" s="789"/>
      <c r="W104" s="790"/>
      <c r="X104" s="788"/>
      <c r="Y104" s="789"/>
      <c r="Z104" s="790"/>
      <c r="AA104" s="788"/>
      <c r="AB104" s="789"/>
      <c r="AC104" s="790"/>
      <c r="AD104" s="788"/>
      <c r="AE104" s="789"/>
      <c r="AF104" s="790"/>
      <c r="AG104" s="788"/>
      <c r="AH104" s="789"/>
      <c r="AI104" s="790"/>
      <c r="AJ104" s="788"/>
      <c r="AK104" s="789"/>
      <c r="AL104" s="790"/>
      <c r="AM104" s="788"/>
      <c r="AN104" s="789"/>
      <c r="AO104" s="790"/>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33"/>
        <v>Véhicules usagésRev. Finances</v>
      </c>
      <c r="B105" s="744" t="s">
        <v>105</v>
      </c>
      <c r="C105" s="739"/>
      <c r="D105" s="740">
        <f>IF(C100=0,0,E105/C100)</f>
        <v>350</v>
      </c>
      <c r="E105" s="741">
        <f>+SUM(H105,K105,N105,Q105,T105,W105,Z105,AC105,AF105,AI105,AL105,AO105)</f>
        <v>186550</v>
      </c>
      <c r="F105" s="742"/>
      <c r="G105" s="740">
        <f>IF(F100=0,0,H105/F100)</f>
        <v>350</v>
      </c>
      <c r="H105" s="743">
        <f>'[1]Vehicules usages 2026'!E68</f>
        <v>11200</v>
      </c>
      <c r="I105" s="742"/>
      <c r="J105" s="740">
        <f>IF(I100=0,0,K105/I100)</f>
        <v>350</v>
      </c>
      <c r="K105" s="743">
        <f>'[1]Vehicules usages 2026'!F68</f>
        <v>11550</v>
      </c>
      <c r="L105" s="742"/>
      <c r="M105" s="740">
        <f>IF(L100=0,0,N105/L100)</f>
        <v>350</v>
      </c>
      <c r="N105" s="743">
        <f>'[1]Vehicules usages 2026'!G68</f>
        <v>17150</v>
      </c>
      <c r="O105" s="742"/>
      <c r="P105" s="740">
        <f>IF(O100=0,0,Q105/O100)</f>
        <v>350</v>
      </c>
      <c r="Q105" s="743">
        <f>'[1]Vehicules usages 2026'!H68</f>
        <v>17850</v>
      </c>
      <c r="R105" s="742"/>
      <c r="S105" s="740">
        <f>IF(R100=0,0,T105/R100)</f>
        <v>350</v>
      </c>
      <c r="T105" s="743">
        <f>'[1]Vehicules usages 2026'!I68</f>
        <v>18550</v>
      </c>
      <c r="U105" s="742"/>
      <c r="V105" s="740">
        <f>IF(U100=0,0,W105/U100)</f>
        <v>350</v>
      </c>
      <c r="W105" s="743">
        <f>'[1]Vehicules usages 2026'!J68</f>
        <v>17850</v>
      </c>
      <c r="X105" s="742"/>
      <c r="Y105" s="740">
        <f>IF(X100=0,0,Z105/X100)</f>
        <v>350</v>
      </c>
      <c r="Z105" s="743">
        <f>'[1]Vehicules usages 2026'!K68</f>
        <v>16800</v>
      </c>
      <c r="AA105" s="742"/>
      <c r="AB105" s="740">
        <f>IF(AA100=0,0,AC105/AA100)</f>
        <v>350</v>
      </c>
      <c r="AC105" s="743">
        <f>'[1]Vehicules usages 2026'!L68</f>
        <v>16450</v>
      </c>
      <c r="AD105" s="742"/>
      <c r="AE105" s="740">
        <f>IF(AD100=0,0,AF105/AD100)</f>
        <v>350</v>
      </c>
      <c r="AF105" s="743">
        <f>'[1]Vehicules usages 2026'!M68</f>
        <v>16450</v>
      </c>
      <c r="AG105" s="742"/>
      <c r="AH105" s="740">
        <f>IF(AG100=0,0,AI105/AG100)</f>
        <v>350</v>
      </c>
      <c r="AI105" s="743">
        <f>'[1]Vehicules usages 2026'!N68</f>
        <v>16100</v>
      </c>
      <c r="AJ105" s="742"/>
      <c r="AK105" s="740">
        <f>IF(AJ100=0,0,AL105/AJ100)</f>
        <v>350</v>
      </c>
      <c r="AL105" s="743">
        <f>'[1]Vehicules usages 2026'!O68</f>
        <v>14350</v>
      </c>
      <c r="AM105" s="742"/>
      <c r="AN105" s="740">
        <f>IF(AM100=0,0,AO105/AM100)</f>
        <v>350</v>
      </c>
      <c r="AO105" s="743">
        <f>'[1]Vehicules usages 2026'!P68</f>
        <v>12250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33"/>
        <v>Véhicules usagésRev. Protections</v>
      </c>
      <c r="B106" s="744" t="s">
        <v>106</v>
      </c>
      <c r="C106" s="739"/>
      <c r="D106" s="740">
        <f>IF(C100=0,0,E106/C100)</f>
        <v>1600</v>
      </c>
      <c r="E106" s="741">
        <f>+SUM(H106,K106,N106,Q106,T106,W106,Z106,AC106,AF106,AI106,AL106,AO106)</f>
        <v>852800</v>
      </c>
      <c r="F106" s="742"/>
      <c r="G106" s="740">
        <f>IF(F100=0,0,H106/F100)</f>
        <v>1600</v>
      </c>
      <c r="H106" s="743">
        <f>'[1]Vehicules usages 2026'!E69</f>
        <v>51200</v>
      </c>
      <c r="I106" s="742"/>
      <c r="J106" s="740">
        <f>IF(I100=0,0,K106/I100)</f>
        <v>1600</v>
      </c>
      <c r="K106" s="743">
        <f>'[1]Vehicules usages 2026'!F69</f>
        <v>52800</v>
      </c>
      <c r="L106" s="742"/>
      <c r="M106" s="740">
        <f>IF(L100=0,0,N106/L100)</f>
        <v>1600</v>
      </c>
      <c r="N106" s="743">
        <f>'[1]Vehicules usages 2026'!G69</f>
        <v>78400</v>
      </c>
      <c r="O106" s="742"/>
      <c r="P106" s="740">
        <f>IF(O100=0,0,Q106/O100)</f>
        <v>1600</v>
      </c>
      <c r="Q106" s="743">
        <f>'[1]Vehicules usages 2026'!H69</f>
        <v>81600</v>
      </c>
      <c r="R106" s="742"/>
      <c r="S106" s="740">
        <f>IF(R100=0,0,T106/R100)</f>
        <v>1600</v>
      </c>
      <c r="T106" s="743">
        <f>'[1]Vehicules usages 2026'!I69</f>
        <v>84800</v>
      </c>
      <c r="U106" s="742"/>
      <c r="V106" s="740">
        <f>IF(U100=0,0,W106/U100)</f>
        <v>1600</v>
      </c>
      <c r="W106" s="743">
        <f>'[1]Vehicules usages 2026'!J69</f>
        <v>81600</v>
      </c>
      <c r="X106" s="742"/>
      <c r="Y106" s="740">
        <f>IF(X100=0,0,Z106/X100)</f>
        <v>1600</v>
      </c>
      <c r="Z106" s="743">
        <f>'[1]Vehicules usages 2026'!K69</f>
        <v>76800</v>
      </c>
      <c r="AA106" s="742"/>
      <c r="AB106" s="740">
        <f>IF(AA100=0,0,AC106/AA100)</f>
        <v>1600</v>
      </c>
      <c r="AC106" s="743">
        <f>'[1]Vehicules usages 2026'!L69</f>
        <v>75200</v>
      </c>
      <c r="AD106" s="742"/>
      <c r="AE106" s="740">
        <f>IF(AD100=0,0,AF106/AD100)</f>
        <v>1600</v>
      </c>
      <c r="AF106" s="743">
        <f>'[1]Vehicules usages 2026'!M69</f>
        <v>75200</v>
      </c>
      <c r="AG106" s="742"/>
      <c r="AH106" s="740">
        <f>IF(AG100=0,0,AI106/AG100)</f>
        <v>1600</v>
      </c>
      <c r="AI106" s="743">
        <f>'[1]Vehicules usages 2026'!N69</f>
        <v>73600</v>
      </c>
      <c r="AJ106" s="742"/>
      <c r="AK106" s="740">
        <f>IF(AJ100=0,0,AL106/AJ100)</f>
        <v>1600</v>
      </c>
      <c r="AL106" s="743">
        <f>'[1]Vehicules usages 2026'!O69</f>
        <v>65600</v>
      </c>
      <c r="AM106" s="742"/>
      <c r="AN106" s="740">
        <f>IF(AM100=0,0,AO106/AM100)</f>
        <v>1600</v>
      </c>
      <c r="AO106" s="743">
        <f>'[1]Vehicules usages 2026'!P69</f>
        <v>56000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33"/>
        <v>Véhicules usagésRev. Autres</v>
      </c>
      <c r="B107" s="744" t="s">
        <v>107</v>
      </c>
      <c r="C107" s="739"/>
      <c r="D107" s="789">
        <f>IF(C100=0,0,E107/C100)</f>
        <v>50</v>
      </c>
      <c r="E107" s="741">
        <f>+SUM(H107,K107,N107,Q107,T107,W107,Z107,AC107,AF107,AI107,AL107,AO107)</f>
        <v>26650</v>
      </c>
      <c r="F107" s="742"/>
      <c r="G107" s="789">
        <f>IF(F100=0,0,H107/F100)</f>
        <v>50</v>
      </c>
      <c r="H107" s="743">
        <f>'[1]Vehicules usages 2026'!E70</f>
        <v>1600</v>
      </c>
      <c r="I107" s="742"/>
      <c r="J107" s="789">
        <f>IF(I100=0,0,K107/I100)</f>
        <v>50</v>
      </c>
      <c r="K107" s="743">
        <f>'[1]Vehicules usages 2026'!F70</f>
        <v>1650</v>
      </c>
      <c r="L107" s="742"/>
      <c r="M107" s="789">
        <f>IF(L100=0,0,N107/L100)</f>
        <v>50</v>
      </c>
      <c r="N107" s="743">
        <f>'[1]Vehicules usages 2026'!G70</f>
        <v>2450</v>
      </c>
      <c r="O107" s="742"/>
      <c r="P107" s="789">
        <f>IF(O100=0,0,Q107/O100)</f>
        <v>50</v>
      </c>
      <c r="Q107" s="743">
        <f>'[1]Vehicules usages 2026'!H70</f>
        <v>2550</v>
      </c>
      <c r="R107" s="742"/>
      <c r="S107" s="789">
        <f>IF(R100=0,0,T107/R100)</f>
        <v>50</v>
      </c>
      <c r="T107" s="743">
        <f>'[1]Vehicules usages 2026'!I70</f>
        <v>2650</v>
      </c>
      <c r="U107" s="742"/>
      <c r="V107" s="789">
        <f>IF(U100=0,0,W107/U100)</f>
        <v>50</v>
      </c>
      <c r="W107" s="743">
        <f>'[1]Vehicules usages 2026'!J70</f>
        <v>2550</v>
      </c>
      <c r="X107" s="742"/>
      <c r="Y107" s="789">
        <f>IF(X100=0,0,Z107/X100)</f>
        <v>50</v>
      </c>
      <c r="Z107" s="743">
        <f>'[1]Vehicules usages 2026'!K70</f>
        <v>2400</v>
      </c>
      <c r="AA107" s="742"/>
      <c r="AB107" s="789">
        <f>IF(AA100=0,0,AC107/AA100)</f>
        <v>50</v>
      </c>
      <c r="AC107" s="743">
        <f>'[1]Vehicules usages 2026'!L70</f>
        <v>2350</v>
      </c>
      <c r="AD107" s="742"/>
      <c r="AE107" s="789">
        <f>IF(AD100=0,0,AF107/AD100)</f>
        <v>50</v>
      </c>
      <c r="AF107" s="743">
        <f>'[1]Vehicules usages 2026'!M70</f>
        <v>2350</v>
      </c>
      <c r="AG107" s="742"/>
      <c r="AH107" s="789">
        <f>IF(AG100=0,0,AI107/AG100)</f>
        <v>50</v>
      </c>
      <c r="AI107" s="743">
        <f>'[1]Vehicules usages 2026'!N70</f>
        <v>2300</v>
      </c>
      <c r="AJ107" s="742"/>
      <c r="AK107" s="789">
        <f>IF(AJ100=0,0,AL107/AJ100)</f>
        <v>50</v>
      </c>
      <c r="AL107" s="743">
        <f>'[1]Vehicules usages 2026'!O70</f>
        <v>2050</v>
      </c>
      <c r="AM107" s="742"/>
      <c r="AN107" s="789">
        <f>IF(AM100=0,0,AO107/AM100)</f>
        <v>50</v>
      </c>
      <c r="AO107" s="743">
        <f>'[1]Vehicules usages 2026'!P70</f>
        <v>1750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33"/>
        <v>Véhicules usagésTotal F&amp;I</v>
      </c>
      <c r="B108" s="1143" t="s">
        <v>108</v>
      </c>
      <c r="C108" s="1144">
        <f>C100</f>
        <v>533</v>
      </c>
      <c r="D108" s="1145">
        <f>IF(C108&lt;=0,0,E108/C108)</f>
        <v>2000</v>
      </c>
      <c r="E108" s="1146">
        <f>E105+E106+E107</f>
        <v>1066000</v>
      </c>
      <c r="F108" s="1144">
        <f>F100</f>
        <v>32</v>
      </c>
      <c r="G108" s="1145">
        <f>IF(F108&lt;=0,0,H108/F108)</f>
        <v>2000</v>
      </c>
      <c r="H108" s="1146">
        <f>H105+H106+H107</f>
        <v>64000</v>
      </c>
      <c r="I108" s="1144">
        <f>I100</f>
        <v>33</v>
      </c>
      <c r="J108" s="1145">
        <f>IF(I108&lt;=0,0,K108/I108)</f>
        <v>2000</v>
      </c>
      <c r="K108" s="1146">
        <f>K105+K106+K107</f>
        <v>66000</v>
      </c>
      <c r="L108" s="1144">
        <f>L100</f>
        <v>49</v>
      </c>
      <c r="M108" s="1145">
        <f>IF(L108&lt;=0,0,N108/L108)</f>
        <v>2000</v>
      </c>
      <c r="N108" s="1146">
        <f>N105+N106+N107</f>
        <v>98000</v>
      </c>
      <c r="O108" s="1144">
        <f>O100</f>
        <v>51</v>
      </c>
      <c r="P108" s="1145">
        <f>IF(O108&lt;=0,0,Q108/O108)</f>
        <v>2000</v>
      </c>
      <c r="Q108" s="1146">
        <f>Q105+Q106+Q107</f>
        <v>102000</v>
      </c>
      <c r="R108" s="1144">
        <f>R100</f>
        <v>53</v>
      </c>
      <c r="S108" s="1145">
        <f>IF(R108&lt;=0,0,T108/R108)</f>
        <v>2000</v>
      </c>
      <c r="T108" s="1146">
        <f>T105+T106+T107</f>
        <v>106000</v>
      </c>
      <c r="U108" s="1144">
        <f>U100</f>
        <v>51</v>
      </c>
      <c r="V108" s="1145">
        <f>IF(U108&lt;=0,0,W108/U108)</f>
        <v>2000</v>
      </c>
      <c r="W108" s="1146">
        <f>W105+W106+W107</f>
        <v>102000</v>
      </c>
      <c r="X108" s="1144">
        <f>X100</f>
        <v>48</v>
      </c>
      <c r="Y108" s="1145">
        <f>IF(X108&lt;=0,0,Z108/X108)</f>
        <v>2000</v>
      </c>
      <c r="Z108" s="1146">
        <f>Z105+Z106+Z107</f>
        <v>96000</v>
      </c>
      <c r="AA108" s="1144">
        <f>AA100</f>
        <v>47</v>
      </c>
      <c r="AB108" s="1145">
        <f>IF(AA108&lt;=0,0,AC108/AA108)</f>
        <v>2000</v>
      </c>
      <c r="AC108" s="1146">
        <f>AC105+AC106+AC107</f>
        <v>94000</v>
      </c>
      <c r="AD108" s="1144">
        <f>AD100</f>
        <v>47</v>
      </c>
      <c r="AE108" s="1145">
        <f>IF(AD108&lt;=0,0,AF108/AD108)</f>
        <v>2000</v>
      </c>
      <c r="AF108" s="1146">
        <f>AF105+AF106+AF107</f>
        <v>94000</v>
      </c>
      <c r="AG108" s="1144">
        <f>AG100</f>
        <v>46</v>
      </c>
      <c r="AH108" s="1145">
        <f>IF(AG108&lt;=0,0,AI108/AG108)</f>
        <v>2000</v>
      </c>
      <c r="AI108" s="1146">
        <f>AI105+AI106+AI107</f>
        <v>92000</v>
      </c>
      <c r="AJ108" s="1144">
        <f>AJ100</f>
        <v>41</v>
      </c>
      <c r="AK108" s="1145">
        <f>IF(AJ108&lt;=0,0,AL108/AJ108)</f>
        <v>2000</v>
      </c>
      <c r="AL108" s="1146">
        <f>AL105+AL106+AL107</f>
        <v>82000</v>
      </c>
      <c r="AM108" s="1144">
        <f>AM100</f>
        <v>35</v>
      </c>
      <c r="AN108" s="1145">
        <f>IF(AM108&lt;=0,0,AO108/AM108)</f>
        <v>2000</v>
      </c>
      <c r="AO108" s="1146">
        <f>AO105+AO106+AO107</f>
        <v>70000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33"/>
        <v>Véhicules usagés</v>
      </c>
      <c r="B109" s="744"/>
      <c r="C109" s="744"/>
      <c r="D109" s="751"/>
      <c r="E109" s="752"/>
      <c r="F109" s="744"/>
      <c r="G109" s="751"/>
      <c r="H109" s="752"/>
      <c r="I109" s="744"/>
      <c r="J109" s="751"/>
      <c r="K109" s="752"/>
      <c r="L109" s="744"/>
      <c r="M109" s="751"/>
      <c r="N109" s="752"/>
      <c r="O109" s="744"/>
      <c r="P109" s="751"/>
      <c r="Q109" s="752"/>
      <c r="R109" s="744"/>
      <c r="S109" s="751"/>
      <c r="T109" s="752"/>
      <c r="U109" s="744"/>
      <c r="V109" s="751"/>
      <c r="W109" s="752"/>
      <c r="X109" s="744"/>
      <c r="Y109" s="751"/>
      <c r="Z109" s="752"/>
      <c r="AA109" s="744"/>
      <c r="AB109" s="751"/>
      <c r="AC109" s="752"/>
      <c r="AD109" s="744"/>
      <c r="AE109" s="751"/>
      <c r="AF109" s="752"/>
      <c r="AG109" s="744"/>
      <c r="AH109" s="751"/>
      <c r="AI109" s="752"/>
      <c r="AJ109" s="744"/>
      <c r="AK109" s="751"/>
      <c r="AL109" s="752"/>
      <c r="AM109" s="744"/>
      <c r="AN109" s="751"/>
      <c r="AO109" s="752"/>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33"/>
        <v>Véhicules usagés</v>
      </c>
      <c r="B110" s="744"/>
      <c r="C110" s="744"/>
      <c r="D110" s="751"/>
      <c r="E110" s="752"/>
      <c r="F110" s="744"/>
      <c r="G110" s="751"/>
      <c r="H110" s="752"/>
      <c r="I110" s="744"/>
      <c r="J110" s="751"/>
      <c r="K110" s="752"/>
      <c r="L110" s="744"/>
      <c r="M110" s="751"/>
      <c r="N110" s="752"/>
      <c r="O110" s="744"/>
      <c r="P110" s="751"/>
      <c r="Q110" s="752"/>
      <c r="R110" s="744"/>
      <c r="S110" s="751"/>
      <c r="T110" s="752"/>
      <c r="U110" s="744"/>
      <c r="V110" s="751"/>
      <c r="W110" s="752"/>
      <c r="X110" s="744"/>
      <c r="Y110" s="751"/>
      <c r="Z110" s="752"/>
      <c r="AA110" s="744"/>
      <c r="AB110" s="751"/>
      <c r="AC110" s="752"/>
      <c r="AD110" s="744"/>
      <c r="AE110" s="751"/>
      <c r="AF110" s="752"/>
      <c r="AG110" s="744"/>
      <c r="AH110" s="751"/>
      <c r="AI110" s="752"/>
      <c r="AJ110" s="744"/>
      <c r="AK110" s="751"/>
      <c r="AL110" s="752"/>
      <c r="AM110" s="744"/>
      <c r="AN110" s="751"/>
      <c r="AO110" s="752"/>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33"/>
        <v>Véhicules usagésTotal Dépt. Usagés</v>
      </c>
      <c r="B111" s="1152" t="s">
        <v>157</v>
      </c>
      <c r="C111" s="753">
        <f>C100+C103</f>
        <v>873</v>
      </c>
      <c r="D111" s="754">
        <f>IF(C111&lt;=0,0,E111/C111)</f>
        <v>2331.6151202749143</v>
      </c>
      <c r="E111" s="755">
        <f>E100+E108+E103</f>
        <v>2035500</v>
      </c>
      <c r="F111" s="753">
        <f>F100+F103</f>
        <v>48</v>
      </c>
      <c r="G111" s="754">
        <f>IF(F111&lt;=0,0,H111/F111)</f>
        <v>2500</v>
      </c>
      <c r="H111" s="755">
        <f>H100+H108+H103</f>
        <v>120000</v>
      </c>
      <c r="I111" s="753">
        <f>I100+I103</f>
        <v>42</v>
      </c>
      <c r="J111" s="754">
        <f>IF(I111&lt;=0,0,K111/I111)</f>
        <v>2857.1428571428573</v>
      </c>
      <c r="K111" s="755">
        <f>K100+K108+K103</f>
        <v>120000</v>
      </c>
      <c r="L111" s="753">
        <f>L100+L103</f>
        <v>58</v>
      </c>
      <c r="M111" s="754">
        <f>IF(L111&lt;=0,0,N111/L111)</f>
        <v>3034.4827586206898</v>
      </c>
      <c r="N111" s="755">
        <f>N100+N108+N103</f>
        <v>176000</v>
      </c>
      <c r="O111" s="753">
        <f>O100+O103</f>
        <v>67</v>
      </c>
      <c r="P111" s="754">
        <f>IF(O111&lt;=0,0,Q111/O111)</f>
        <v>2783.5820895522388</v>
      </c>
      <c r="Q111" s="755">
        <f>Q100+Q108+Q103</f>
        <v>186500</v>
      </c>
      <c r="R111" s="753">
        <f>R100+R103</f>
        <v>75</v>
      </c>
      <c r="S111" s="754">
        <f>IF(R111&lt;=0,0,T111/R111)</f>
        <v>2620</v>
      </c>
      <c r="T111" s="755">
        <f>T100+T108+T103</f>
        <v>196500</v>
      </c>
      <c r="U111" s="753">
        <f>U100+U103</f>
        <v>90</v>
      </c>
      <c r="V111" s="754">
        <f>IF(U111&lt;=0,0,W111/U111)</f>
        <v>2200</v>
      </c>
      <c r="W111" s="755">
        <f>W100+W108+W103</f>
        <v>198000</v>
      </c>
      <c r="X111" s="753">
        <f>X100+X103</f>
        <v>92</v>
      </c>
      <c r="Y111" s="754">
        <f>IF(X111&lt;=0,0,Z111/X111)</f>
        <v>2065.217391304348</v>
      </c>
      <c r="Z111" s="755">
        <f>Z100+Z108+Z103</f>
        <v>190000</v>
      </c>
      <c r="AA111" s="753">
        <f>AA100+AA103</f>
        <v>90</v>
      </c>
      <c r="AB111" s="754">
        <f>IF(AA111&lt;=0,0,AC111/AA111)</f>
        <v>2066.6666666666665</v>
      </c>
      <c r="AC111" s="755">
        <f>AC100+AC108+AC103</f>
        <v>186000</v>
      </c>
      <c r="AD111" s="753">
        <f>AD100+AD103</f>
        <v>80</v>
      </c>
      <c r="AE111" s="754">
        <f>IF(AD111&lt;=0,0,AF111/AD111)</f>
        <v>2262.5</v>
      </c>
      <c r="AF111" s="755">
        <f>AF100+AF108+AF103</f>
        <v>181000</v>
      </c>
      <c r="AG111" s="753">
        <f>AG100+AG103</f>
        <v>91</v>
      </c>
      <c r="AH111" s="754">
        <f>IF(AG111&lt;=0,0,AI111/AG111)</f>
        <v>2016.4835164835165</v>
      </c>
      <c r="AI111" s="755">
        <f>AI100+AI108+AI103</f>
        <v>183500</v>
      </c>
      <c r="AJ111" s="753">
        <f>AJ100+AJ103</f>
        <v>75</v>
      </c>
      <c r="AK111" s="754">
        <f>IF(AJ111&lt;=0,0,AL111/AJ111)</f>
        <v>2140</v>
      </c>
      <c r="AL111" s="755">
        <f>AL100+AL108+AL103</f>
        <v>160500</v>
      </c>
      <c r="AM111" s="753">
        <f>AM100+AM103</f>
        <v>65</v>
      </c>
      <c r="AN111" s="754">
        <f>IF(AM111&lt;=0,0,AO111/AM111)</f>
        <v>2115.3846153846152</v>
      </c>
      <c r="AO111" s="755">
        <f>AO100+AO108+AO103</f>
        <v>137500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33"/>
        <v>Véhicules usagés</v>
      </c>
      <c r="B112" s="756"/>
      <c r="C112" s="756"/>
      <c r="D112" s="757"/>
      <c r="E112" s="758"/>
      <c r="F112" s="756"/>
      <c r="G112" s="757"/>
      <c r="H112" s="758"/>
      <c r="I112" s="756"/>
      <c r="J112" s="757"/>
      <c r="K112" s="758"/>
      <c r="L112" s="756"/>
      <c r="M112" s="757"/>
      <c r="N112" s="758"/>
      <c r="O112" s="756"/>
      <c r="P112" s="757"/>
      <c r="Q112" s="758"/>
      <c r="R112" s="756"/>
      <c r="S112" s="757"/>
      <c r="T112" s="758"/>
      <c r="U112" s="756"/>
      <c r="V112" s="757"/>
      <c r="W112" s="758"/>
      <c r="X112" s="756"/>
      <c r="Y112" s="757"/>
      <c r="Z112" s="758"/>
      <c r="AA112" s="756"/>
      <c r="AB112" s="757"/>
      <c r="AC112" s="758"/>
      <c r="AD112" s="756"/>
      <c r="AE112" s="757"/>
      <c r="AF112" s="758"/>
      <c r="AG112" s="756"/>
      <c r="AH112" s="757"/>
      <c r="AI112" s="758"/>
      <c r="AJ112" s="756"/>
      <c r="AK112" s="757"/>
      <c r="AL112" s="758"/>
      <c r="AM112" s="756"/>
      <c r="AN112" s="757"/>
      <c r="AO112" s="758"/>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33"/>
        <v>Véhicules usagés</v>
      </c>
      <c r="B113" s="791"/>
      <c r="C113" s="791"/>
      <c r="D113" s="792"/>
      <c r="E113" s="793"/>
      <c r="F113" s="791"/>
      <c r="G113" s="792"/>
      <c r="H113" s="793"/>
      <c r="I113" s="791"/>
      <c r="J113" s="792"/>
      <c r="K113" s="793"/>
      <c r="L113" s="791"/>
      <c r="M113" s="792"/>
      <c r="N113" s="793"/>
      <c r="O113" s="791"/>
      <c r="P113" s="792"/>
      <c r="Q113" s="793"/>
      <c r="R113" s="791"/>
      <c r="S113" s="792"/>
      <c r="T113" s="793"/>
      <c r="U113" s="791"/>
      <c r="V113" s="792"/>
      <c r="W113" s="793"/>
      <c r="X113" s="791"/>
      <c r="Y113" s="792"/>
      <c r="Z113" s="793"/>
      <c r="AA113" s="791"/>
      <c r="AB113" s="792"/>
      <c r="AC113" s="793"/>
      <c r="AD113" s="791"/>
      <c r="AE113" s="792"/>
      <c r="AF113" s="793"/>
      <c r="AG113" s="791"/>
      <c r="AH113" s="792"/>
      <c r="AI113" s="793"/>
      <c r="AJ113" s="791"/>
      <c r="AK113" s="792"/>
      <c r="AL113" s="793"/>
      <c r="AM113" s="791"/>
      <c r="AN113" s="792"/>
      <c r="AO113" s="793"/>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33"/>
        <v>Véhicules usagésDEPENSES</v>
      </c>
      <c r="B114" s="1153" t="s">
        <v>110</v>
      </c>
      <c r="C114" s="744"/>
      <c r="D114" s="762"/>
      <c r="E114" s="745"/>
      <c r="F114" s="744"/>
      <c r="G114" s="762"/>
      <c r="H114" s="745"/>
      <c r="I114" s="744"/>
      <c r="J114" s="762"/>
      <c r="K114" s="745"/>
      <c r="L114" s="744"/>
      <c r="M114" s="762"/>
      <c r="N114" s="745"/>
      <c r="O114" s="744"/>
      <c r="P114" s="762"/>
      <c r="Q114" s="745"/>
      <c r="R114" s="744"/>
      <c r="S114" s="762"/>
      <c r="T114" s="745"/>
      <c r="U114" s="744"/>
      <c r="V114" s="762"/>
      <c r="W114" s="745"/>
      <c r="X114" s="744"/>
      <c r="Y114" s="762"/>
      <c r="Z114" s="745"/>
      <c r="AA114" s="744"/>
      <c r="AB114" s="762"/>
      <c r="AC114" s="745"/>
      <c r="AD114" s="744"/>
      <c r="AE114" s="762"/>
      <c r="AF114" s="745"/>
      <c r="AG114" s="744"/>
      <c r="AH114" s="762"/>
      <c r="AI114" s="745"/>
      <c r="AJ114" s="744"/>
      <c r="AK114" s="762"/>
      <c r="AL114" s="745"/>
      <c r="AM114" s="744"/>
      <c r="AN114" s="762"/>
      <c r="AO114" s="745"/>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33"/>
        <v>Véhicules usagésComm. vendeurs</v>
      </c>
      <c r="B115" s="744" t="s">
        <v>111</v>
      </c>
      <c r="C115" s="1175">
        <f>E115/E100</f>
        <v>0.31552845528455287</v>
      </c>
      <c r="D115" s="764">
        <f>IF(C$100=0,0,E115/(C$97+C$98+C99))</f>
        <v>473.29268292682929</v>
      </c>
      <c r="E115" s="752">
        <f t="shared" ref="E115:E124" si="34">+SUM(H115,K115,N115,Q115,T115,W115,Z115,AC115,AF115,AI115,AL115,AO115)</f>
        <v>252265</v>
      </c>
      <c r="F115" s="1175">
        <f>H115/H100</f>
        <v>0.32833333333333331</v>
      </c>
      <c r="G115" s="764">
        <f>IF(F$100=0,0,H115/(F$97+F$98+F99))</f>
        <v>492.5</v>
      </c>
      <c r="H115" s="765">
        <f>'[1]Vehicules usages 2026'!E61</f>
        <v>15760</v>
      </c>
      <c r="I115" s="1175">
        <f>K115/K100</f>
        <v>0.32656565656565656</v>
      </c>
      <c r="J115" s="764">
        <f>IF(I$100=0,0,K115/(I$97+I$98+I99))</f>
        <v>489.84848484848487</v>
      </c>
      <c r="K115" s="765">
        <f>'[1]Vehicules usages 2026'!F61</f>
        <v>16165</v>
      </c>
      <c r="L115" s="1175">
        <f>N115/N100</f>
        <v>0.30809523809523809</v>
      </c>
      <c r="M115" s="764">
        <f>IF(L$100=0,0,N115/(L$97+L$98+L99))</f>
        <v>462.14285714285717</v>
      </c>
      <c r="N115" s="765">
        <f>'[1]Vehicules usages 2026'!G61</f>
        <v>22645</v>
      </c>
      <c r="O115" s="1175">
        <f>Q115/Q100</f>
        <v>0.30660130718954248</v>
      </c>
      <c r="P115" s="764">
        <f>IF(O$100=0,0,Q115/(O$97+O$98+O99))</f>
        <v>459.9019607843137</v>
      </c>
      <c r="Q115" s="765">
        <f>'[1]Vehicules usages 2026'!H61</f>
        <v>23455</v>
      </c>
      <c r="R115" s="1175">
        <f>T115/T100</f>
        <v>0.31402515723270441</v>
      </c>
      <c r="S115" s="764">
        <f>IF(R$100=0,0,T115/(R$97+R$98+R99))</f>
        <v>471.03773584905662</v>
      </c>
      <c r="T115" s="765">
        <f>'[1]Vehicules usages 2026'!I61</f>
        <v>24965</v>
      </c>
      <c r="U115" s="1175">
        <f>W115/W100</f>
        <v>0.30660130718954248</v>
      </c>
      <c r="V115" s="764">
        <f>IF(U$100=0,0,W115/(U$97+U$98+U99))</f>
        <v>459.9019607843137</v>
      </c>
      <c r="W115" s="765">
        <f>'[1]Vehicules usages 2026'!J61</f>
        <v>23455</v>
      </c>
      <c r="X115" s="1175">
        <f>Z115/Z100</f>
        <v>0.31861111111111112</v>
      </c>
      <c r="Y115" s="764">
        <f>IF(X$100=0,0,Z115/(X$97+X$98+X99))</f>
        <v>477.91666666666669</v>
      </c>
      <c r="Z115" s="765">
        <f>'[1]Vehicules usages 2026'!K61</f>
        <v>22940</v>
      </c>
      <c r="AA115" s="1175">
        <f>AC115/AC100</f>
        <v>0.30971631205673761</v>
      </c>
      <c r="AB115" s="764">
        <f>IF(AA$100=0,0,AC115/(AA$97+AA$98+AA99))</f>
        <v>464.57446808510639</v>
      </c>
      <c r="AC115" s="765">
        <f>'[1]Vehicules usages 2026'!L61</f>
        <v>21835</v>
      </c>
      <c r="AD115" s="1175">
        <f>AF115/AF100</f>
        <v>0.30971631205673761</v>
      </c>
      <c r="AE115" s="764">
        <f>IF(AD$100=0,0,AF115/(AD$97+AD$98+AD99))</f>
        <v>464.57446808510639</v>
      </c>
      <c r="AF115" s="765">
        <f>'[1]Vehicules usages 2026'!M61</f>
        <v>21835</v>
      </c>
      <c r="AG115" s="1175">
        <f>AI115/AI100</f>
        <v>0.32072463768115944</v>
      </c>
      <c r="AH115" s="764">
        <f>IF(AG$100=0,0,AI115/(AG$97+AG$98+AG99))</f>
        <v>481.08695652173913</v>
      </c>
      <c r="AI115" s="765">
        <f>'[1]Vehicules usages 2026'!N61</f>
        <v>22130</v>
      </c>
      <c r="AJ115" s="1175">
        <f>AL115/AL100</f>
        <v>0.31552845528455287</v>
      </c>
      <c r="AK115" s="764">
        <f>IF(AJ$100=0,0,AL115/(AJ$97+AJ$98+AJ99))</f>
        <v>473.29268292682929</v>
      </c>
      <c r="AL115" s="765">
        <f>'[1]Vehicules usages 2026'!O61</f>
        <v>19405</v>
      </c>
      <c r="AM115" s="1175">
        <f>AO115/AO100</f>
        <v>0.33666666666666667</v>
      </c>
      <c r="AN115" s="764">
        <f>IF(AM$100=0,0,AO115/(AM$97+AM$98+AM99))</f>
        <v>505</v>
      </c>
      <c r="AO115" s="765">
        <f>'[1]Vehicules usages 2026'!P61</f>
        <v>17675</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33"/>
        <v>Véhicules usagésComm. F&amp;I</v>
      </c>
      <c r="B116" s="770" t="s">
        <v>112</v>
      </c>
      <c r="C116" s="766">
        <f>E116/E108</f>
        <v>0.25876172607879927</v>
      </c>
      <c r="D116" s="767">
        <f>IF(C$100=0,0,E116/(C$97+C$98+C99))</f>
        <v>517.52345215759851</v>
      </c>
      <c r="E116" s="768">
        <f t="shared" si="34"/>
        <v>275840</v>
      </c>
      <c r="F116" s="766">
        <f>H116/H108</f>
        <v>0.26064977973568282</v>
      </c>
      <c r="G116" s="767">
        <f>IF(F$100=0,0,H116/(F$97+F$98+F99))</f>
        <v>521.29955947136568</v>
      </c>
      <c r="H116" s="769">
        <f>'[1]Vehicules usages 2026'!E75</f>
        <v>16681.585903083702</v>
      </c>
      <c r="I116" s="766">
        <f>K116/K108</f>
        <v>0.26135896409024167</v>
      </c>
      <c r="J116" s="767">
        <f>IF(I$100=0,0,K116/(I$97+I$98+I99))</f>
        <v>522.71792818048334</v>
      </c>
      <c r="K116" s="769">
        <f>'[1]Vehicules usages 2026'!F75</f>
        <v>17249.691629955949</v>
      </c>
      <c r="L116" s="766">
        <f>N116/N108</f>
        <v>0.26097755401720157</v>
      </c>
      <c r="M116" s="767">
        <f>IF(L$100=0,0,N116/(L$97+L$98+L99))</f>
        <v>521.95510803440322</v>
      </c>
      <c r="N116" s="769">
        <f>'[1]Vehicules usages 2026'!G75</f>
        <v>25575.800293685756</v>
      </c>
      <c r="O116" s="766">
        <f>Q116/Q108</f>
        <v>0.26044283205205726</v>
      </c>
      <c r="P116" s="767">
        <f>IF(O$100=0,0,Q116/(O$97+O$98+O99))</f>
        <v>520.88566410411454</v>
      </c>
      <c r="Q116" s="769">
        <f>'[1]Vehicules usages 2026'!H75</f>
        <v>26565.16886930984</v>
      </c>
      <c r="R116" s="766">
        <f>T116/T108</f>
        <v>0.26050259053001967</v>
      </c>
      <c r="S116" s="767">
        <f>IF(R$100=0,0,T116/(R$97+R$98+R99))</f>
        <v>521.00518106003926</v>
      </c>
      <c r="T116" s="769">
        <f>'[1]Vehicules usages 2026'!I75</f>
        <v>27613.274596182084</v>
      </c>
      <c r="U116" s="766">
        <f>W116/W108</f>
        <v>0.25929112320405401</v>
      </c>
      <c r="V116" s="767">
        <f>IF(U$100=0,0,W116/(U$97+U$98+U99))</f>
        <v>518.58224640810806</v>
      </c>
      <c r="W116" s="769">
        <f>'[1]Vehicules usages 2026'!J75</f>
        <v>26447.694566813509</v>
      </c>
      <c r="X116" s="766">
        <f>Z116/Z108</f>
        <v>0.25835535976505136</v>
      </c>
      <c r="Y116" s="767">
        <f>IF(X$100=0,0,Z116/(X$97+X$98+X99))</f>
        <v>516.71071953010278</v>
      </c>
      <c r="Z116" s="769">
        <f>'[1]Vehicules usages 2026'!K75</f>
        <v>24802.114537444933</v>
      </c>
      <c r="AA116" s="766">
        <f>AC116/AC108</f>
        <v>0.25718374105664388</v>
      </c>
      <c r="AB116" s="767">
        <f>IF(AA$100=0,0,AC116/(AA$97+AA$98+AA99))</f>
        <v>514.36748211328779</v>
      </c>
      <c r="AC116" s="769">
        <f>'[1]Vehicules usages 2026'!L75</f>
        <v>24175.271659324524</v>
      </c>
      <c r="AD116" s="766">
        <f>AF116/AF108</f>
        <v>0.25655887774549319</v>
      </c>
      <c r="AE116" s="767">
        <f>IF(AD$100=0,0,AF116/(AD$97+AD$98+AD99))</f>
        <v>513.11775549098638</v>
      </c>
      <c r="AF116" s="769">
        <f>'[1]Vehicules usages 2026'!M75</f>
        <v>24116.534508076358</v>
      </c>
      <c r="AG116" s="766">
        <f>AI116/AI108</f>
        <v>0.25659962970056821</v>
      </c>
      <c r="AH116" s="767">
        <f>IF(AG$100=0,0,AI116/(AG$97+AG$98+AG99))</f>
        <v>513.19925940113649</v>
      </c>
      <c r="AI116" s="769">
        <f>'[1]Vehicules usages 2026'!N75</f>
        <v>23607.165932452277</v>
      </c>
      <c r="AJ116" s="766">
        <f>AL116/AL108</f>
        <v>0.2564750546183876</v>
      </c>
      <c r="AK116" s="767">
        <f>IF(AJ$100=0,0,AL116/(AJ$97+AJ$98+AJ99))</f>
        <v>512.95010923677523</v>
      </c>
      <c r="AL116" s="769">
        <f>'[1]Vehicules usages 2026'!O75</f>
        <v>21030.954478707783</v>
      </c>
      <c r="AM116" s="766">
        <f>AO116/AO108</f>
        <v>0.25678204321376125</v>
      </c>
      <c r="AN116" s="767">
        <f>IF(AM$100=0,0,AO116/(AM$97+AM$98+AM99))</f>
        <v>513.56408642752251</v>
      </c>
      <c r="AO116" s="769">
        <f>'[1]Vehicules usages 2026'!P75</f>
        <v>17974.743024963289</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33"/>
        <v>Véhicules usagésFrais de livraison</v>
      </c>
      <c r="B117" s="744" t="s">
        <v>113</v>
      </c>
      <c r="C117" s="744"/>
      <c r="D117" s="764">
        <f>IF(C$100=0,0,E117/(C$97+C$98+C99))</f>
        <v>8</v>
      </c>
      <c r="E117" s="752">
        <f t="shared" si="34"/>
        <v>4264</v>
      </c>
      <c r="F117" s="744"/>
      <c r="G117" s="764">
        <f>IF(F$100=0,0,H117/(F$97+F$98+F99))</f>
        <v>8</v>
      </c>
      <c r="H117" s="765">
        <f>'[1]Vehicules usages 2026'!E81</f>
        <v>256</v>
      </c>
      <c r="I117" s="744"/>
      <c r="J117" s="764">
        <f>IF(I$100=0,0,K117/(I$97+I$98+I99))</f>
        <v>8</v>
      </c>
      <c r="K117" s="765">
        <f>'[1]Vehicules usages 2026'!F81</f>
        <v>264</v>
      </c>
      <c r="L117" s="744"/>
      <c r="M117" s="764">
        <f>IF(L$100=0,0,N117/(L$97+L$98+L99))</f>
        <v>8</v>
      </c>
      <c r="N117" s="765">
        <f>'[1]Vehicules usages 2026'!G81</f>
        <v>392</v>
      </c>
      <c r="O117" s="744"/>
      <c r="P117" s="764">
        <f>IF(O$100=0,0,Q117/(O$97+O$98+O99))</f>
        <v>8</v>
      </c>
      <c r="Q117" s="765">
        <f>'[1]Vehicules usages 2026'!H81</f>
        <v>408</v>
      </c>
      <c r="R117" s="744"/>
      <c r="S117" s="764">
        <f>IF(R$100=0,0,T117/(R$97+R$98+R99))</f>
        <v>8</v>
      </c>
      <c r="T117" s="765">
        <f>'[1]Vehicules usages 2026'!I81</f>
        <v>424</v>
      </c>
      <c r="U117" s="744"/>
      <c r="V117" s="764">
        <f>IF(U$100=0,0,W117/(U$97+U$98+U99))</f>
        <v>8</v>
      </c>
      <c r="W117" s="765">
        <f>'[1]Vehicules usages 2026'!J81</f>
        <v>408</v>
      </c>
      <c r="X117" s="744"/>
      <c r="Y117" s="764">
        <f>IF(X$100=0,0,Z117/(X$97+X$98+X99))</f>
        <v>8</v>
      </c>
      <c r="Z117" s="765">
        <f>'[1]Vehicules usages 2026'!K81</f>
        <v>384</v>
      </c>
      <c r="AA117" s="744"/>
      <c r="AB117" s="764">
        <f>IF(AA$100=0,0,AC117/(AA$97+AA$98+AA99))</f>
        <v>8</v>
      </c>
      <c r="AC117" s="765">
        <f>'[1]Vehicules usages 2026'!L81</f>
        <v>376</v>
      </c>
      <c r="AD117" s="744"/>
      <c r="AE117" s="764">
        <f>IF(AD$100=0,0,AF117/(AD$97+AD$98+AD99))</f>
        <v>8</v>
      </c>
      <c r="AF117" s="765">
        <f>'[1]Vehicules usages 2026'!M81</f>
        <v>376</v>
      </c>
      <c r="AG117" s="744"/>
      <c r="AH117" s="764">
        <f>IF(AG$100=0,0,AI117/(AG$97+AG$98+AG99))</f>
        <v>8</v>
      </c>
      <c r="AI117" s="765">
        <f>'[1]Vehicules usages 2026'!N81</f>
        <v>368</v>
      </c>
      <c r="AJ117" s="744"/>
      <c r="AK117" s="764">
        <f>IF(AJ$100=0,0,AL117/(AJ$97+AJ$98+AJ99))</f>
        <v>8</v>
      </c>
      <c r="AL117" s="765">
        <f>'[1]Vehicules usages 2026'!O81</f>
        <v>328</v>
      </c>
      <c r="AM117" s="744"/>
      <c r="AN117" s="764">
        <f>IF(AM$100=0,0,AO117/(AM$97+AM$98+AM99))</f>
        <v>8</v>
      </c>
      <c r="AO117" s="765">
        <f>'[1]Vehicules usages 2026'!P81</f>
        <v>280</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33"/>
        <v>Véhicules usagésService gratuit 1</v>
      </c>
      <c r="B118" s="744" t="s">
        <v>114</v>
      </c>
      <c r="C118" s="744"/>
      <c r="D118" s="764">
        <f>IF(C$100=0,0,E118/(C$97+C$98+C99))</f>
        <v>50</v>
      </c>
      <c r="E118" s="752">
        <f t="shared" si="34"/>
        <v>26650</v>
      </c>
      <c r="F118" s="744"/>
      <c r="G118" s="764">
        <f>IF(F$100=0,0,H118/(F$97+F$98+F99))</f>
        <v>50</v>
      </c>
      <c r="H118" s="765">
        <f>'[1]Vehicules usages 2026'!E87</f>
        <v>1600</v>
      </c>
      <c r="I118" s="744"/>
      <c r="J118" s="764">
        <f>IF(I$100=0,0,K118/(I$97+I$98+I99))</f>
        <v>50</v>
      </c>
      <c r="K118" s="765">
        <f>'[1]Vehicules usages 2026'!F87</f>
        <v>1650</v>
      </c>
      <c r="L118" s="744"/>
      <c r="M118" s="764">
        <f>IF(L$100=0,0,N118/(L$97+L$98+L99))</f>
        <v>50</v>
      </c>
      <c r="N118" s="765">
        <f>'[1]Vehicules usages 2026'!G87</f>
        <v>2450</v>
      </c>
      <c r="O118" s="744"/>
      <c r="P118" s="764">
        <f>IF(O$100=0,0,Q118/(O$97+O$98+O99))</f>
        <v>50</v>
      </c>
      <c r="Q118" s="765">
        <f>'[1]Vehicules usages 2026'!H87</f>
        <v>2550</v>
      </c>
      <c r="R118" s="744"/>
      <c r="S118" s="764">
        <f>IF(R$100=0,0,T118/(R$97+R$98+R99))</f>
        <v>50</v>
      </c>
      <c r="T118" s="765">
        <f>'[1]Vehicules usages 2026'!I87</f>
        <v>2650</v>
      </c>
      <c r="U118" s="744"/>
      <c r="V118" s="764">
        <f>IF(U$100=0,0,W118/(U$97+U$98+U99))</f>
        <v>50</v>
      </c>
      <c r="W118" s="765">
        <f>'[1]Vehicules usages 2026'!J87</f>
        <v>2550</v>
      </c>
      <c r="X118" s="744"/>
      <c r="Y118" s="764">
        <f>IF(X$100=0,0,Z118/(X$97+X$98+X99))</f>
        <v>50</v>
      </c>
      <c r="Z118" s="765">
        <f>'[1]Vehicules usages 2026'!K87</f>
        <v>2400</v>
      </c>
      <c r="AA118" s="744"/>
      <c r="AB118" s="764">
        <f>IF(AA$100=0,0,AC118/(AA$97+AA$98+AA99))</f>
        <v>50</v>
      </c>
      <c r="AC118" s="765">
        <f>'[1]Vehicules usages 2026'!L87</f>
        <v>2350</v>
      </c>
      <c r="AD118" s="744"/>
      <c r="AE118" s="764">
        <f>IF(AD$100=0,0,AF118/(AD$97+AD$98+AD99))</f>
        <v>50</v>
      </c>
      <c r="AF118" s="765">
        <f>'[1]Vehicules usages 2026'!M87</f>
        <v>2350</v>
      </c>
      <c r="AG118" s="744"/>
      <c r="AH118" s="764">
        <f>IF(AG$100=0,0,AI118/(AG$97+AG$98+AG99))</f>
        <v>50</v>
      </c>
      <c r="AI118" s="765">
        <f>'[1]Vehicules usages 2026'!N87</f>
        <v>2300</v>
      </c>
      <c r="AJ118" s="744"/>
      <c r="AK118" s="764">
        <f>IF(AJ$100=0,0,AL118/(AJ$97+AJ$98+AJ99))</f>
        <v>50</v>
      </c>
      <c r="AL118" s="765">
        <f>'[1]Vehicules usages 2026'!O87</f>
        <v>2050</v>
      </c>
      <c r="AM118" s="744"/>
      <c r="AN118" s="764">
        <f>IF(AM$100=0,0,AO118/(AM$97+AM$98+AM99))</f>
        <v>50</v>
      </c>
      <c r="AO118" s="765">
        <f>'[1]Vehicules usages 2026'!P87</f>
        <v>1750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33"/>
        <v>Véhicules usagésEntretien stock</v>
      </c>
      <c r="B119" s="770" t="s">
        <v>115</v>
      </c>
      <c r="C119" s="770"/>
      <c r="D119" s="767">
        <f>IF(C$100=0,0,E119/(C$97+C$98+C99))</f>
        <v>170</v>
      </c>
      <c r="E119" s="768">
        <f t="shared" si="34"/>
        <v>90610</v>
      </c>
      <c r="F119" s="770"/>
      <c r="G119" s="767">
        <f>IF(F$100=0,0,H119/(F$97+F$98+F99))</f>
        <v>170</v>
      </c>
      <c r="H119" s="769">
        <f>'[1]Vehicules usages 2026'!E94</f>
        <v>5440</v>
      </c>
      <c r="I119" s="770"/>
      <c r="J119" s="767">
        <f>IF(I$100=0,0,K119/(I$97+I$98+I99))</f>
        <v>170</v>
      </c>
      <c r="K119" s="769">
        <f>'[1]Vehicules usages 2026'!F94</f>
        <v>5610</v>
      </c>
      <c r="L119" s="770"/>
      <c r="M119" s="767">
        <f>IF(L$100=0,0,N119/(L$97+L$98+L99))</f>
        <v>170</v>
      </c>
      <c r="N119" s="769">
        <f>'[1]Vehicules usages 2026'!G94</f>
        <v>8330</v>
      </c>
      <c r="O119" s="770"/>
      <c r="P119" s="767">
        <f>IF(O$100=0,0,Q119/(O$97+O$98+O99))</f>
        <v>170</v>
      </c>
      <c r="Q119" s="769">
        <f>'[1]Vehicules usages 2026'!H94</f>
        <v>8670</v>
      </c>
      <c r="R119" s="770"/>
      <c r="S119" s="767">
        <f>IF(R$100=0,0,T119/(R$97+R$98+R99))</f>
        <v>170</v>
      </c>
      <c r="T119" s="769">
        <f>'[1]Vehicules usages 2026'!I94</f>
        <v>9010</v>
      </c>
      <c r="U119" s="770"/>
      <c r="V119" s="767">
        <f>IF(U$100=0,0,W119/(U$97+U$98+U99))</f>
        <v>170</v>
      </c>
      <c r="W119" s="769">
        <f>'[1]Vehicules usages 2026'!J94</f>
        <v>8670</v>
      </c>
      <c r="X119" s="770"/>
      <c r="Y119" s="767">
        <f>IF(X$100=0,0,Z119/(X$97+X$98+X99))</f>
        <v>170</v>
      </c>
      <c r="Z119" s="769">
        <f>'[1]Vehicules usages 2026'!K94</f>
        <v>8160</v>
      </c>
      <c r="AA119" s="770"/>
      <c r="AB119" s="767">
        <f>IF(AA$100=0,0,AC119/(AA$97+AA$98+AA99))</f>
        <v>170</v>
      </c>
      <c r="AC119" s="769">
        <f>'[1]Vehicules usages 2026'!L94</f>
        <v>7990</v>
      </c>
      <c r="AD119" s="770"/>
      <c r="AE119" s="767">
        <f>IF(AD$100=0,0,AF119/(AD$97+AD$98+AD99))</f>
        <v>170</v>
      </c>
      <c r="AF119" s="769">
        <f>'[1]Vehicules usages 2026'!M94</f>
        <v>7990</v>
      </c>
      <c r="AG119" s="770"/>
      <c r="AH119" s="767">
        <f>IF(AG$100=0,0,AI119/(AG$97+AG$98+AG99))</f>
        <v>170</v>
      </c>
      <c r="AI119" s="769">
        <f>'[1]Vehicules usages 2026'!N94</f>
        <v>7820</v>
      </c>
      <c r="AJ119" s="770"/>
      <c r="AK119" s="767">
        <f>IF(AJ$100=0,0,AL119/(AJ$97+AJ$98+AJ99))</f>
        <v>170</v>
      </c>
      <c r="AL119" s="769">
        <f>'[1]Vehicules usages 2026'!O94</f>
        <v>6970</v>
      </c>
      <c r="AM119" s="770"/>
      <c r="AN119" s="767">
        <f>IF(AM$100=0,0,AO119/(AM$97+AM$98+AM99))</f>
        <v>170</v>
      </c>
      <c r="AO119" s="769">
        <f>'[1]Vehicules usages 2026'!P94</f>
        <v>5950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33"/>
        <v>Véhicules usagésPublicité 1</v>
      </c>
      <c r="B120" s="744" t="s">
        <v>116</v>
      </c>
      <c r="C120" s="744"/>
      <c r="D120" s="764">
        <f>IF(C$100=0,0,E120/(C$97+C$98+C99))</f>
        <v>220.76735459662288</v>
      </c>
      <c r="E120" s="752">
        <f t="shared" si="34"/>
        <v>117669</v>
      </c>
      <c r="F120" s="744"/>
      <c r="G120" s="764">
        <f>IF(F$100=0,0,H120/(F$97+F$98+F99))</f>
        <v>395.1328125</v>
      </c>
      <c r="H120" s="765">
        <f>'[1]Vehicules usages 2026'!E101</f>
        <v>12644.25</v>
      </c>
      <c r="I120" s="744"/>
      <c r="J120" s="764">
        <f>IF(I$100=0,0,K120/(I$97+I$98+I99))</f>
        <v>327.34090909090907</v>
      </c>
      <c r="K120" s="765">
        <f>'[1]Vehicules usages 2026'!F101</f>
        <v>10802.25</v>
      </c>
      <c r="L120" s="744"/>
      <c r="M120" s="764">
        <f>IF(L$100=0,0,N120/(L$97+L$98+L99))</f>
        <v>187.80102040816325</v>
      </c>
      <c r="N120" s="765">
        <f>'[1]Vehicules usages 2026'!G101</f>
        <v>9202.25</v>
      </c>
      <c r="O120" s="744"/>
      <c r="P120" s="764">
        <f>IF(O$100=0,0,Q120/(O$97+O$98+O99))</f>
        <v>176.51470588235293</v>
      </c>
      <c r="Q120" s="765">
        <f>'[1]Vehicules usages 2026'!H101</f>
        <v>9002.25</v>
      </c>
      <c r="R120" s="744"/>
      <c r="S120" s="764">
        <f>IF(R$100=0,0,T120/(R$97+R$98+R99))</f>
        <v>166.08018867924528</v>
      </c>
      <c r="T120" s="765">
        <f>'[1]Vehicules usages 2026'!I101</f>
        <v>8802.25</v>
      </c>
      <c r="U120" s="744"/>
      <c r="V120" s="764">
        <f>IF(U$100=0,0,W120/(U$97+U$98+U99))</f>
        <v>176.51470588235293</v>
      </c>
      <c r="W120" s="765">
        <f>'[1]Vehicules usages 2026'!J101</f>
        <v>9002.25</v>
      </c>
      <c r="X120" s="744"/>
      <c r="Y120" s="764">
        <f>IF(X$100=0,0,Z120/(X$97+X$98+X99))</f>
        <v>193.796875</v>
      </c>
      <c r="Z120" s="765">
        <f>'[1]Vehicules usages 2026'!K101</f>
        <v>9302.25</v>
      </c>
      <c r="AA120" s="744"/>
      <c r="AB120" s="764">
        <f>IF(AA$100=0,0,AC120/(AA$97+AA$98+AA99))</f>
        <v>200.04787234042553</v>
      </c>
      <c r="AC120" s="765">
        <f>'[1]Vehicules usages 2026'!L101</f>
        <v>9402.25</v>
      </c>
      <c r="AD120" s="744"/>
      <c r="AE120" s="764">
        <f>IF(AD$100=0,0,AF120/(AD$97+AD$98+AD99))</f>
        <v>200.04787234042553</v>
      </c>
      <c r="AF120" s="765">
        <f>'[1]Vehicules usages 2026'!M101</f>
        <v>9402.25</v>
      </c>
      <c r="AG120" s="744"/>
      <c r="AH120" s="764">
        <f>IF(AG$100=0,0,AI120/(AG$97+AG$98+AG99))</f>
        <v>206.57065217391303</v>
      </c>
      <c r="AI120" s="765">
        <f>'[1]Vehicules usages 2026'!N101</f>
        <v>9502.25</v>
      </c>
      <c r="AJ120" s="744"/>
      <c r="AK120" s="764">
        <f>IF(AJ$100=0,0,AL120/(AJ$97+AJ$98+AJ99))</f>
        <v>243.95731707317074</v>
      </c>
      <c r="AL120" s="765">
        <f>'[1]Vehicules usages 2026'!O101</f>
        <v>10002.25</v>
      </c>
      <c r="AM120" s="744"/>
      <c r="AN120" s="764">
        <f>IF(AM$100=0,0,AO120/(AM$97+AM$98+AM99))</f>
        <v>302.92142857142858</v>
      </c>
      <c r="AO120" s="765">
        <f>'[1]Vehicules usages 2026'!P101</f>
        <v>10602.25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33"/>
        <v>Véhicules usagésIntérêt de gros</v>
      </c>
      <c r="B121" s="744" t="s">
        <v>117</v>
      </c>
      <c r="C121" s="744"/>
      <c r="D121" s="764">
        <f>IF(C$100=0,0,E121/(C$97+C$98+C99))</f>
        <v>0</v>
      </c>
      <c r="E121" s="752">
        <f t="shared" si="34"/>
        <v>0</v>
      </c>
      <c r="F121" s="744"/>
      <c r="G121" s="764">
        <f>IF(F$100=0,0,H121/(F$97+F$98+F99))</f>
        <v>0</v>
      </c>
      <c r="H121" s="765">
        <f>'[1]Vehicules usages 2026'!E32</f>
        <v>0</v>
      </c>
      <c r="I121" s="744"/>
      <c r="J121" s="764">
        <f>IF(I$100=0,0,K121/(I$97+I$98+I99))</f>
        <v>0</v>
      </c>
      <c r="K121" s="765">
        <f>'[1]Vehicules usages 2026'!F32</f>
        <v>0</v>
      </c>
      <c r="L121" s="744"/>
      <c r="M121" s="764">
        <f>IF(L$100=0,0,N121/(L$97+L$98+L99))</f>
        <v>0</v>
      </c>
      <c r="N121" s="765">
        <f>'[1]Vehicules usages 2026'!G32</f>
        <v>0</v>
      </c>
      <c r="O121" s="744"/>
      <c r="P121" s="764">
        <f>IF(O$100=0,0,Q121/(O$97+O$98+O99))</f>
        <v>0</v>
      </c>
      <c r="Q121" s="765">
        <f>'[1]Vehicules usages 2026'!H32</f>
        <v>0</v>
      </c>
      <c r="R121" s="744"/>
      <c r="S121" s="764">
        <f>IF(R$100=0,0,T121/(R$97+R$98+R99))</f>
        <v>0</v>
      </c>
      <c r="T121" s="765">
        <f>'[1]Vehicules usages 2026'!I32</f>
        <v>0</v>
      </c>
      <c r="U121" s="744"/>
      <c r="V121" s="764">
        <f>IF(U$100=0,0,W121/(U$97+U$98+U99))</f>
        <v>0</v>
      </c>
      <c r="W121" s="765">
        <f>'[1]Vehicules usages 2026'!J32</f>
        <v>0</v>
      </c>
      <c r="X121" s="744"/>
      <c r="Y121" s="764">
        <f>IF(X$100=0,0,Z121/(X$97+X$98+X99))</f>
        <v>0</v>
      </c>
      <c r="Z121" s="765">
        <f>'[1]Vehicules usages 2026'!K32</f>
        <v>0</v>
      </c>
      <c r="AA121" s="744"/>
      <c r="AB121" s="764">
        <f>IF(AA$100=0,0,AC121/(AA$97+AA$98+AA99))</f>
        <v>0</v>
      </c>
      <c r="AC121" s="765">
        <f>'[1]Vehicules usages 2026'!L32</f>
        <v>0</v>
      </c>
      <c r="AD121" s="744"/>
      <c r="AE121" s="764">
        <f>IF(AD$100=0,0,AF121/(AD$97+AD$98+AD99))</f>
        <v>0</v>
      </c>
      <c r="AF121" s="765">
        <f>'[1]Vehicules usages 2026'!M32</f>
        <v>0</v>
      </c>
      <c r="AG121" s="744"/>
      <c r="AH121" s="764">
        <f>IF(AG$100=0,0,AI121/(AG$97+AG$98+AG99))</f>
        <v>0</v>
      </c>
      <c r="AI121" s="765">
        <f>'[1]Vehicules usages 2026'!N32</f>
        <v>0</v>
      </c>
      <c r="AJ121" s="744"/>
      <c r="AK121" s="764">
        <f>IF(AJ$100=0,0,AL121/(AJ$97+AJ$98+AJ99))</f>
        <v>0</v>
      </c>
      <c r="AL121" s="765">
        <f>'[1]Vehicules usages 2026'!O32</f>
        <v>0</v>
      </c>
      <c r="AM121" s="744"/>
      <c r="AN121" s="764">
        <f>IF(AM$100=0,0,AO121/(AM$97+AM$98+AM99))</f>
        <v>0</v>
      </c>
      <c r="AO121" s="765">
        <f>'[1]Vehicules usages 2026'!P32</f>
        <v>0</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33"/>
        <v>Véhicules usagés[...]</v>
      </c>
      <c r="B122" s="744" t="s">
        <v>59</v>
      </c>
      <c r="C122" s="794"/>
      <c r="D122" s="764">
        <f>IF(C$100=0,0,E122/(C$97+C$98))</f>
        <v>0</v>
      </c>
      <c r="E122" s="752">
        <f t="shared" si="34"/>
        <v>0</v>
      </c>
      <c r="F122" s="794"/>
      <c r="G122" s="764">
        <f>IF(F$100=0,0,H122/(F$97+F$98))</f>
        <v>0</v>
      </c>
      <c r="H122" s="752"/>
      <c r="I122" s="794"/>
      <c r="J122" s="764">
        <f>IF(I$100=0,0,K122/(I$97+I$98))</f>
        <v>0</v>
      </c>
      <c r="K122" s="752"/>
      <c r="L122" s="794"/>
      <c r="M122" s="764">
        <f>IF(L$100=0,0,N122/(L$97+L$98))</f>
        <v>0</v>
      </c>
      <c r="N122" s="752"/>
      <c r="O122" s="794"/>
      <c r="P122" s="764">
        <f>IF(O$100=0,0,Q122/(O$97+O$98))</f>
        <v>0</v>
      </c>
      <c r="Q122" s="752"/>
      <c r="R122" s="794"/>
      <c r="S122" s="764">
        <f>IF(R$100=0,0,T122/(R$97+R$98))</f>
        <v>0</v>
      </c>
      <c r="T122" s="752"/>
      <c r="U122" s="794"/>
      <c r="V122" s="764">
        <f>IF(U$100=0,0,W122/(U$97+U$98))</f>
        <v>0</v>
      </c>
      <c r="W122" s="752"/>
      <c r="X122" s="794"/>
      <c r="Y122" s="764">
        <f>IF(X$100=0,0,Z122/(X$97+X$98))</f>
        <v>0</v>
      </c>
      <c r="Z122" s="752"/>
      <c r="AA122" s="794"/>
      <c r="AB122" s="764">
        <f>IF(AA$100=0,0,AC122/(AA$97+AA$98))</f>
        <v>0</v>
      </c>
      <c r="AC122" s="752"/>
      <c r="AD122" s="794"/>
      <c r="AE122" s="764">
        <f>IF(AD$100=0,0,AF122/(AD$97+AD$98))</f>
        <v>0</v>
      </c>
      <c r="AF122" s="752"/>
      <c r="AG122" s="794"/>
      <c r="AH122" s="764">
        <f>IF(AG$100=0,0,AI122/(AG$97+AG$98))</f>
        <v>0</v>
      </c>
      <c r="AI122" s="752"/>
      <c r="AJ122" s="794"/>
      <c r="AK122" s="764">
        <f>IF(AJ$100=0,0,AL122/(AJ$97+AJ$98))</f>
        <v>0</v>
      </c>
      <c r="AL122" s="752"/>
      <c r="AM122" s="794"/>
      <c r="AN122" s="764">
        <f>IF(AM$100=0,0,AO122/(AM$97+AM$98))</f>
        <v>0</v>
      </c>
      <c r="AO122" s="752"/>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33"/>
        <v>Véhicules usagés[...]</v>
      </c>
      <c r="B123" s="744" t="s">
        <v>59</v>
      </c>
      <c r="C123" s="794"/>
      <c r="D123" s="764">
        <f>IF(C$100=0,0,E123/(C$97+C$98))</f>
        <v>0</v>
      </c>
      <c r="E123" s="752">
        <f t="shared" si="34"/>
        <v>0</v>
      </c>
      <c r="F123" s="794"/>
      <c r="G123" s="764">
        <f>IF(F$100=0,0,H123/(F$97+F$98))</f>
        <v>0</v>
      </c>
      <c r="H123" s="752"/>
      <c r="I123" s="794"/>
      <c r="J123" s="764">
        <f>IF(I$100=0,0,K123/(I$97+I$98))</f>
        <v>0</v>
      </c>
      <c r="K123" s="752"/>
      <c r="L123" s="794"/>
      <c r="M123" s="764">
        <f>IF(L$100=0,0,N123/(L$97+L$98))</f>
        <v>0</v>
      </c>
      <c r="N123" s="752"/>
      <c r="O123" s="794"/>
      <c r="P123" s="764">
        <f>IF(O$100=0,0,Q123/(O$97+O$98))</f>
        <v>0</v>
      </c>
      <c r="Q123" s="752"/>
      <c r="R123" s="794"/>
      <c r="S123" s="764">
        <f>IF(R$100=0,0,T123/(R$97+R$98))</f>
        <v>0</v>
      </c>
      <c r="T123" s="752"/>
      <c r="U123" s="794"/>
      <c r="V123" s="764">
        <f>IF(U$100=0,0,W123/(U$97+U$98))</f>
        <v>0</v>
      </c>
      <c r="W123" s="752"/>
      <c r="X123" s="794"/>
      <c r="Y123" s="764">
        <f>IF(X$100=0,0,Z123/(X$97+X$98))</f>
        <v>0</v>
      </c>
      <c r="Z123" s="752"/>
      <c r="AA123" s="794"/>
      <c r="AB123" s="764">
        <f>IF(AA$100=0,0,AC123/(AA$97+AA$98))</f>
        <v>0</v>
      </c>
      <c r="AC123" s="752"/>
      <c r="AD123" s="794"/>
      <c r="AE123" s="764">
        <f>IF(AD$100=0,0,AF123/(AD$97+AD$98))</f>
        <v>0</v>
      </c>
      <c r="AF123" s="752"/>
      <c r="AG123" s="794"/>
      <c r="AH123" s="764">
        <f>IF(AG$100=0,0,AI123/(AG$97+AG$98))</f>
        <v>0</v>
      </c>
      <c r="AI123" s="752"/>
      <c r="AJ123" s="794"/>
      <c r="AK123" s="764">
        <f>IF(AJ$100=0,0,AL123/(AJ$97+AJ$98))</f>
        <v>0</v>
      </c>
      <c r="AL123" s="752"/>
      <c r="AM123" s="794"/>
      <c r="AN123" s="764">
        <f>IF(AM$100=0,0,AO123/(AM$97+AM$98))</f>
        <v>0</v>
      </c>
      <c r="AO123" s="752"/>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33"/>
        <v>Véhicules usagés[...]</v>
      </c>
      <c r="B124" s="744" t="s">
        <v>59</v>
      </c>
      <c r="C124" s="794"/>
      <c r="D124" s="764">
        <f>IF(C$100=0,0,E124/(C$97+C$98))</f>
        <v>0</v>
      </c>
      <c r="E124" s="752">
        <f t="shared" si="34"/>
        <v>0</v>
      </c>
      <c r="F124" s="794"/>
      <c r="G124" s="764">
        <f>IF(F$100=0,0,H124/(F$97+F$98))</f>
        <v>0</v>
      </c>
      <c r="H124" s="752"/>
      <c r="I124" s="794"/>
      <c r="J124" s="764">
        <f>IF(I$100=0,0,K124/(I$97+I$98))</f>
        <v>0</v>
      </c>
      <c r="K124" s="752"/>
      <c r="L124" s="794"/>
      <c r="M124" s="764">
        <f>IF(L$100=0,0,N124/(L$97+L$98))</f>
        <v>0</v>
      </c>
      <c r="N124" s="752"/>
      <c r="O124" s="794"/>
      <c r="P124" s="764">
        <f>IF(O$100=0,0,Q124/(O$97+O$98))</f>
        <v>0</v>
      </c>
      <c r="Q124" s="752"/>
      <c r="R124" s="794"/>
      <c r="S124" s="764">
        <f>IF(R$100=0,0,T124/(R$97+R$98))</f>
        <v>0</v>
      </c>
      <c r="T124" s="752"/>
      <c r="U124" s="794"/>
      <c r="V124" s="764">
        <f>IF(U$100=0,0,W124/(U$97+U$98))</f>
        <v>0</v>
      </c>
      <c r="W124" s="752"/>
      <c r="X124" s="794"/>
      <c r="Y124" s="764">
        <f>IF(X$100=0,0,Z124/(X$97+X$98))</f>
        <v>0</v>
      </c>
      <c r="Z124" s="752"/>
      <c r="AA124" s="794"/>
      <c r="AB124" s="764">
        <f>IF(AA$100=0,0,AC124/(AA$97+AA$98))</f>
        <v>0</v>
      </c>
      <c r="AC124" s="752"/>
      <c r="AD124" s="794"/>
      <c r="AE124" s="764">
        <f>IF(AD$100=0,0,AF124/(AD$97+AD$98))</f>
        <v>0</v>
      </c>
      <c r="AF124" s="752"/>
      <c r="AG124" s="794"/>
      <c r="AH124" s="764">
        <f>IF(AG$100=0,0,AI124/(AG$97+AG$98))</f>
        <v>0</v>
      </c>
      <c r="AI124" s="752"/>
      <c r="AJ124" s="794"/>
      <c r="AK124" s="764">
        <f>IF(AJ$100=0,0,AL124/(AJ$97+AJ$98))</f>
        <v>0</v>
      </c>
      <c r="AL124" s="752"/>
      <c r="AM124" s="794"/>
      <c r="AN124" s="764">
        <f>IF(AM$100=0,0,AO124/(AM$97+AM$98))</f>
        <v>0</v>
      </c>
      <c r="AO124" s="752"/>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33"/>
        <v>Véhicules usagésTOTAL VARIABLES</v>
      </c>
      <c r="B125" s="1154" t="s">
        <v>118</v>
      </c>
      <c r="C125" s="1155" t="s">
        <v>119</v>
      </c>
      <c r="D125" s="1156">
        <f>IFERROR(E125/E$111,0)</f>
        <v>0.37695799557848192</v>
      </c>
      <c r="E125" s="1157">
        <f>SUM(E115:E124)</f>
        <v>767298</v>
      </c>
      <c r="F125" s="1155" t="s">
        <v>119</v>
      </c>
      <c r="G125" s="1156">
        <f>IFERROR(H125/H$111,0)</f>
        <v>0.4365152991923642</v>
      </c>
      <c r="H125" s="1157">
        <f>SUM(H115:H124)</f>
        <v>52381.835903083702</v>
      </c>
      <c r="I125" s="1155" t="s">
        <v>119</v>
      </c>
      <c r="J125" s="1156">
        <f>IFERROR(K125/K$111,0)</f>
        <v>0.43117451358296627</v>
      </c>
      <c r="K125" s="1157">
        <f>SUM(K115:K124)</f>
        <v>51740.941629955953</v>
      </c>
      <c r="L125" s="1155" t="s">
        <v>119</v>
      </c>
      <c r="M125" s="1156">
        <f>IFERROR(N125/N$111,0)</f>
        <v>0.38974460394139632</v>
      </c>
      <c r="N125" s="1157">
        <f>SUM(N115:N124)</f>
        <v>68595.050293685752</v>
      </c>
      <c r="O125" s="1155" t="s">
        <v>119</v>
      </c>
      <c r="P125" s="1156">
        <f>IFERROR(Q125/Q$111,0)</f>
        <v>0.37882262128316269</v>
      </c>
      <c r="Q125" s="1157">
        <f>SUM(Q115:Q124)</f>
        <v>70650.41886930984</v>
      </c>
      <c r="R125" s="1155" t="s">
        <v>119</v>
      </c>
      <c r="S125" s="1156">
        <f>IFERROR(T125/T$111,0)</f>
        <v>0.37386526512051949</v>
      </c>
      <c r="T125" s="1157">
        <f>SUM(T115:T124)</f>
        <v>73464.524596182076</v>
      </c>
      <c r="U125" s="1155" t="s">
        <v>119</v>
      </c>
      <c r="V125" s="1156">
        <f>IFERROR(W125/W$111,0)</f>
        <v>0.35622699276168435</v>
      </c>
      <c r="W125" s="1157">
        <f>SUM(W115:W124)</f>
        <v>70532.944566813501</v>
      </c>
      <c r="X125" s="1155" t="s">
        <v>119</v>
      </c>
      <c r="Y125" s="1156">
        <f>IFERROR(Z125/Z$111,0)</f>
        <v>0.35783349756549959</v>
      </c>
      <c r="Z125" s="1157">
        <f>SUM(Z115:Z124)</f>
        <v>67988.364537444926</v>
      </c>
      <c r="AA125" s="1155" t="s">
        <v>119</v>
      </c>
      <c r="AB125" s="1156">
        <f>IFERROR(AC125/AC$111,0)</f>
        <v>0.35552968634045445</v>
      </c>
      <c r="AC125" s="1157">
        <f>SUM(AC115:AC124)</f>
        <v>66128.521659324528</v>
      </c>
      <c r="AD125" s="1155" t="s">
        <v>119</v>
      </c>
      <c r="AE125" s="1156">
        <f>IFERROR(AF125/AF$111,0)</f>
        <v>0.36502643374627819</v>
      </c>
      <c r="AF125" s="1157">
        <f>SUM(AF115:AF124)</f>
        <v>66069.784508076351</v>
      </c>
      <c r="AG125" s="1155" t="s">
        <v>119</v>
      </c>
      <c r="AH125" s="1156">
        <f>IFERROR(AI125/AI$111,0)</f>
        <v>0.35818755276540748</v>
      </c>
      <c r="AI125" s="1157">
        <f>SUM(AI115:AI124)</f>
        <v>65727.415932452277</v>
      </c>
      <c r="AJ125" s="1155" t="s">
        <v>119</v>
      </c>
      <c r="AK125" s="1156">
        <f>IFERROR(AL125/AL$111,0)</f>
        <v>0.37249971637824164</v>
      </c>
      <c r="AL125" s="1157">
        <f>SUM(AL115:AL124)</f>
        <v>59786.204478707783</v>
      </c>
      <c r="AM125" s="1155" t="s">
        <v>119</v>
      </c>
      <c r="AN125" s="1156">
        <f>IFERROR(AO125/AO$111,0)</f>
        <v>0.39441449472700574</v>
      </c>
      <c r="AO125" s="1157">
        <f>SUM(AO115:AO124)</f>
        <v>54231.993024963289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33"/>
        <v>Véhicules usagésSalaires cadres</v>
      </c>
      <c r="B126" s="1158" t="s">
        <v>120</v>
      </c>
      <c r="C126" s="744"/>
      <c r="D126" s="751"/>
      <c r="E126" s="752">
        <f t="shared" ref="E126:E137" si="35">+SUM(H126,K126,N126,Q126,T126,W126,Z126,AC126,AF126,AI126,AL126,AO126)</f>
        <v>141788.40833333333</v>
      </c>
      <c r="F126" s="744"/>
      <c r="G126" s="751"/>
      <c r="H126" s="765">
        <f>[1]Salaire!$E$40</f>
        <v>12515.972435897434</v>
      </c>
      <c r="I126" s="744"/>
      <c r="J126" s="751"/>
      <c r="K126" s="765">
        <f>[1]Salaire!$F$40</f>
        <v>11227.564102564102</v>
      </c>
      <c r="L126" s="744"/>
      <c r="M126" s="751"/>
      <c r="N126" s="765">
        <f>[1]Salaire!$G$40</f>
        <v>11227.564102564102</v>
      </c>
      <c r="O126" s="744"/>
      <c r="P126" s="751"/>
      <c r="Q126" s="765">
        <f>[1]Salaire!$H$40</f>
        <v>11227.564102564102</v>
      </c>
      <c r="R126" s="744"/>
      <c r="S126" s="751"/>
      <c r="T126" s="765">
        <f>[1]Salaire!$I$40</f>
        <v>12669.871794871795</v>
      </c>
      <c r="U126" s="744"/>
      <c r="V126" s="751"/>
      <c r="W126" s="765">
        <f>[1]Salaire!$J$40</f>
        <v>11227.564102564102</v>
      </c>
      <c r="X126" s="744"/>
      <c r="Y126" s="751"/>
      <c r="Z126" s="765">
        <f>[1]Salaire!$K$40</f>
        <v>12669.871794871795</v>
      </c>
      <c r="AA126" s="744"/>
      <c r="AB126" s="751"/>
      <c r="AC126" s="765">
        <f>[1]Salaire!$L$40</f>
        <v>11227.564102564102</v>
      </c>
      <c r="AD126" s="744"/>
      <c r="AE126" s="751"/>
      <c r="AF126" s="765">
        <f>[1]Salaire!$M$40</f>
        <v>11227.564102564102</v>
      </c>
      <c r="AG126" s="744"/>
      <c r="AH126" s="751"/>
      <c r="AI126" s="765">
        <f>[1]Salaire!$N$40</f>
        <v>12669.871794871795</v>
      </c>
      <c r="AJ126" s="744"/>
      <c r="AK126" s="751"/>
      <c r="AL126" s="765">
        <f>[1]Salaire!$O$40</f>
        <v>11227.564102564102</v>
      </c>
      <c r="AM126" s="744"/>
      <c r="AN126" s="751"/>
      <c r="AO126" s="765">
        <f>[1]Salaire!$P$40</f>
        <v>12669.871794871795</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33"/>
        <v>Véhicules usagésSalaires commis</v>
      </c>
      <c r="B127" s="1159" t="s">
        <v>121</v>
      </c>
      <c r="C127" s="744"/>
      <c r="D127" s="751"/>
      <c r="E127" s="752">
        <f t="shared" si="35"/>
        <v>74021.07941845333</v>
      </c>
      <c r="F127" s="744"/>
      <c r="G127" s="751"/>
      <c r="H127" s="765">
        <f>[1]Salaire!$E$102</f>
        <v>5038.8964937271794</v>
      </c>
      <c r="I127" s="744"/>
      <c r="J127" s="751"/>
      <c r="K127" s="765">
        <f>[1]Salaire!$F$102</f>
        <v>5795.0548270605132</v>
      </c>
      <c r="L127" s="744"/>
      <c r="M127" s="751"/>
      <c r="N127" s="765">
        <f>[1]Salaire!$G$102</f>
        <v>5795.0548270605132</v>
      </c>
      <c r="O127" s="744"/>
      <c r="P127" s="751"/>
      <c r="Q127" s="765">
        <f>[1]Salaire!$H$102</f>
        <v>5795.0548270605132</v>
      </c>
      <c r="R127" s="744"/>
      <c r="S127" s="751"/>
      <c r="T127" s="765">
        <f>[1]Salaire!$I$102</f>
        <v>7104.1997838256402</v>
      </c>
      <c r="U127" s="744"/>
      <c r="V127" s="751"/>
      <c r="W127" s="765">
        <f>[1]Salaire!$J$102</f>
        <v>5795.0548270605132</v>
      </c>
      <c r="X127" s="744"/>
      <c r="Y127" s="751"/>
      <c r="Z127" s="765">
        <f>[1]Salaire!$K$102</f>
        <v>7104.1997838256402</v>
      </c>
      <c r="AA127" s="744"/>
      <c r="AB127" s="751"/>
      <c r="AC127" s="765">
        <f>[1]Salaire!$L$102</f>
        <v>5795.0548270605132</v>
      </c>
      <c r="AD127" s="744"/>
      <c r="AE127" s="751"/>
      <c r="AF127" s="765">
        <f>[1]Salaire!$M$102</f>
        <v>5795.0548270605132</v>
      </c>
      <c r="AG127" s="744"/>
      <c r="AH127" s="751"/>
      <c r="AI127" s="765">
        <f>[1]Salaire!$N$102</f>
        <v>7104.1997838256402</v>
      </c>
      <c r="AJ127" s="744"/>
      <c r="AK127" s="751"/>
      <c r="AL127" s="765">
        <f>[1]Salaire!$O$102</f>
        <v>5795.0548270605132</v>
      </c>
      <c r="AM127" s="744"/>
      <c r="AN127" s="751"/>
      <c r="AO127" s="765">
        <f>[1]Salaire!$P$102</f>
        <v>7104.1997838256402</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33"/>
        <v>Véhicules usagésSalaires autres</v>
      </c>
      <c r="B128" s="1158" t="s">
        <v>122</v>
      </c>
      <c r="C128" s="1142"/>
      <c r="D128" s="1160"/>
      <c r="E128" s="1161">
        <f t="shared" si="35"/>
        <v>3623.6333333333332</v>
      </c>
      <c r="F128" s="1142"/>
      <c r="G128" s="1160"/>
      <c r="H128" s="1162">
        <f>[1]Salaire!$E$167</f>
        <v>3623.6333333333332</v>
      </c>
      <c r="I128" s="1142"/>
      <c r="J128" s="1160"/>
      <c r="K128" s="1162">
        <f>[1]Salaire!$F$167</f>
        <v>0</v>
      </c>
      <c r="L128" s="1142"/>
      <c r="M128" s="1160"/>
      <c r="N128" s="1162">
        <f>[1]Salaire!$G$167</f>
        <v>0</v>
      </c>
      <c r="O128" s="1142"/>
      <c r="P128" s="1160"/>
      <c r="Q128" s="1162">
        <f>[1]Salaire!$H$167</f>
        <v>0</v>
      </c>
      <c r="R128" s="1142"/>
      <c r="S128" s="1160"/>
      <c r="T128" s="1162">
        <f>[1]Salaire!$I$167</f>
        <v>0</v>
      </c>
      <c r="U128" s="1142"/>
      <c r="V128" s="1160"/>
      <c r="W128" s="1162">
        <f>[1]Salaire!$J$167</f>
        <v>0</v>
      </c>
      <c r="X128" s="1142"/>
      <c r="Y128" s="1160"/>
      <c r="Z128" s="1162">
        <f>[1]Salaire!$K$167</f>
        <v>0</v>
      </c>
      <c r="AA128" s="1142"/>
      <c r="AB128" s="1160"/>
      <c r="AC128" s="1162">
        <f>[1]Salaire!$L$167</f>
        <v>0</v>
      </c>
      <c r="AD128" s="1142"/>
      <c r="AE128" s="1160"/>
      <c r="AF128" s="1162">
        <f>[1]Salaire!$M$167</f>
        <v>0</v>
      </c>
      <c r="AG128" s="1142"/>
      <c r="AH128" s="1160"/>
      <c r="AI128" s="1162">
        <f>[1]Salaire!$N$167</f>
        <v>0</v>
      </c>
      <c r="AJ128" s="1142"/>
      <c r="AK128" s="1160"/>
      <c r="AL128" s="1162">
        <f>[1]Salaire!$O$167</f>
        <v>0</v>
      </c>
      <c r="AM128" s="1142"/>
      <c r="AN128" s="1160"/>
      <c r="AO128" s="1162">
        <f>[1]Salaire!$P$167</f>
        <v>0</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33"/>
        <v>Véhicules usagésSalaires spécialistes</v>
      </c>
      <c r="B129" s="1158" t="s">
        <v>123</v>
      </c>
      <c r="C129" s="744"/>
      <c r="D129" s="751"/>
      <c r="E129" s="752">
        <f t="shared" si="35"/>
        <v>0</v>
      </c>
      <c r="F129" s="744"/>
      <c r="G129" s="751"/>
      <c r="H129" s="765"/>
      <c r="I129" s="744"/>
      <c r="J129" s="751"/>
      <c r="K129" s="765"/>
      <c r="L129" s="744"/>
      <c r="M129" s="751"/>
      <c r="N129" s="765"/>
      <c r="O129" s="744"/>
      <c r="P129" s="751"/>
      <c r="Q129" s="765"/>
      <c r="R129" s="744"/>
      <c r="S129" s="751"/>
      <c r="T129" s="765"/>
      <c r="U129" s="744"/>
      <c r="V129" s="751"/>
      <c r="W129" s="765"/>
      <c r="X129" s="744"/>
      <c r="Y129" s="751"/>
      <c r="Z129" s="765"/>
      <c r="AA129" s="744"/>
      <c r="AB129" s="751"/>
      <c r="AC129" s="765"/>
      <c r="AD129" s="744"/>
      <c r="AE129" s="751"/>
      <c r="AF129" s="765"/>
      <c r="AG129" s="744"/>
      <c r="AH129" s="751"/>
      <c r="AI129" s="765"/>
      <c r="AJ129" s="744"/>
      <c r="AK129" s="751"/>
      <c r="AL129" s="765"/>
      <c r="AM129" s="744"/>
      <c r="AN129" s="751"/>
      <c r="AO129" s="765"/>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33"/>
        <v>Véhicules usagés[...]</v>
      </c>
      <c r="B130" s="744" t="s">
        <v>59</v>
      </c>
      <c r="C130" s="744"/>
      <c r="D130" s="751"/>
      <c r="E130" s="752">
        <f t="shared" si="35"/>
        <v>0</v>
      </c>
      <c r="F130" s="744"/>
      <c r="G130" s="751"/>
      <c r="H130" s="765"/>
      <c r="I130" s="744"/>
      <c r="J130" s="751"/>
      <c r="K130" s="765"/>
      <c r="L130" s="744"/>
      <c r="M130" s="751"/>
      <c r="N130" s="765"/>
      <c r="O130" s="744"/>
      <c r="P130" s="751"/>
      <c r="Q130" s="765"/>
      <c r="R130" s="744"/>
      <c r="S130" s="751"/>
      <c r="T130" s="765"/>
      <c r="U130" s="744"/>
      <c r="V130" s="751"/>
      <c r="W130" s="765"/>
      <c r="X130" s="744"/>
      <c r="Y130" s="751"/>
      <c r="Z130" s="765"/>
      <c r="AA130" s="744"/>
      <c r="AB130" s="751"/>
      <c r="AC130" s="765"/>
      <c r="AD130" s="744"/>
      <c r="AE130" s="751"/>
      <c r="AF130" s="765"/>
      <c r="AG130" s="744"/>
      <c r="AH130" s="751"/>
      <c r="AI130" s="765"/>
      <c r="AJ130" s="744"/>
      <c r="AK130" s="751"/>
      <c r="AL130" s="765"/>
      <c r="AM130" s="744"/>
      <c r="AN130" s="751"/>
      <c r="AO130" s="765"/>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33"/>
        <v>Véhicules usagés[...]</v>
      </c>
      <c r="B131" s="744" t="s">
        <v>59</v>
      </c>
      <c r="C131" s="744"/>
      <c r="D131" s="751"/>
      <c r="E131" s="752">
        <f t="shared" si="35"/>
        <v>0</v>
      </c>
      <c r="F131" s="744"/>
      <c r="G131" s="751"/>
      <c r="H131" s="765"/>
      <c r="I131" s="744"/>
      <c r="J131" s="751"/>
      <c r="K131" s="765"/>
      <c r="L131" s="744"/>
      <c r="M131" s="751"/>
      <c r="N131" s="765"/>
      <c r="O131" s="744"/>
      <c r="P131" s="751"/>
      <c r="Q131" s="765"/>
      <c r="R131" s="744"/>
      <c r="S131" s="751"/>
      <c r="T131" s="765"/>
      <c r="U131" s="744"/>
      <c r="V131" s="751"/>
      <c r="W131" s="765"/>
      <c r="X131" s="744"/>
      <c r="Y131" s="751"/>
      <c r="Z131" s="765"/>
      <c r="AA131" s="744"/>
      <c r="AB131" s="751"/>
      <c r="AC131" s="765"/>
      <c r="AD131" s="744"/>
      <c r="AE131" s="751"/>
      <c r="AF131" s="765"/>
      <c r="AG131" s="744"/>
      <c r="AH131" s="751"/>
      <c r="AI131" s="765"/>
      <c r="AJ131" s="744"/>
      <c r="AK131" s="751"/>
      <c r="AL131" s="765"/>
      <c r="AM131" s="744"/>
      <c r="AN131" s="751"/>
      <c r="AO131" s="765"/>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33"/>
        <v>Véhicules usagés[...]</v>
      </c>
      <c r="B132" s="744" t="s">
        <v>59</v>
      </c>
      <c r="C132" s="744"/>
      <c r="D132" s="751"/>
      <c r="E132" s="752">
        <f t="shared" si="35"/>
        <v>0</v>
      </c>
      <c r="F132" s="744"/>
      <c r="G132" s="751"/>
      <c r="H132" s="765"/>
      <c r="I132" s="744"/>
      <c r="J132" s="751"/>
      <c r="K132" s="765"/>
      <c r="L132" s="744"/>
      <c r="M132" s="751"/>
      <c r="N132" s="765"/>
      <c r="O132" s="744"/>
      <c r="P132" s="751"/>
      <c r="Q132" s="765"/>
      <c r="R132" s="744"/>
      <c r="S132" s="751"/>
      <c r="T132" s="765"/>
      <c r="U132" s="744"/>
      <c r="V132" s="751"/>
      <c r="W132" s="765"/>
      <c r="X132" s="744"/>
      <c r="Y132" s="751"/>
      <c r="Z132" s="765"/>
      <c r="AA132" s="744"/>
      <c r="AB132" s="751"/>
      <c r="AC132" s="765"/>
      <c r="AD132" s="744"/>
      <c r="AE132" s="751"/>
      <c r="AF132" s="765"/>
      <c r="AG132" s="744"/>
      <c r="AH132" s="751"/>
      <c r="AI132" s="765"/>
      <c r="AJ132" s="744"/>
      <c r="AK132" s="751"/>
      <c r="AL132" s="765"/>
      <c r="AM132" s="744"/>
      <c r="AN132" s="751"/>
      <c r="AO132" s="765"/>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33"/>
        <v>Véhicules usagésSalaires en absences</v>
      </c>
      <c r="B133" s="1159" t="s">
        <v>124</v>
      </c>
      <c r="C133" s="744"/>
      <c r="D133" s="751"/>
      <c r="E133" s="752">
        <f t="shared" si="35"/>
        <v>91205.234734661135</v>
      </c>
      <c r="F133" s="744"/>
      <c r="G133" s="751"/>
      <c r="H133" s="765">
        <f>'[1]DAS-VAC'!$F$44</f>
        <v>7189.0136792688036</v>
      </c>
      <c r="I133" s="744"/>
      <c r="J133" s="751"/>
      <c r="K133" s="765">
        <f>'[1]DAS-VAC'!$G$44</f>
        <v>6702.5659209354708</v>
      </c>
      <c r="L133" s="744"/>
      <c r="M133" s="751"/>
      <c r="N133" s="765">
        <f>'[1]DAS-VAC'!$H$44</f>
        <v>7341.2871709354713</v>
      </c>
      <c r="O133" s="744"/>
      <c r="P133" s="751"/>
      <c r="Q133" s="765">
        <f>'[1]DAS-VAC'!$I$44</f>
        <v>9032.3236709354715</v>
      </c>
      <c r="R133" s="744"/>
      <c r="S133" s="751"/>
      <c r="T133" s="765">
        <f>'[1]DAS-VAC'!$J$44</f>
        <v>9123.2126522110048</v>
      </c>
      <c r="U133" s="744"/>
      <c r="V133" s="751"/>
      <c r="W133" s="765">
        <f>'[1]DAS-VAC'!$K$44</f>
        <v>7570.2166709354715</v>
      </c>
      <c r="X133" s="744"/>
      <c r="Y133" s="751"/>
      <c r="Z133" s="765">
        <f>'[1]DAS-VAC'!$L$44</f>
        <v>7446.9311522110047</v>
      </c>
      <c r="AA133" s="744"/>
      <c r="AB133" s="751"/>
      <c r="AC133" s="765">
        <f>'[1]DAS-VAC'!$M$44</f>
        <v>7570.2166709354715</v>
      </c>
      <c r="AD133" s="744"/>
      <c r="AE133" s="751"/>
      <c r="AF133" s="765">
        <f>'[1]DAS-VAC'!$N$44</f>
        <v>7326.5321709354712</v>
      </c>
      <c r="AG133" s="744"/>
      <c r="AH133" s="751"/>
      <c r="AI133" s="765">
        <f>'[1]DAS-VAC'!$O$44</f>
        <v>8041.3874022110049</v>
      </c>
      <c r="AJ133" s="744"/>
      <c r="AK133" s="751"/>
      <c r="AL133" s="765">
        <f>'[1]DAS-VAC'!$P$44</f>
        <v>7448.3744209354718</v>
      </c>
      <c r="AM133" s="744"/>
      <c r="AN133" s="751"/>
      <c r="AO133" s="765">
        <f>'[1]DAS-VAC'!$Q$44</f>
        <v>6413.1731522110049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33"/>
        <v>Véhicules usagésDéduction à la source</v>
      </c>
      <c r="B134" s="1158" t="s">
        <v>125</v>
      </c>
      <c r="C134" s="1142"/>
      <c r="D134" s="1160"/>
      <c r="E134" s="1161">
        <f t="shared" si="35"/>
        <v>110892.70831174657</v>
      </c>
      <c r="F134" s="1142"/>
      <c r="G134" s="1160"/>
      <c r="H134" s="1162">
        <f>'[1]DAS-VAC'!$F$52</f>
        <v>8740.8272047497358</v>
      </c>
      <c r="I134" s="1142"/>
      <c r="J134" s="1160"/>
      <c r="K134" s="1162">
        <f>'[1]DAS-VAC'!$G$52</f>
        <v>8149.3753047497357</v>
      </c>
      <c r="L134" s="1142"/>
      <c r="M134" s="1160"/>
      <c r="N134" s="1162">
        <f>'[1]DAS-VAC'!$H$52</f>
        <v>8925.9703047497369</v>
      </c>
      <c r="O134" s="1142"/>
      <c r="P134" s="1160"/>
      <c r="Q134" s="1162">
        <f>'[1]DAS-VAC'!$I$52</f>
        <v>10982.032304749737</v>
      </c>
      <c r="R134" s="1142"/>
      <c r="S134" s="1160"/>
      <c r="T134" s="1162">
        <f>'[1]DAS-VAC'!$J$52</f>
        <v>11092.540493437169</v>
      </c>
      <c r="U134" s="1142"/>
      <c r="V134" s="1160"/>
      <c r="W134" s="1162">
        <f>'[1]DAS-VAC'!$K$52</f>
        <v>9204.3163047497364</v>
      </c>
      <c r="X134" s="1142"/>
      <c r="Y134" s="1160"/>
      <c r="Z134" s="1162">
        <f>'[1]DAS-VAC'!$L$52</f>
        <v>9054.4184934371697</v>
      </c>
      <c r="AA134" s="1142"/>
      <c r="AB134" s="1160"/>
      <c r="AC134" s="1162">
        <f>'[1]DAS-VAC'!$M$52</f>
        <v>9204.3163047497364</v>
      </c>
      <c r="AD134" s="1142"/>
      <c r="AE134" s="1160"/>
      <c r="AF134" s="1162">
        <f>'[1]DAS-VAC'!$N$52</f>
        <v>8908.0303047497364</v>
      </c>
      <c r="AG134" s="1142"/>
      <c r="AH134" s="1160"/>
      <c r="AI134" s="1162">
        <f>'[1]DAS-VAC'!$O$52</f>
        <v>9777.1934934371693</v>
      </c>
      <c r="AJ134" s="1142"/>
      <c r="AK134" s="1160"/>
      <c r="AL134" s="1162">
        <f>'[1]DAS-VAC'!$P$52</f>
        <v>9056.1733047497364</v>
      </c>
      <c r="AM134" s="1142"/>
      <c r="AN134" s="1160"/>
      <c r="AO134" s="1162">
        <f>'[1]DAS-VAC'!$Q$52</f>
        <v>7797.5144934371692</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33"/>
        <v>Véhicules usagésBénéfices marginaux</v>
      </c>
      <c r="B135" s="1163" t="s">
        <v>126</v>
      </c>
      <c r="C135" s="744"/>
      <c r="D135" s="751"/>
      <c r="E135" s="752">
        <f t="shared" si="35"/>
        <v>57133.851891052029</v>
      </c>
      <c r="F135" s="744"/>
      <c r="G135" s="751"/>
      <c r="H135" s="765">
        <f>'[1]DAS-VAC'!$F$60</f>
        <v>4503.4261902732333</v>
      </c>
      <c r="I135" s="744"/>
      <c r="J135" s="751"/>
      <c r="K135" s="765">
        <f>'[1]DAS-VAC'!$G$60</f>
        <v>4198.6998852732331</v>
      </c>
      <c r="L135" s="744"/>
      <c r="M135" s="751"/>
      <c r="N135" s="765">
        <f>'[1]DAS-VAC'!$H$60</f>
        <v>4598.815135273233</v>
      </c>
      <c r="O135" s="744"/>
      <c r="P135" s="751"/>
      <c r="Q135" s="765">
        <f>'[1]DAS-VAC'!$I$60</f>
        <v>5658.1340352732332</v>
      </c>
      <c r="R135" s="744"/>
      <c r="S135" s="751"/>
      <c r="T135" s="765">
        <f>'[1]DAS-VAC'!$J$60</f>
        <v>5715.0697759665409</v>
      </c>
      <c r="U135" s="744"/>
      <c r="V135" s="751"/>
      <c r="W135" s="765">
        <f>'[1]DAS-VAC'!$K$60</f>
        <v>4742.2238352732338</v>
      </c>
      <c r="X135" s="744"/>
      <c r="Y135" s="751"/>
      <c r="Z135" s="765">
        <f>'[1]DAS-VAC'!$L$60</f>
        <v>4664.9938759665411</v>
      </c>
      <c r="AA135" s="744"/>
      <c r="AB135" s="751"/>
      <c r="AC135" s="765">
        <f>'[1]DAS-VAC'!$M$60</f>
        <v>4742.2238352732338</v>
      </c>
      <c r="AD135" s="744"/>
      <c r="AE135" s="751"/>
      <c r="AF135" s="765">
        <f>'[1]DAS-VAC'!$N$60</f>
        <v>4589.5721352732326</v>
      </c>
      <c r="AG135" s="744"/>
      <c r="AH135" s="751"/>
      <c r="AI135" s="765">
        <f>'[1]DAS-VAC'!$O$60</f>
        <v>5037.3801259665406</v>
      </c>
      <c r="AJ135" s="744"/>
      <c r="AK135" s="751"/>
      <c r="AL135" s="765">
        <f>'[1]DAS-VAC'!$P$60</f>
        <v>4665.8979852732336</v>
      </c>
      <c r="AM135" s="744"/>
      <c r="AN135" s="751"/>
      <c r="AO135" s="765">
        <f>'[1]DAS-VAC'!$Q$60</f>
        <v>4017.4150759665413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33"/>
        <v>Véhicules usagésCsst</v>
      </c>
      <c r="B136" s="1158" t="s">
        <v>127</v>
      </c>
      <c r="C136" s="744"/>
      <c r="D136" s="751"/>
      <c r="E136" s="752">
        <f t="shared" si="35"/>
        <v>24910.680852638725</v>
      </c>
      <c r="F136" s="744"/>
      <c r="G136" s="751"/>
      <c r="H136" s="765">
        <f>'[1]DAS-VAC'!$F$68</f>
        <v>1963.5191546901578</v>
      </c>
      <c r="I136" s="744"/>
      <c r="J136" s="751"/>
      <c r="K136" s="765">
        <f>'[1]DAS-VAC'!$G$68</f>
        <v>1830.6567713568245</v>
      </c>
      <c r="L136" s="744"/>
      <c r="M136" s="751"/>
      <c r="N136" s="765">
        <f>'[1]DAS-VAC'!$H$68</f>
        <v>2005.1092713568246</v>
      </c>
      <c r="O136" s="744"/>
      <c r="P136" s="751"/>
      <c r="Q136" s="765">
        <f>'[1]DAS-VAC'!$I$68</f>
        <v>2466.9782713568247</v>
      </c>
      <c r="R136" s="744"/>
      <c r="S136" s="751"/>
      <c r="T136" s="765">
        <f>'[1]DAS-VAC'!$J$68</f>
        <v>2491.8025746126973</v>
      </c>
      <c r="U136" s="744"/>
      <c r="V136" s="751"/>
      <c r="W136" s="765">
        <f>'[1]DAS-VAC'!$K$68</f>
        <v>2067.6362713568246</v>
      </c>
      <c r="X136" s="744"/>
      <c r="Y136" s="751"/>
      <c r="Z136" s="765">
        <f>'[1]DAS-VAC'!$L$68</f>
        <v>2033.9635746126974</v>
      </c>
      <c r="AA136" s="744"/>
      <c r="AB136" s="751"/>
      <c r="AC136" s="765">
        <f>'[1]DAS-VAC'!$M$68</f>
        <v>2067.6362713568246</v>
      </c>
      <c r="AD136" s="744"/>
      <c r="AE136" s="751"/>
      <c r="AF136" s="765">
        <f>'[1]DAS-VAC'!$N$68</f>
        <v>2001.0792713568246</v>
      </c>
      <c r="AG136" s="744"/>
      <c r="AH136" s="751"/>
      <c r="AI136" s="765">
        <f>'[1]DAS-VAC'!$O$68</f>
        <v>2196.3260746126975</v>
      </c>
      <c r="AJ136" s="744"/>
      <c r="AK136" s="751"/>
      <c r="AL136" s="765">
        <f>'[1]DAS-VAC'!$P$68</f>
        <v>2034.3577713568247</v>
      </c>
      <c r="AM136" s="744"/>
      <c r="AN136" s="751"/>
      <c r="AO136" s="765">
        <f>'[1]DAS-VAC'!$Q$68</f>
        <v>1751.6155746126974</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33"/>
        <v>Véhicules usagés[...]</v>
      </c>
      <c r="B137" s="744" t="s">
        <v>59</v>
      </c>
      <c r="C137" s="770"/>
      <c r="D137" s="771"/>
      <c r="E137" s="768">
        <f t="shared" si="35"/>
        <v>0</v>
      </c>
      <c r="F137" s="770"/>
      <c r="G137" s="771"/>
      <c r="H137" s="768"/>
      <c r="I137" s="770"/>
      <c r="J137" s="771"/>
      <c r="K137" s="768"/>
      <c r="L137" s="770"/>
      <c r="M137" s="771"/>
      <c r="N137" s="768"/>
      <c r="O137" s="770"/>
      <c r="P137" s="771"/>
      <c r="Q137" s="768"/>
      <c r="R137" s="770"/>
      <c r="S137" s="771"/>
      <c r="T137" s="768"/>
      <c r="U137" s="770"/>
      <c r="V137" s="771"/>
      <c r="W137" s="768"/>
      <c r="X137" s="770"/>
      <c r="Y137" s="771"/>
      <c r="Z137" s="768"/>
      <c r="AA137" s="770"/>
      <c r="AB137" s="771"/>
      <c r="AC137" s="768"/>
      <c r="AD137" s="770"/>
      <c r="AE137" s="771"/>
      <c r="AF137" s="768"/>
      <c r="AG137" s="770"/>
      <c r="AH137" s="771"/>
      <c r="AI137" s="768"/>
      <c r="AJ137" s="770"/>
      <c r="AK137" s="771"/>
      <c r="AL137" s="768"/>
      <c r="AM137" s="770"/>
      <c r="AN137" s="771"/>
      <c r="AO137" s="768"/>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33"/>
        <v>Véhicules usagésTOTAL PERSONNEL</v>
      </c>
      <c r="B138" s="1154" t="s">
        <v>128</v>
      </c>
      <c r="C138" s="1155" t="s">
        <v>119</v>
      </c>
      <c r="D138" s="1156">
        <f>IFERROR(E138/E$111,0)</f>
        <v>0.24739651037839275</v>
      </c>
      <c r="E138" s="1157">
        <f>SUM(E126:E136)</f>
        <v>503575.59687521844</v>
      </c>
      <c r="F138" s="1155" t="s">
        <v>119</v>
      </c>
      <c r="G138" s="1156">
        <f>IFERROR(H138/H$111,0)</f>
        <v>0.36312740409949895</v>
      </c>
      <c r="H138" s="1157">
        <f>SUM(H126:H136)</f>
        <v>43575.288491939871</v>
      </c>
      <c r="I138" s="1155" t="s">
        <v>119</v>
      </c>
      <c r="J138" s="1156">
        <f>IFERROR(K138/K$111,0)</f>
        <v>0.31586597343283235</v>
      </c>
      <c r="K138" s="1157">
        <f>SUM(K126:K136)</f>
        <v>37903.916811939882</v>
      </c>
      <c r="L138" s="1155" t="s">
        <v>119</v>
      </c>
      <c r="M138" s="1156">
        <f>IFERROR(N138/N$111,0)</f>
        <v>0.22666932279511295</v>
      </c>
      <c r="N138" s="1157">
        <f>SUM(N126:N136)</f>
        <v>39893.80081193988</v>
      </c>
      <c r="O138" s="1155" t="s">
        <v>119</v>
      </c>
      <c r="P138" s="1156">
        <f>IFERROR(Q138/Q$111,0)</f>
        <v>0.24215596360289482</v>
      </c>
      <c r="Q138" s="1157">
        <f>SUM(Q126:Q136)</f>
        <v>45162.087211939885</v>
      </c>
      <c r="R138" s="1155" t="s">
        <v>119</v>
      </c>
      <c r="S138" s="1156">
        <f>IFERROR(T138/T$111,0)</f>
        <v>0.24527581208613156</v>
      </c>
      <c r="T138" s="1157">
        <f>SUM(T126:T136)</f>
        <v>48196.69707492485</v>
      </c>
      <c r="U138" s="1155" t="s">
        <v>119</v>
      </c>
      <c r="V138" s="1156">
        <f>IFERROR(W138/W$111,0)</f>
        <v>0.20508591925222161</v>
      </c>
      <c r="W138" s="1157">
        <f>SUM(W126:W136)</f>
        <v>40607.012011939878</v>
      </c>
      <c r="X138" s="1155" t="s">
        <v>119</v>
      </c>
      <c r="Y138" s="1156">
        <f>IFERROR(Z138/Z$111,0)</f>
        <v>0.22618094039434131</v>
      </c>
      <c r="Z138" s="1157">
        <f>SUM(Z126:Z136)</f>
        <v>42974.378674924847</v>
      </c>
      <c r="AA138" s="1155" t="s">
        <v>119</v>
      </c>
      <c r="AB138" s="1156">
        <f>IFERROR(AC138/AC$111,0)</f>
        <v>0.21831726888139719</v>
      </c>
      <c r="AC138" s="1157">
        <f>SUM(AC126:AC136)</f>
        <v>40607.012011939878</v>
      </c>
      <c r="AD138" s="1155" t="s">
        <v>119</v>
      </c>
      <c r="AE138" s="1156">
        <f>IFERROR(AF138/AF$111,0)</f>
        <v>0.22015377244165679</v>
      </c>
      <c r="AF138" s="1157">
        <f>SUM(AF126:AF136)</f>
        <v>39847.832811939879</v>
      </c>
      <c r="AG138" s="1155" t="s">
        <v>119</v>
      </c>
      <c r="AH138" s="1156">
        <f>IFERROR(AI138/AI$111,0)</f>
        <v>0.24428533337833705</v>
      </c>
      <c r="AI138" s="1157">
        <f>SUM(AI126:AI136)</f>
        <v>44826.35867492485</v>
      </c>
      <c r="AJ138" s="1155" t="s">
        <v>119</v>
      </c>
      <c r="AK138" s="1156">
        <f>IFERROR(AL138/AL$111,0)</f>
        <v>0.25063814586878425</v>
      </c>
      <c r="AL138" s="1157">
        <f>SUM(AL126:AL136)</f>
        <v>40227.422411939871</v>
      </c>
      <c r="AM138" s="1155" t="s">
        <v>119</v>
      </c>
      <c r="AN138" s="1156">
        <f>IFERROR(AO138/AO$111,0)</f>
        <v>0.28911847181763528</v>
      </c>
      <c r="AO138" s="1157">
        <f>SUM(AO126:AO136)</f>
        <v>39753.789874924849</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33"/>
        <v>Véhicules usagésPublicité 2</v>
      </c>
      <c r="B139" s="744" t="s">
        <v>129</v>
      </c>
      <c r="C139" s="744"/>
      <c r="D139" s="751"/>
      <c r="E139" s="752">
        <f t="shared" ref="E139:E155" si="36">+SUM(H139,K139,N139,Q139,T139,W139,Z139,AC139,AF139,AI139,AL139,AO139)</f>
        <v>0</v>
      </c>
      <c r="F139" s="744"/>
      <c r="G139" s="751"/>
      <c r="H139" s="765">
        <f>[1]DEPA!$C$7</f>
        <v>0</v>
      </c>
      <c r="I139" s="744"/>
      <c r="J139" s="751"/>
      <c r="K139" s="765">
        <f>[1]DEPA!$D$7</f>
        <v>0</v>
      </c>
      <c r="L139" s="744"/>
      <c r="M139" s="751"/>
      <c r="N139" s="765">
        <f>[1]DEPA!$E$7</f>
        <v>0</v>
      </c>
      <c r="O139" s="744"/>
      <c r="P139" s="751"/>
      <c r="Q139" s="765">
        <f>[1]DEPA!$F$7</f>
        <v>0</v>
      </c>
      <c r="R139" s="744"/>
      <c r="S139" s="751"/>
      <c r="T139" s="765">
        <f>[1]DEPA!$G$7</f>
        <v>0</v>
      </c>
      <c r="U139" s="744"/>
      <c r="V139" s="751"/>
      <c r="W139" s="765">
        <f>[1]DEPA!$H$7</f>
        <v>0</v>
      </c>
      <c r="X139" s="744"/>
      <c r="Y139" s="751"/>
      <c r="Z139" s="765">
        <f>[1]DEPA!$I$7</f>
        <v>0</v>
      </c>
      <c r="AA139" s="744"/>
      <c r="AB139" s="751"/>
      <c r="AC139" s="765">
        <f>[1]DEPA!$J$7</f>
        <v>0</v>
      </c>
      <c r="AD139" s="744"/>
      <c r="AE139" s="751"/>
      <c r="AF139" s="765">
        <f>[1]DEPA!$K$7</f>
        <v>0</v>
      </c>
      <c r="AG139" s="744"/>
      <c r="AH139" s="751"/>
      <c r="AI139" s="765">
        <f>[1]DEPA!$L$7</f>
        <v>0</v>
      </c>
      <c r="AJ139" s="744"/>
      <c r="AK139" s="751"/>
      <c r="AL139" s="765">
        <f>[1]DEPA!$M$7</f>
        <v>0</v>
      </c>
      <c r="AM139" s="744"/>
      <c r="AN139" s="751"/>
      <c r="AO139" s="765">
        <f>[1]DEPA!$N$7</f>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33"/>
        <v>Véhicules usagésService gratuit 2</v>
      </c>
      <c r="B140" s="744" t="s">
        <v>130</v>
      </c>
      <c r="C140" s="744"/>
      <c r="D140" s="751"/>
      <c r="E140" s="752">
        <f t="shared" si="36"/>
        <v>0</v>
      </c>
      <c r="F140" s="744"/>
      <c r="G140" s="751"/>
      <c r="H140" s="765">
        <f>[1]DEPA!$C$33</f>
        <v>0</v>
      </c>
      <c r="I140" s="744"/>
      <c r="J140" s="751"/>
      <c r="K140" s="765">
        <f>[1]DEPA!$D$33</f>
        <v>0</v>
      </c>
      <c r="L140" s="744"/>
      <c r="M140" s="751"/>
      <c r="N140" s="765">
        <f>[1]DEPA!$E$33</f>
        <v>0</v>
      </c>
      <c r="O140" s="744"/>
      <c r="P140" s="751"/>
      <c r="Q140" s="765">
        <f>[1]DEPA!$F$33</f>
        <v>0</v>
      </c>
      <c r="R140" s="744"/>
      <c r="S140" s="751"/>
      <c r="T140" s="765">
        <f>[1]DEPA!$G$33</f>
        <v>0</v>
      </c>
      <c r="U140" s="744"/>
      <c r="V140" s="751"/>
      <c r="W140" s="765">
        <f>[1]DEPA!$H$33</f>
        <v>0</v>
      </c>
      <c r="X140" s="744"/>
      <c r="Y140" s="751"/>
      <c r="Z140" s="765">
        <f>[1]DEPA!$I$33</f>
        <v>0</v>
      </c>
      <c r="AA140" s="744"/>
      <c r="AB140" s="751"/>
      <c r="AC140" s="765">
        <f>[1]DEPA!$J$33</f>
        <v>0</v>
      </c>
      <c r="AD140" s="744"/>
      <c r="AE140" s="751"/>
      <c r="AF140" s="765">
        <f>[1]DEPA!$K$33</f>
        <v>0</v>
      </c>
      <c r="AG140" s="744"/>
      <c r="AH140" s="751"/>
      <c r="AI140" s="765">
        <f>[1]DEPA!$L$33</f>
        <v>0</v>
      </c>
      <c r="AJ140" s="744"/>
      <c r="AK140" s="751"/>
      <c r="AL140" s="765">
        <f>[1]DEPA!$M$33</f>
        <v>0</v>
      </c>
      <c r="AM140" s="744"/>
      <c r="AN140" s="751"/>
      <c r="AO140" s="765">
        <f>[1]DEPA!$N$33</f>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33"/>
        <v>Véhicules usagésFrais véhicules de cie</v>
      </c>
      <c r="B141" s="770" t="s">
        <v>131</v>
      </c>
      <c r="C141" s="772"/>
      <c r="D141" s="773"/>
      <c r="E141" s="774">
        <f t="shared" si="36"/>
        <v>15409.839466666666</v>
      </c>
      <c r="F141" s="772"/>
      <c r="G141" s="773"/>
      <c r="H141" s="775">
        <f>[1]DEPA!$C$42</f>
        <v>1284.1532888888889</v>
      </c>
      <c r="I141" s="772"/>
      <c r="J141" s="773"/>
      <c r="K141" s="775">
        <f>[1]DEPA!$D$42</f>
        <v>1284.1532888888889</v>
      </c>
      <c r="L141" s="772"/>
      <c r="M141" s="773"/>
      <c r="N141" s="775">
        <f>[1]DEPA!$E$42</f>
        <v>1284.1532888888889</v>
      </c>
      <c r="O141" s="772"/>
      <c r="P141" s="773"/>
      <c r="Q141" s="775">
        <f>[1]DEPA!$F$42</f>
        <v>1284.1532888888889</v>
      </c>
      <c r="R141" s="772"/>
      <c r="S141" s="773"/>
      <c r="T141" s="775">
        <f>[1]DEPA!$G$42</f>
        <v>1284.1532888888889</v>
      </c>
      <c r="U141" s="772"/>
      <c r="V141" s="773"/>
      <c r="W141" s="775">
        <f>[1]DEPA!$H$42</f>
        <v>1284.1532888888889</v>
      </c>
      <c r="X141" s="772"/>
      <c r="Y141" s="773"/>
      <c r="Z141" s="775">
        <f>[1]DEPA!$I$42</f>
        <v>1284.1532888888889</v>
      </c>
      <c r="AA141" s="772"/>
      <c r="AB141" s="773"/>
      <c r="AC141" s="775">
        <f>[1]DEPA!$J$42</f>
        <v>1284.1532888888889</v>
      </c>
      <c r="AD141" s="772"/>
      <c r="AE141" s="773"/>
      <c r="AF141" s="775">
        <f>[1]DEPA!$K$42</f>
        <v>1284.1532888888889</v>
      </c>
      <c r="AG141" s="772"/>
      <c r="AH141" s="773"/>
      <c r="AI141" s="775">
        <f>[1]DEPA!$L$42</f>
        <v>1284.1532888888889</v>
      </c>
      <c r="AJ141" s="772"/>
      <c r="AK141" s="773"/>
      <c r="AL141" s="775">
        <f>[1]DEPA!$M$42</f>
        <v>1284.1532888888889</v>
      </c>
      <c r="AM141" s="772"/>
      <c r="AN141" s="773"/>
      <c r="AO141" s="775">
        <f>[1]DEPA!$N$42</f>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33"/>
        <v>Véhicules usagésInformatique</v>
      </c>
      <c r="B142" s="744" t="s">
        <v>132</v>
      </c>
      <c r="C142" s="744"/>
      <c r="D142" s="751"/>
      <c r="E142" s="752">
        <f t="shared" si="36"/>
        <v>40794</v>
      </c>
      <c r="F142" s="744"/>
      <c r="G142" s="751"/>
      <c r="H142" s="765">
        <f>[1]DEPA!$C$56</f>
        <v>4604</v>
      </c>
      <c r="I142" s="744"/>
      <c r="J142" s="751"/>
      <c r="K142" s="765">
        <f>[1]DEPA!$D$56</f>
        <v>3290</v>
      </c>
      <c r="L142" s="744"/>
      <c r="M142" s="751"/>
      <c r="N142" s="765">
        <f>[1]DEPA!$E$56</f>
        <v>3290</v>
      </c>
      <c r="O142" s="744"/>
      <c r="P142" s="751"/>
      <c r="Q142" s="765">
        <f>[1]DEPA!$F$56</f>
        <v>3290</v>
      </c>
      <c r="R142" s="744"/>
      <c r="S142" s="751"/>
      <c r="T142" s="765">
        <f>[1]DEPA!$G$56</f>
        <v>3290</v>
      </c>
      <c r="U142" s="744"/>
      <c r="V142" s="751"/>
      <c r="W142" s="765">
        <f>[1]DEPA!$H$56</f>
        <v>3290</v>
      </c>
      <c r="X142" s="744"/>
      <c r="Y142" s="751"/>
      <c r="Z142" s="765">
        <f>[1]DEPA!$I$56</f>
        <v>3290</v>
      </c>
      <c r="AA142" s="744"/>
      <c r="AB142" s="751"/>
      <c r="AC142" s="765">
        <f>[1]DEPA!$J$56</f>
        <v>3290</v>
      </c>
      <c r="AD142" s="744"/>
      <c r="AE142" s="751"/>
      <c r="AF142" s="765">
        <f>[1]DEPA!$K$56</f>
        <v>3290</v>
      </c>
      <c r="AG142" s="744"/>
      <c r="AH142" s="751"/>
      <c r="AI142" s="765">
        <f>[1]DEPA!$L$56</f>
        <v>3290</v>
      </c>
      <c r="AJ142" s="744"/>
      <c r="AK142" s="751"/>
      <c r="AL142" s="765">
        <f>[1]DEPA!$M$56</f>
        <v>3290</v>
      </c>
      <c r="AM142" s="744"/>
      <c r="AN142" s="751"/>
      <c r="AO142" s="765">
        <f>[1]DEPA!$N$56</f>
        <v>3290</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33"/>
        <v>Véhicules usagésFrais de déplacement</v>
      </c>
      <c r="B143" s="744" t="s">
        <v>133</v>
      </c>
      <c r="C143" s="744"/>
      <c r="D143" s="751"/>
      <c r="E143" s="752">
        <f t="shared" si="36"/>
        <v>9000</v>
      </c>
      <c r="F143" s="744"/>
      <c r="G143" s="751"/>
      <c r="H143" s="765">
        <f>[1]DEPA!$C$76</f>
        <v>750</v>
      </c>
      <c r="I143" s="744"/>
      <c r="J143" s="751"/>
      <c r="K143" s="765">
        <f>[1]DEPA!$D$76</f>
        <v>750</v>
      </c>
      <c r="L143" s="744"/>
      <c r="M143" s="751"/>
      <c r="N143" s="765">
        <f>[1]DEPA!$E$76</f>
        <v>750</v>
      </c>
      <c r="O143" s="744"/>
      <c r="P143" s="751"/>
      <c r="Q143" s="765">
        <f>[1]DEPA!$F$76</f>
        <v>750</v>
      </c>
      <c r="R143" s="744"/>
      <c r="S143" s="751"/>
      <c r="T143" s="765">
        <f>[1]DEPA!$G$76</f>
        <v>750</v>
      </c>
      <c r="U143" s="744"/>
      <c r="V143" s="751"/>
      <c r="W143" s="765">
        <f>[1]DEPA!$H$76</f>
        <v>750</v>
      </c>
      <c r="X143" s="744"/>
      <c r="Y143" s="751"/>
      <c r="Z143" s="765">
        <f>[1]DEPA!$I$76</f>
        <v>750</v>
      </c>
      <c r="AA143" s="744"/>
      <c r="AB143" s="751"/>
      <c r="AC143" s="765">
        <f>[1]DEPA!$J$76</f>
        <v>750</v>
      </c>
      <c r="AD143" s="744"/>
      <c r="AE143" s="751"/>
      <c r="AF143" s="765">
        <f>[1]DEPA!$K$76</f>
        <v>750</v>
      </c>
      <c r="AG143" s="744"/>
      <c r="AH143" s="751"/>
      <c r="AI143" s="765">
        <f>[1]DEPA!$L$76</f>
        <v>750</v>
      </c>
      <c r="AJ143" s="744"/>
      <c r="AK143" s="751"/>
      <c r="AL143" s="765">
        <f>[1]DEPA!$M$76</f>
        <v>750</v>
      </c>
      <c r="AM143" s="744"/>
      <c r="AN143" s="751"/>
      <c r="AO143" s="765">
        <f>[1]DEPA!$N$76</f>
        <v>750</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33"/>
        <v>Véhicules usagésServices extérieurs</v>
      </c>
      <c r="B144" s="770" t="s">
        <v>134</v>
      </c>
      <c r="C144" s="772"/>
      <c r="D144" s="773"/>
      <c r="E144" s="774">
        <f t="shared" si="36"/>
        <v>20771.04</v>
      </c>
      <c r="F144" s="772"/>
      <c r="G144" s="773"/>
      <c r="H144" s="775">
        <f>[1]DEPA!$C$85</f>
        <v>2080.92</v>
      </c>
      <c r="I144" s="772"/>
      <c r="J144" s="773"/>
      <c r="K144" s="775">
        <f>[1]DEPA!$D$85</f>
        <v>1540.9199999999998</v>
      </c>
      <c r="L144" s="772"/>
      <c r="M144" s="773"/>
      <c r="N144" s="775">
        <f>[1]DEPA!$E$85</f>
        <v>1360.9199999999998</v>
      </c>
      <c r="O144" s="772"/>
      <c r="P144" s="773"/>
      <c r="Q144" s="775">
        <f>[1]DEPA!$F$85</f>
        <v>1360.9199999999998</v>
      </c>
      <c r="R144" s="772"/>
      <c r="S144" s="773"/>
      <c r="T144" s="775">
        <f>[1]DEPA!$G$85</f>
        <v>1360.9199999999998</v>
      </c>
      <c r="U144" s="772"/>
      <c r="V144" s="773"/>
      <c r="W144" s="775">
        <f>[1]DEPA!$H$85</f>
        <v>1840.9199999999998</v>
      </c>
      <c r="X144" s="772"/>
      <c r="Y144" s="773"/>
      <c r="Z144" s="775">
        <f>[1]DEPA!$I$85</f>
        <v>1360.9199999999998</v>
      </c>
      <c r="AA144" s="772"/>
      <c r="AB144" s="773"/>
      <c r="AC144" s="775">
        <f>[1]DEPA!$J$85</f>
        <v>1360.9199999999998</v>
      </c>
      <c r="AD144" s="772"/>
      <c r="AE144" s="773"/>
      <c r="AF144" s="775">
        <f>[1]DEPA!$K$85</f>
        <v>1360.9199999999998</v>
      </c>
      <c r="AG144" s="772"/>
      <c r="AH144" s="773"/>
      <c r="AI144" s="775">
        <f>[1]DEPA!$L$85</f>
        <v>1720.9199999999998</v>
      </c>
      <c r="AJ144" s="772"/>
      <c r="AK144" s="773"/>
      <c r="AL144" s="775">
        <f>[1]DEPA!$M$85</f>
        <v>2080.92</v>
      </c>
      <c r="AM144" s="772"/>
      <c r="AN144" s="773"/>
      <c r="AO144" s="775">
        <f>[1]DEPA!$N$85</f>
        <v>3340.92</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33"/>
        <v>Véhicules usagésFournitures autres</v>
      </c>
      <c r="B145" s="744" t="s">
        <v>135</v>
      </c>
      <c r="C145" s="744"/>
      <c r="D145" s="751"/>
      <c r="E145" s="752">
        <f t="shared" si="36"/>
        <v>600</v>
      </c>
      <c r="F145" s="744"/>
      <c r="G145" s="751"/>
      <c r="H145" s="765">
        <f>[1]DEPA!$C$114</f>
        <v>50</v>
      </c>
      <c r="I145" s="744"/>
      <c r="J145" s="751"/>
      <c r="K145" s="765">
        <f>[1]DEPA!$D$114</f>
        <v>50</v>
      </c>
      <c r="L145" s="744"/>
      <c r="M145" s="751"/>
      <c r="N145" s="765">
        <f>[1]DEPA!$E$114</f>
        <v>50</v>
      </c>
      <c r="O145" s="744"/>
      <c r="P145" s="751"/>
      <c r="Q145" s="765">
        <f>[1]DEPA!$F$114</f>
        <v>50</v>
      </c>
      <c r="R145" s="744"/>
      <c r="S145" s="751"/>
      <c r="T145" s="765">
        <f>[1]DEPA!$G$114</f>
        <v>50</v>
      </c>
      <c r="U145" s="744"/>
      <c r="V145" s="751"/>
      <c r="W145" s="765">
        <f>[1]DEPA!$H$114</f>
        <v>50</v>
      </c>
      <c r="X145" s="744"/>
      <c r="Y145" s="751"/>
      <c r="Z145" s="765">
        <f>[1]DEPA!$I$114</f>
        <v>50</v>
      </c>
      <c r="AA145" s="744"/>
      <c r="AB145" s="751"/>
      <c r="AC145" s="765">
        <f>[1]DEPA!$J$114</f>
        <v>50</v>
      </c>
      <c r="AD145" s="744"/>
      <c r="AE145" s="751"/>
      <c r="AF145" s="765">
        <f>[1]DEPA!$K$114</f>
        <v>50</v>
      </c>
      <c r="AG145" s="744"/>
      <c r="AH145" s="751"/>
      <c r="AI145" s="765">
        <f>[1]DEPA!$L$114</f>
        <v>50</v>
      </c>
      <c r="AJ145" s="744"/>
      <c r="AK145" s="751"/>
      <c r="AL145" s="765">
        <f>[1]DEPA!$M$114</f>
        <v>50</v>
      </c>
      <c r="AM145" s="744"/>
      <c r="AN145" s="751"/>
      <c r="AO145" s="765">
        <f>[1]DEPA!$N$114</f>
        <v>50</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33"/>
        <v>Véhicules usagésUniformes</v>
      </c>
      <c r="B146" s="744" t="s">
        <v>136</v>
      </c>
      <c r="C146" s="744"/>
      <c r="D146" s="751"/>
      <c r="E146" s="752">
        <f t="shared" si="36"/>
        <v>0</v>
      </c>
      <c r="F146" s="744"/>
      <c r="G146" s="751"/>
      <c r="H146" s="765">
        <f>[1]DEPA!$C$123</f>
        <v>0</v>
      </c>
      <c r="I146" s="744"/>
      <c r="J146" s="751"/>
      <c r="K146" s="765">
        <f>[1]DEPA!$D$123</f>
        <v>0</v>
      </c>
      <c r="L146" s="744"/>
      <c r="M146" s="751"/>
      <c r="N146" s="765">
        <f>[1]DEPA!$E$123</f>
        <v>0</v>
      </c>
      <c r="O146" s="744"/>
      <c r="P146" s="751"/>
      <c r="Q146" s="765">
        <f>[1]DEPA!$F$123</f>
        <v>0</v>
      </c>
      <c r="R146" s="744"/>
      <c r="S146" s="751"/>
      <c r="T146" s="765">
        <f>[1]DEPA!$G$123</f>
        <v>0</v>
      </c>
      <c r="U146" s="744"/>
      <c r="V146" s="751"/>
      <c r="W146" s="765">
        <f>[1]DEPA!$H$123</f>
        <v>0</v>
      </c>
      <c r="X146" s="744"/>
      <c r="Y146" s="751"/>
      <c r="Z146" s="765">
        <f>[1]DEPA!$I$123</f>
        <v>0</v>
      </c>
      <c r="AA146" s="744"/>
      <c r="AB146" s="751"/>
      <c r="AC146" s="765">
        <f>[1]DEPA!$J$123</f>
        <v>0</v>
      </c>
      <c r="AD146" s="744"/>
      <c r="AE146" s="751"/>
      <c r="AF146" s="765">
        <f>[1]DEPA!$K$123</f>
        <v>0</v>
      </c>
      <c r="AG146" s="744"/>
      <c r="AH146" s="751"/>
      <c r="AI146" s="765">
        <f>[1]DEPA!$L$123</f>
        <v>0</v>
      </c>
      <c r="AJ146" s="744"/>
      <c r="AK146" s="751"/>
      <c r="AL146" s="765">
        <f>[1]DEPA!$M$123</f>
        <v>0</v>
      </c>
      <c r="AM146" s="744"/>
      <c r="AN146" s="751"/>
      <c r="AO146" s="765">
        <f>[1]DEPA!$N$123</f>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33"/>
        <v>Véhicules usagésPapeterie</v>
      </c>
      <c r="B147" s="744" t="s">
        <v>137</v>
      </c>
      <c r="C147" s="744"/>
      <c r="D147" s="751"/>
      <c r="E147" s="752">
        <f t="shared" si="36"/>
        <v>3264</v>
      </c>
      <c r="F147" s="744"/>
      <c r="G147" s="751"/>
      <c r="H147" s="765">
        <f>[1]DEPA!$C$132</f>
        <v>272</v>
      </c>
      <c r="I147" s="744"/>
      <c r="J147" s="751"/>
      <c r="K147" s="765">
        <f>[1]DEPA!$D$132</f>
        <v>272</v>
      </c>
      <c r="L147" s="744"/>
      <c r="M147" s="751"/>
      <c r="N147" s="765">
        <f>[1]DEPA!$E$132</f>
        <v>272</v>
      </c>
      <c r="O147" s="744"/>
      <c r="P147" s="751"/>
      <c r="Q147" s="765">
        <f>[1]DEPA!$F$132</f>
        <v>272</v>
      </c>
      <c r="R147" s="744"/>
      <c r="S147" s="751"/>
      <c r="T147" s="765">
        <f>[1]DEPA!$G$132</f>
        <v>272</v>
      </c>
      <c r="U147" s="744"/>
      <c r="V147" s="751"/>
      <c r="W147" s="765">
        <f>[1]DEPA!$H$132</f>
        <v>272</v>
      </c>
      <c r="X147" s="744"/>
      <c r="Y147" s="751"/>
      <c r="Z147" s="765">
        <f>[1]DEPA!$I$132</f>
        <v>272</v>
      </c>
      <c r="AA147" s="744"/>
      <c r="AB147" s="751"/>
      <c r="AC147" s="765">
        <f>[1]DEPA!$J$132</f>
        <v>272</v>
      </c>
      <c r="AD147" s="744"/>
      <c r="AE147" s="751"/>
      <c r="AF147" s="765">
        <f>[1]DEPA!$K$132</f>
        <v>272</v>
      </c>
      <c r="AG147" s="744"/>
      <c r="AH147" s="751"/>
      <c r="AI147" s="765">
        <f>[1]DEPA!$L$132</f>
        <v>272</v>
      </c>
      <c r="AJ147" s="744"/>
      <c r="AK147" s="751"/>
      <c r="AL147" s="765">
        <f>[1]DEPA!$M$132</f>
        <v>272</v>
      </c>
      <c r="AM147" s="744"/>
      <c r="AN147" s="751"/>
      <c r="AO147" s="765">
        <f>[1]DEPA!$N$132</f>
        <v>272</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33"/>
        <v>Véhicules usagésTéléphone</v>
      </c>
      <c r="B148" s="744" t="s">
        <v>138</v>
      </c>
      <c r="C148" s="744"/>
      <c r="D148" s="751"/>
      <c r="E148" s="752">
        <f t="shared" si="36"/>
        <v>1050</v>
      </c>
      <c r="F148" s="744"/>
      <c r="G148" s="751"/>
      <c r="H148" s="765">
        <f>[1]DEPA!$C$141</f>
        <v>87.5</v>
      </c>
      <c r="I148" s="744"/>
      <c r="J148" s="751"/>
      <c r="K148" s="765">
        <f>[1]DEPA!$D$141</f>
        <v>87.5</v>
      </c>
      <c r="L148" s="744"/>
      <c r="M148" s="751"/>
      <c r="N148" s="765">
        <f>[1]DEPA!$E$141</f>
        <v>87.5</v>
      </c>
      <c r="O148" s="744"/>
      <c r="P148" s="751"/>
      <c r="Q148" s="765">
        <f>[1]DEPA!$F$141</f>
        <v>87.5</v>
      </c>
      <c r="R148" s="744"/>
      <c r="S148" s="751"/>
      <c r="T148" s="765">
        <f>[1]DEPA!$G$141</f>
        <v>87.5</v>
      </c>
      <c r="U148" s="744"/>
      <c r="V148" s="751"/>
      <c r="W148" s="765">
        <f>[1]DEPA!$H$141</f>
        <v>87.5</v>
      </c>
      <c r="X148" s="744"/>
      <c r="Y148" s="751"/>
      <c r="Z148" s="765">
        <f>[1]DEPA!$I$141</f>
        <v>87.5</v>
      </c>
      <c r="AA148" s="744"/>
      <c r="AB148" s="751"/>
      <c r="AC148" s="765">
        <f>[1]DEPA!$J$141</f>
        <v>87.5</v>
      </c>
      <c r="AD148" s="744"/>
      <c r="AE148" s="751"/>
      <c r="AF148" s="765">
        <f>[1]DEPA!$K$141</f>
        <v>87.5</v>
      </c>
      <c r="AG148" s="744"/>
      <c r="AH148" s="751"/>
      <c r="AI148" s="765">
        <f>[1]DEPA!$L$141</f>
        <v>87.5</v>
      </c>
      <c r="AJ148" s="744"/>
      <c r="AK148" s="751"/>
      <c r="AL148" s="765">
        <f>[1]DEPA!$M$141</f>
        <v>87.5</v>
      </c>
      <c r="AM148" s="744"/>
      <c r="AN148" s="751"/>
      <c r="AO148" s="765">
        <f>[1]DEPA!$N$141</f>
        <v>87.5</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33"/>
        <v>Véhicules usagésFrais postaux</v>
      </c>
      <c r="B149" s="744" t="s">
        <v>139</v>
      </c>
      <c r="C149" s="744"/>
      <c r="D149" s="751"/>
      <c r="E149" s="752">
        <f t="shared" si="36"/>
        <v>1025.6400000000001</v>
      </c>
      <c r="F149" s="744"/>
      <c r="G149" s="751"/>
      <c r="H149" s="765">
        <f>[1]DEPA!$C$150</f>
        <v>85.469999999999985</v>
      </c>
      <c r="I149" s="744"/>
      <c r="J149" s="751"/>
      <c r="K149" s="765">
        <f>[1]DEPA!$D$150</f>
        <v>85.469999999999985</v>
      </c>
      <c r="L149" s="744"/>
      <c r="M149" s="751"/>
      <c r="N149" s="765">
        <f>[1]DEPA!$E$150</f>
        <v>85.469999999999985</v>
      </c>
      <c r="O149" s="744"/>
      <c r="P149" s="751"/>
      <c r="Q149" s="765">
        <f>[1]DEPA!$F$150</f>
        <v>85.469999999999985</v>
      </c>
      <c r="R149" s="744"/>
      <c r="S149" s="751"/>
      <c r="T149" s="765">
        <f>[1]DEPA!$G$150</f>
        <v>85.469999999999985</v>
      </c>
      <c r="U149" s="744"/>
      <c r="V149" s="751"/>
      <c r="W149" s="765">
        <f>[1]DEPA!$H$150</f>
        <v>85.469999999999985</v>
      </c>
      <c r="X149" s="744"/>
      <c r="Y149" s="751"/>
      <c r="Z149" s="765">
        <f>[1]DEPA!$I$150</f>
        <v>85.469999999999985</v>
      </c>
      <c r="AA149" s="744"/>
      <c r="AB149" s="751"/>
      <c r="AC149" s="765">
        <f>[1]DEPA!$J$150</f>
        <v>85.469999999999985</v>
      </c>
      <c r="AD149" s="744"/>
      <c r="AE149" s="751"/>
      <c r="AF149" s="765">
        <f>[1]DEPA!$K$150</f>
        <v>85.469999999999985</v>
      </c>
      <c r="AG149" s="744"/>
      <c r="AH149" s="751"/>
      <c r="AI149" s="765">
        <f>[1]DEPA!$L$150</f>
        <v>85.469999999999985</v>
      </c>
      <c r="AJ149" s="744"/>
      <c r="AK149" s="751"/>
      <c r="AL149" s="765">
        <f>[1]DEPA!$M$150</f>
        <v>85.469999999999985</v>
      </c>
      <c r="AM149" s="744"/>
      <c r="AN149" s="751"/>
      <c r="AO149" s="765">
        <f>[1]DEPA!$N$150</f>
        <v>85.469999999999985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33"/>
        <v>Véhicules usagésDivers</v>
      </c>
      <c r="B150" s="744" t="s">
        <v>140</v>
      </c>
      <c r="C150" s="744"/>
      <c r="D150" s="751"/>
      <c r="E150" s="752">
        <f t="shared" si="36"/>
        <v>540</v>
      </c>
      <c r="F150" s="744"/>
      <c r="G150" s="751"/>
      <c r="H150" s="765">
        <f>[1]DEPA!$C$159</f>
        <v>45</v>
      </c>
      <c r="I150" s="744"/>
      <c r="J150" s="751"/>
      <c r="K150" s="765">
        <f>[1]DEPA!$D$159</f>
        <v>45</v>
      </c>
      <c r="L150" s="744"/>
      <c r="M150" s="751"/>
      <c r="N150" s="765">
        <f>[1]DEPA!$E$159</f>
        <v>45</v>
      </c>
      <c r="O150" s="744"/>
      <c r="P150" s="751"/>
      <c r="Q150" s="765">
        <f>[1]DEPA!$F$159</f>
        <v>45</v>
      </c>
      <c r="R150" s="744"/>
      <c r="S150" s="751"/>
      <c r="T150" s="765">
        <f>[1]DEPA!$G$159</f>
        <v>45</v>
      </c>
      <c r="U150" s="744"/>
      <c r="V150" s="751"/>
      <c r="W150" s="765">
        <f>[1]DEPA!$H$159</f>
        <v>45</v>
      </c>
      <c r="X150" s="744"/>
      <c r="Y150" s="751"/>
      <c r="Z150" s="765">
        <f>[1]DEPA!$I$159</f>
        <v>45</v>
      </c>
      <c r="AA150" s="744"/>
      <c r="AB150" s="751"/>
      <c r="AC150" s="765">
        <f>[1]DEPA!$J$159</f>
        <v>45</v>
      </c>
      <c r="AD150" s="744"/>
      <c r="AE150" s="751"/>
      <c r="AF150" s="765">
        <f>[1]DEPA!$K$159</f>
        <v>45</v>
      </c>
      <c r="AG150" s="744"/>
      <c r="AH150" s="751"/>
      <c r="AI150" s="765">
        <f>[1]DEPA!$L$159</f>
        <v>45</v>
      </c>
      <c r="AJ150" s="744"/>
      <c r="AK150" s="751"/>
      <c r="AL150" s="765">
        <f>[1]DEPA!$M$159</f>
        <v>45</v>
      </c>
      <c r="AM150" s="744"/>
      <c r="AN150" s="751"/>
      <c r="AO150" s="765">
        <f>[1]DEPA!$N$159</f>
        <v>45</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33"/>
        <v>Véhicules usagésFormation</v>
      </c>
      <c r="B151" s="744" t="s">
        <v>141</v>
      </c>
      <c r="C151" s="744"/>
      <c r="D151" s="751"/>
      <c r="E151" s="752">
        <f t="shared" si="36"/>
        <v>5000</v>
      </c>
      <c r="F151" s="744"/>
      <c r="G151" s="751"/>
      <c r="H151" s="765">
        <f>[1]DEPA!$C$170</f>
        <v>416.66666666666669</v>
      </c>
      <c r="I151" s="744"/>
      <c r="J151" s="751"/>
      <c r="K151" s="765">
        <f>[1]DEPA!$D$170</f>
        <v>416.66666666666669</v>
      </c>
      <c r="L151" s="744"/>
      <c r="M151" s="751"/>
      <c r="N151" s="765">
        <f>[1]DEPA!$E$170</f>
        <v>416.66666666666669</v>
      </c>
      <c r="O151" s="744"/>
      <c r="P151" s="751"/>
      <c r="Q151" s="765">
        <f>[1]DEPA!$F$170</f>
        <v>416.66666666666669</v>
      </c>
      <c r="R151" s="744"/>
      <c r="S151" s="751"/>
      <c r="T151" s="765">
        <f>[1]DEPA!$G$170</f>
        <v>416.66666666666669</v>
      </c>
      <c r="U151" s="744"/>
      <c r="V151" s="751"/>
      <c r="W151" s="765">
        <f>[1]DEPA!$H$170</f>
        <v>416.66666666666669</v>
      </c>
      <c r="X151" s="744"/>
      <c r="Y151" s="751"/>
      <c r="Z151" s="765">
        <f>[1]DEPA!$I$170</f>
        <v>416.66666666666669</v>
      </c>
      <c r="AA151" s="744"/>
      <c r="AB151" s="751"/>
      <c r="AC151" s="765">
        <f>[1]DEPA!$J$170</f>
        <v>416.66666666666669</v>
      </c>
      <c r="AD151" s="744"/>
      <c r="AE151" s="751"/>
      <c r="AF151" s="765">
        <f>[1]DEPA!$K$170</f>
        <v>416.66666666666669</v>
      </c>
      <c r="AG151" s="744"/>
      <c r="AH151" s="751"/>
      <c r="AI151" s="765">
        <f>[1]DEPA!$L$170</f>
        <v>416.66666666666669</v>
      </c>
      <c r="AJ151" s="744"/>
      <c r="AK151" s="751"/>
      <c r="AL151" s="765">
        <f>[1]DEPA!$M$170</f>
        <v>416.66666666666669</v>
      </c>
      <c r="AM151" s="744"/>
      <c r="AN151" s="751"/>
      <c r="AO151" s="765">
        <f>[1]DEPA!$N$170</f>
        <v>416.66666666666669</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33"/>
        <v>Véhicules usagésFrais bancaires</v>
      </c>
      <c r="B152" s="744" t="s">
        <v>142</v>
      </c>
      <c r="C152" s="744"/>
      <c r="D152" s="751"/>
      <c r="E152" s="752">
        <f t="shared" si="36"/>
        <v>10009.847698444823</v>
      </c>
      <c r="F152" s="744"/>
      <c r="G152" s="751"/>
      <c r="H152" s="765">
        <f>[1]DEPA!$C$182</f>
        <v>640.8534683431119</v>
      </c>
      <c r="I152" s="744"/>
      <c r="J152" s="751"/>
      <c r="K152" s="765">
        <f>[1]DEPA!$D$182</f>
        <v>648.50711871097565</v>
      </c>
      <c r="L152" s="744"/>
      <c r="M152" s="751"/>
      <c r="N152" s="765">
        <f>[1]DEPA!$E$182</f>
        <v>884.80425183842488</v>
      </c>
      <c r="O152" s="744"/>
      <c r="P152" s="751"/>
      <c r="Q152" s="765">
        <f>[1]DEPA!$F$182</f>
        <v>939.56215937759464</v>
      </c>
      <c r="R152" s="744"/>
      <c r="S152" s="751"/>
      <c r="T152" s="765">
        <f>[1]DEPA!$G$182</f>
        <v>1000.1928608544387</v>
      </c>
      <c r="U152" s="744"/>
      <c r="V152" s="751"/>
      <c r="W152" s="765">
        <f>[1]DEPA!$H$182</f>
        <v>903.86121876737752</v>
      </c>
      <c r="X152" s="744"/>
      <c r="Y152" s="751"/>
      <c r="Z152" s="765">
        <f>[1]DEPA!$I$182</f>
        <v>856.99097099234598</v>
      </c>
      <c r="AA152" s="744"/>
      <c r="AB152" s="751"/>
      <c r="AC152" s="765">
        <f>[1]DEPA!$J$182</f>
        <v>830.81937884981221</v>
      </c>
      <c r="AD152" s="744"/>
      <c r="AE152" s="751"/>
      <c r="AF152" s="765">
        <f>[1]DEPA!$K$182</f>
        <v>866.45980074554529</v>
      </c>
      <c r="AG152" s="744"/>
      <c r="AH152" s="751"/>
      <c r="AI152" s="765">
        <f>[1]DEPA!$L$182</f>
        <v>868.59748986327622</v>
      </c>
      <c r="AJ152" s="744"/>
      <c r="AK152" s="751"/>
      <c r="AL152" s="765">
        <f>[1]DEPA!$M$182</f>
        <v>897.80848835201243</v>
      </c>
      <c r="AM152" s="744"/>
      <c r="AN152" s="751"/>
      <c r="AO152" s="765">
        <f>[1]DEPA!$N$182</f>
        <v>671.39049174990771</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33"/>
        <v>Véhicules usagés[...]</v>
      </c>
      <c r="B153" s="744" t="s">
        <v>59</v>
      </c>
      <c r="C153" s="744"/>
      <c r="D153" s="751"/>
      <c r="E153" s="752">
        <f t="shared" si="36"/>
        <v>0</v>
      </c>
      <c r="F153" s="744"/>
      <c r="G153" s="751"/>
      <c r="H153" s="752"/>
      <c r="I153" s="744"/>
      <c r="J153" s="751"/>
      <c r="K153" s="752"/>
      <c r="L153" s="744"/>
      <c r="M153" s="751"/>
      <c r="N153" s="752"/>
      <c r="O153" s="744"/>
      <c r="P153" s="751"/>
      <c r="Q153" s="752"/>
      <c r="R153" s="744"/>
      <c r="S153" s="751"/>
      <c r="T153" s="752"/>
      <c r="U153" s="744"/>
      <c r="V153" s="751"/>
      <c r="W153" s="752"/>
      <c r="X153" s="744"/>
      <c r="Y153" s="751"/>
      <c r="Z153" s="752"/>
      <c r="AA153" s="744"/>
      <c r="AB153" s="751"/>
      <c r="AC153" s="752"/>
      <c r="AD153" s="744"/>
      <c r="AE153" s="751"/>
      <c r="AF153" s="752"/>
      <c r="AG153" s="744"/>
      <c r="AH153" s="751"/>
      <c r="AI153" s="752"/>
      <c r="AJ153" s="744"/>
      <c r="AK153" s="751"/>
      <c r="AL153" s="752"/>
      <c r="AM153" s="744"/>
      <c r="AN153" s="751"/>
      <c r="AO153" s="752"/>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33"/>
        <v>Véhicules usagés[...]</v>
      </c>
      <c r="B154" s="744" t="s">
        <v>59</v>
      </c>
      <c r="C154" s="744"/>
      <c r="D154" s="751"/>
      <c r="E154" s="752">
        <f t="shared" si="36"/>
        <v>0</v>
      </c>
      <c r="F154" s="744"/>
      <c r="G154" s="751"/>
      <c r="H154" s="752"/>
      <c r="I154" s="744"/>
      <c r="J154" s="751"/>
      <c r="K154" s="752"/>
      <c r="L154" s="744"/>
      <c r="M154" s="751"/>
      <c r="N154" s="752"/>
      <c r="O154" s="744"/>
      <c r="P154" s="751"/>
      <c r="Q154" s="752"/>
      <c r="R154" s="744"/>
      <c r="S154" s="751"/>
      <c r="T154" s="752"/>
      <c r="U154" s="744"/>
      <c r="V154" s="751"/>
      <c r="W154" s="752"/>
      <c r="X154" s="744"/>
      <c r="Y154" s="751"/>
      <c r="Z154" s="752"/>
      <c r="AA154" s="744"/>
      <c r="AB154" s="751"/>
      <c r="AC154" s="752"/>
      <c r="AD154" s="744"/>
      <c r="AE154" s="751"/>
      <c r="AF154" s="752"/>
      <c r="AG154" s="744"/>
      <c r="AH154" s="751"/>
      <c r="AI154" s="752"/>
      <c r="AJ154" s="744"/>
      <c r="AK154" s="751"/>
      <c r="AL154" s="752"/>
      <c r="AM154" s="744"/>
      <c r="AN154" s="751"/>
      <c r="AO154" s="752"/>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33"/>
        <v>Véhicules usagés[...]</v>
      </c>
      <c r="B155" s="744" t="s">
        <v>59</v>
      </c>
      <c r="C155" s="770"/>
      <c r="D155" s="771"/>
      <c r="E155" s="752">
        <f t="shared" si="36"/>
        <v>0</v>
      </c>
      <c r="F155" s="770"/>
      <c r="G155" s="771"/>
      <c r="H155" s="752"/>
      <c r="I155" s="770"/>
      <c r="J155" s="771"/>
      <c r="K155" s="752"/>
      <c r="L155" s="770"/>
      <c r="M155" s="771"/>
      <c r="N155" s="752"/>
      <c r="O155" s="770"/>
      <c r="P155" s="771"/>
      <c r="Q155" s="752"/>
      <c r="R155" s="770"/>
      <c r="S155" s="771"/>
      <c r="T155" s="752"/>
      <c r="U155" s="770"/>
      <c r="V155" s="771"/>
      <c r="W155" s="752"/>
      <c r="X155" s="770"/>
      <c r="Y155" s="771"/>
      <c r="Z155" s="752"/>
      <c r="AA155" s="770"/>
      <c r="AB155" s="771"/>
      <c r="AC155" s="752"/>
      <c r="AD155" s="770"/>
      <c r="AE155" s="771"/>
      <c r="AF155" s="752"/>
      <c r="AG155" s="770"/>
      <c r="AH155" s="771"/>
      <c r="AI155" s="752"/>
      <c r="AJ155" s="770"/>
      <c r="AK155" s="771"/>
      <c r="AL155" s="752"/>
      <c r="AM155" s="770"/>
      <c r="AN155" s="771"/>
      <c r="AO155" s="752"/>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33"/>
        <v>Véhicules usagésTOTAL SEMI-FIXES</v>
      </c>
      <c r="B156" s="1154" t="s">
        <v>143</v>
      </c>
      <c r="C156" s="1155" t="s">
        <v>119</v>
      </c>
      <c r="D156" s="1156">
        <f>IFERROR(E156/E$111,0)</f>
        <v>5.2795071071044697E-2</v>
      </c>
      <c r="E156" s="1157">
        <f>+SUM(E139:E155)</f>
        <v>107464.36716511149</v>
      </c>
      <c r="F156" s="1155" t="s">
        <v>119</v>
      </c>
      <c r="G156" s="1156">
        <f>IFERROR(H156/H$111,0)</f>
        <v>8.5971361865822216E-2</v>
      </c>
      <c r="H156" s="1157">
        <f>+SUM(H139:H155)</f>
        <v>10316.563423898666</v>
      </c>
      <c r="I156" s="1155" t="s">
        <v>119</v>
      </c>
      <c r="J156" s="1156">
        <f>IFERROR(K156/K$111,0)</f>
        <v>7.0585142285554431E-2</v>
      </c>
      <c r="K156" s="1157">
        <f>+SUM(K139:K155)</f>
        <v>8470.2170742665312</v>
      </c>
      <c r="L156" s="1155" t="s">
        <v>119</v>
      </c>
      <c r="M156" s="1156">
        <f>IFERROR(N156/N$111,0)</f>
        <v>4.844610345110216E-2</v>
      </c>
      <c r="N156" s="1157">
        <f>+SUM(N139:N155)</f>
        <v>8526.5142073939805</v>
      </c>
      <c r="O156" s="1155" t="s">
        <v>119</v>
      </c>
      <c r="P156" s="1156">
        <f>IFERROR(Q156/Q$111,0)</f>
        <v>4.6012182921893567E-2</v>
      </c>
      <c r="Q156" s="1157">
        <f>+SUM(Q139:Q155)</f>
        <v>8581.2721149331501</v>
      </c>
      <c r="R156" s="1155" t="s">
        <v>119</v>
      </c>
      <c r="S156" s="1156">
        <f>IFERROR(T156/T$111,0)</f>
        <v>4.3979149192926184E-2</v>
      </c>
      <c r="T156" s="1157">
        <f>+SUM(T139:T155)</f>
        <v>8641.9028164099946</v>
      </c>
      <c r="U156" s="1155" t="s">
        <v>119</v>
      </c>
      <c r="V156" s="1156">
        <f>IFERROR(W156/W$111,0)</f>
        <v>4.5583692799610775E-2</v>
      </c>
      <c r="W156" s="1157">
        <f>+SUM(W139:W155)</f>
        <v>9025.5711743229331</v>
      </c>
      <c r="X156" s="1155" t="s">
        <v>119</v>
      </c>
      <c r="Y156" s="1156">
        <f>IFERROR(Z156/Z$111,0)</f>
        <v>4.4730004876567912E-2</v>
      </c>
      <c r="Z156" s="1157">
        <f>+SUM(Z139:Z155)</f>
        <v>8498.7009265479028</v>
      </c>
      <c r="AA156" s="1155" t="s">
        <v>119</v>
      </c>
      <c r="AB156" s="1156">
        <f>IFERROR(AC156/AC$111,0)</f>
        <v>4.5551232980674018E-2</v>
      </c>
      <c r="AC156" s="1157">
        <f>+SUM(AC139:AC155)</f>
        <v>8472.529334405368</v>
      </c>
      <c r="AD156" s="1155" t="s">
        <v>119</v>
      </c>
      <c r="AE156" s="1156">
        <f>IFERROR(AF156/AF$111,0)</f>
        <v>4.7006462741995041E-2</v>
      </c>
      <c r="AF156" s="1157">
        <f>+SUM(AF139:AF155)</f>
        <v>8508.1697563011021</v>
      </c>
      <c r="AG156" s="1155" t="s">
        <v>119</v>
      </c>
      <c r="AH156" s="1156">
        <f>IFERROR(AI156/AI$111,0)</f>
        <v>4.833955011127429E-2</v>
      </c>
      <c r="AI156" s="1157">
        <f>+SUM(AI139:AI155)</f>
        <v>8870.3074454188318</v>
      </c>
      <c r="AJ156" s="1155" t="s">
        <v>119</v>
      </c>
      <c r="AK156" s="1156">
        <f>IFERROR(AL156/AL$111,0)</f>
        <v>5.7691703700358685E-2</v>
      </c>
      <c r="AL156" s="1157">
        <f>+SUM(AL139:AL155)</f>
        <v>9259.5184439075692</v>
      </c>
      <c r="AM156" s="1155" t="s">
        <v>119</v>
      </c>
      <c r="AN156" s="1156">
        <f>IFERROR(AO156/AO$111,0)</f>
        <v>7.4858912344039727E-2</v>
      </c>
      <c r="AO156" s="1157">
        <f>+SUM(AO139:AO155)</f>
        <v>10293.100447305462</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33"/>
        <v>Véhicules usagés</v>
      </c>
      <c r="B157" s="770"/>
      <c r="C157" s="770"/>
      <c r="D157" s="771"/>
      <c r="E157" s="768"/>
      <c r="F157" s="770"/>
      <c r="G157" s="771"/>
      <c r="H157" s="768"/>
      <c r="I157" s="770"/>
      <c r="J157" s="771"/>
      <c r="K157" s="768"/>
      <c r="L157" s="770"/>
      <c r="M157" s="771"/>
      <c r="N157" s="768"/>
      <c r="O157" s="770"/>
      <c r="P157" s="771"/>
      <c r="Q157" s="768"/>
      <c r="R157" s="770"/>
      <c r="S157" s="771"/>
      <c r="T157" s="768"/>
      <c r="U157" s="770"/>
      <c r="V157" s="771"/>
      <c r="W157" s="768"/>
      <c r="X157" s="770"/>
      <c r="Y157" s="771"/>
      <c r="Z157" s="768"/>
      <c r="AA157" s="770"/>
      <c r="AB157" s="771"/>
      <c r="AC157" s="768"/>
      <c r="AD157" s="770"/>
      <c r="AE157" s="771"/>
      <c r="AF157" s="768"/>
      <c r="AG157" s="770"/>
      <c r="AH157" s="771"/>
      <c r="AI157" s="768"/>
      <c r="AJ157" s="770"/>
      <c r="AK157" s="771"/>
      <c r="AL157" s="768"/>
      <c r="AM157" s="770"/>
      <c r="AN157" s="771"/>
      <c r="AO157" s="768"/>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33"/>
        <v>Véhicules usagésTOTAL DES DÉPENSES</v>
      </c>
      <c r="B158" s="1164" t="s">
        <v>144</v>
      </c>
      <c r="C158" s="1155" t="s">
        <v>119</v>
      </c>
      <c r="D158" s="1156">
        <f>IFERROR(E158/E$111,0)</f>
        <v>0.67714957702791934</v>
      </c>
      <c r="E158" s="1165">
        <f>E125+E138+E156</f>
        <v>1378337.9640403299</v>
      </c>
      <c r="F158" s="1155" t="s">
        <v>119</v>
      </c>
      <c r="G158" s="1156">
        <f>IFERROR(H158/H$111,0)</f>
        <v>0.88561406515768526</v>
      </c>
      <c r="H158" s="1165">
        <f>H125+H138+H156</f>
        <v>106273.68781892223</v>
      </c>
      <c r="I158" s="1155" t="s">
        <v>119</v>
      </c>
      <c r="J158" s="1156">
        <f>IFERROR(K158/K$111,0)</f>
        <v>0.81762562930135307</v>
      </c>
      <c r="K158" s="1165">
        <f>K125+K138+K156</f>
        <v>98115.075516162367</v>
      </c>
      <c r="L158" s="1155" t="s">
        <v>119</v>
      </c>
      <c r="M158" s="1156">
        <f>IFERROR(N158/N$111,0)</f>
        <v>0.66486003018761142</v>
      </c>
      <c r="N158" s="1165">
        <f>N125+N138+N156</f>
        <v>117015.3653130196</v>
      </c>
      <c r="O158" s="1155" t="s">
        <v>119</v>
      </c>
      <c r="P158" s="1156">
        <f>IFERROR(Q158/Q$111,0)</f>
        <v>0.66699076780795108</v>
      </c>
      <c r="Q158" s="1165">
        <f>Q125+Q138+Q156</f>
        <v>124393.77819618287</v>
      </c>
      <c r="R158" s="1155" t="s">
        <v>119</v>
      </c>
      <c r="S158" s="1156">
        <f>IFERROR(T158/T$111,0)</f>
        <v>0.66312022639957724</v>
      </c>
      <c r="T158" s="1165">
        <f>T125+T138+T156</f>
        <v>130303.12448751694</v>
      </c>
      <c r="U158" s="1155" t="s">
        <v>119</v>
      </c>
      <c r="V158" s="1156">
        <f>IFERROR(W158/W$111,0)</f>
        <v>0.6068966048135167</v>
      </c>
      <c r="W158" s="1165">
        <f>W125+W138+W156</f>
        <v>120165.52775307631</v>
      </c>
      <c r="X158" s="1155" t="s">
        <v>119</v>
      </c>
      <c r="Y158" s="1156">
        <f>IFERROR(Z158/Z$111,0)</f>
        <v>0.62874444283640873</v>
      </c>
      <c r="Z158" s="1165">
        <f>Z125+Z138+Z156</f>
        <v>119461.44413891766</v>
      </c>
      <c r="AA158" s="1155" t="s">
        <v>119</v>
      </c>
      <c r="AB158" s="1156">
        <f>IFERROR(AC158/AC$111,0)</f>
        <v>0.61939818820252568</v>
      </c>
      <c r="AC158" s="1165">
        <f>AC125+AC138+AC156</f>
        <v>115208.06300566977</v>
      </c>
      <c r="AD158" s="1155" t="s">
        <v>119</v>
      </c>
      <c r="AE158" s="1156">
        <f>IFERROR(AF158/AF$111,0)</f>
        <v>0.63218666892993003</v>
      </c>
      <c r="AF158" s="1165">
        <f>AF125+AF138+AF156</f>
        <v>114425.78707631733</v>
      </c>
      <c r="AG158" s="1155" t="s">
        <v>119</v>
      </c>
      <c r="AH158" s="1156">
        <f>IFERROR(AI158/AI$111,0)</f>
        <v>0.65081243625501883</v>
      </c>
      <c r="AI158" s="1165">
        <f>AI125+AI138+AI156</f>
        <v>119424.08205279596</v>
      </c>
      <c r="AJ158" s="1155" t="s">
        <v>119</v>
      </c>
      <c r="AK158" s="1156">
        <f>IFERROR(AL158/AL$111,0)</f>
        <v>0.68082956594738464</v>
      </c>
      <c r="AL158" s="1165">
        <f>AL125+AL138+AL156</f>
        <v>109273.14533455523</v>
      </c>
      <c r="AM158" s="1155" t="s">
        <v>119</v>
      </c>
      <c r="AN158" s="1156">
        <f>IFERROR(AO158/AO$111,0)</f>
        <v>0.75839187888868076</v>
      </c>
      <c r="AO158" s="1165">
        <f>AO125+AO138+AO156</f>
        <v>104278.88334719361</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33"/>
        <v>Véhicules usagésProgramme used 1</v>
      </c>
      <c r="B159" s="744" t="s">
        <v>158</v>
      </c>
      <c r="C159" s="785"/>
      <c r="D159" s="795"/>
      <c r="E159" s="752">
        <f t="shared" ref="E159:E165" si="37">+SUM(H159,K159,N159,Q159,T159,W159,Z159,AC159,AF159,AI159,AL159,AO159)</f>
        <v>0</v>
      </c>
      <c r="F159" s="785"/>
      <c r="G159" s="795"/>
      <c r="H159" s="765">
        <f>'[1]véh usagés'!$E$113</f>
        <v>0</v>
      </c>
      <c r="I159" s="785"/>
      <c r="J159" s="795"/>
      <c r="K159" s="765">
        <f>'[1]véh usagés'!$F$113</f>
        <v>0</v>
      </c>
      <c r="L159" s="785"/>
      <c r="M159" s="795"/>
      <c r="N159" s="765">
        <f>'[1]véh usagés'!$G$113</f>
        <v>0</v>
      </c>
      <c r="O159" s="785"/>
      <c r="P159" s="795"/>
      <c r="Q159" s="765">
        <f>'[1]véh usagés'!$H$113</f>
        <v>0</v>
      </c>
      <c r="R159" s="785"/>
      <c r="S159" s="795"/>
      <c r="T159" s="765">
        <f>'[1]véh usagés'!$I$113</f>
        <v>0</v>
      </c>
      <c r="U159" s="785"/>
      <c r="V159" s="795"/>
      <c r="W159" s="765">
        <f>'[1]véh usagés'!$J$113</f>
        <v>0</v>
      </c>
      <c r="X159" s="785"/>
      <c r="Y159" s="795"/>
      <c r="Z159" s="765">
        <f>'[1]véh usagés'!$K$113</f>
        <v>0</v>
      </c>
      <c r="AA159" s="785"/>
      <c r="AB159" s="795"/>
      <c r="AC159" s="765">
        <f>'[1]véh usagés'!$L$113</f>
        <v>0</v>
      </c>
      <c r="AD159" s="785"/>
      <c r="AE159" s="795"/>
      <c r="AF159" s="765">
        <f>'[1]véh usagés'!$M$113</f>
        <v>0</v>
      </c>
      <c r="AG159" s="785"/>
      <c r="AH159" s="795"/>
      <c r="AI159" s="765">
        <f>'[1]véh usagés'!$N$113</f>
        <v>0</v>
      </c>
      <c r="AJ159" s="785"/>
      <c r="AK159" s="795"/>
      <c r="AL159" s="765">
        <f>'[1]véh usagés'!$O$113</f>
        <v>0</v>
      </c>
      <c r="AM159" s="785"/>
      <c r="AN159" s="795"/>
      <c r="AO159" s="765">
        <f>'[1]véh usagés'!$P$113</f>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33"/>
        <v>Véhicules usagésProgramme used 2</v>
      </c>
      <c r="B160" s="744" t="s">
        <v>159</v>
      </c>
      <c r="C160" s="785"/>
      <c r="D160" s="795"/>
      <c r="E160" s="752">
        <f t="shared" si="37"/>
        <v>0</v>
      </c>
      <c r="F160" s="785"/>
      <c r="G160" s="795"/>
      <c r="H160" s="765">
        <f>'[1]véh usagés'!$E$118</f>
        <v>0</v>
      </c>
      <c r="I160" s="785"/>
      <c r="J160" s="795"/>
      <c r="K160" s="765">
        <f>'[1]véh usagés'!$F$118</f>
        <v>0</v>
      </c>
      <c r="L160" s="785"/>
      <c r="M160" s="795"/>
      <c r="N160" s="765">
        <f>'[1]véh usagés'!$G$118</f>
        <v>0</v>
      </c>
      <c r="O160" s="785"/>
      <c r="P160" s="795"/>
      <c r="Q160" s="765">
        <f>'[1]véh usagés'!$H$118</f>
        <v>0</v>
      </c>
      <c r="R160" s="785"/>
      <c r="S160" s="795"/>
      <c r="T160" s="765">
        <f>'[1]véh usagés'!$I$118</f>
        <v>0</v>
      </c>
      <c r="U160" s="785"/>
      <c r="V160" s="795"/>
      <c r="W160" s="765">
        <f>'[1]véh usagés'!$J$118</f>
        <v>0</v>
      </c>
      <c r="X160" s="785"/>
      <c r="Y160" s="795"/>
      <c r="Z160" s="765">
        <f>'[1]véh usagés'!$K$118</f>
        <v>0</v>
      </c>
      <c r="AA160" s="785"/>
      <c r="AB160" s="795"/>
      <c r="AC160" s="765">
        <f>'[1]véh usagés'!$L$118</f>
        <v>0</v>
      </c>
      <c r="AD160" s="785"/>
      <c r="AE160" s="795"/>
      <c r="AF160" s="765">
        <f>'[1]véh usagés'!$M$118</f>
        <v>0</v>
      </c>
      <c r="AG160" s="785"/>
      <c r="AH160" s="795"/>
      <c r="AI160" s="765">
        <f>'[1]véh usagés'!$N$118</f>
        <v>0</v>
      </c>
      <c r="AJ160" s="785"/>
      <c r="AK160" s="795"/>
      <c r="AL160" s="765">
        <f>'[1]véh usagés'!$O$118</f>
        <v>0</v>
      </c>
      <c r="AM160" s="785"/>
      <c r="AN160" s="795"/>
      <c r="AO160" s="765">
        <f>'[1]véh usagés'!$P$118</f>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33"/>
        <v>Véhicules usagésProgramme used 3</v>
      </c>
      <c r="B161" s="744" t="s">
        <v>160</v>
      </c>
      <c r="C161" s="744"/>
      <c r="D161" s="751"/>
      <c r="E161" s="752">
        <f t="shared" si="37"/>
        <v>0</v>
      </c>
      <c r="F161" s="744"/>
      <c r="G161" s="751"/>
      <c r="H161" s="765">
        <f>'[1]véh usagés'!$E$127</f>
        <v>0</v>
      </c>
      <c r="I161" s="744"/>
      <c r="J161" s="751"/>
      <c r="K161" s="765">
        <f>'[1]véh usagés'!$F$127</f>
        <v>0</v>
      </c>
      <c r="L161" s="744"/>
      <c r="M161" s="751"/>
      <c r="N161" s="765">
        <f>'[1]véh usagés'!$G$127</f>
        <v>0</v>
      </c>
      <c r="O161" s="744"/>
      <c r="P161" s="751"/>
      <c r="Q161" s="765">
        <f>'[1]véh usagés'!$H$127</f>
        <v>0</v>
      </c>
      <c r="R161" s="744"/>
      <c r="S161" s="751"/>
      <c r="T161" s="765">
        <f>'[1]véh usagés'!$I$127</f>
        <v>0</v>
      </c>
      <c r="U161" s="744"/>
      <c r="V161" s="751"/>
      <c r="W161" s="765">
        <f>'[1]véh usagés'!$J$127</f>
        <v>0</v>
      </c>
      <c r="X161" s="744"/>
      <c r="Y161" s="751"/>
      <c r="Z161" s="765">
        <f>'[1]véh usagés'!$K$127</f>
        <v>0</v>
      </c>
      <c r="AA161" s="744"/>
      <c r="AB161" s="751"/>
      <c r="AC161" s="765">
        <f>'[1]véh usagés'!$L$127</f>
        <v>0</v>
      </c>
      <c r="AD161" s="744"/>
      <c r="AE161" s="751"/>
      <c r="AF161" s="765">
        <f>'[1]véh usagés'!$M$127</f>
        <v>0</v>
      </c>
      <c r="AG161" s="744"/>
      <c r="AH161" s="751"/>
      <c r="AI161" s="765">
        <f>'[1]véh usagés'!$N$127</f>
        <v>0</v>
      </c>
      <c r="AJ161" s="744"/>
      <c r="AK161" s="751"/>
      <c r="AL161" s="765">
        <f>'[1]véh usagés'!$O$127</f>
        <v>0</v>
      </c>
      <c r="AM161" s="744"/>
      <c r="AN161" s="751"/>
      <c r="AO161" s="765">
        <f>'[1]véh usagés'!$P$127</f>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33"/>
        <v>Véhicules usagés[...]</v>
      </c>
      <c r="B162" s="744" t="s">
        <v>59</v>
      </c>
      <c r="C162" s="744"/>
      <c r="D162" s="751"/>
      <c r="E162" s="752">
        <f t="shared" si="37"/>
        <v>0</v>
      </c>
      <c r="F162" s="744"/>
      <c r="G162" s="751"/>
      <c r="H162" s="765"/>
      <c r="I162" s="744"/>
      <c r="J162" s="751"/>
      <c r="K162" s="765"/>
      <c r="L162" s="744"/>
      <c r="M162" s="751"/>
      <c r="N162" s="765"/>
      <c r="O162" s="744"/>
      <c r="P162" s="751"/>
      <c r="Q162" s="765"/>
      <c r="R162" s="744"/>
      <c r="S162" s="751"/>
      <c r="T162" s="765"/>
      <c r="U162" s="744"/>
      <c r="V162" s="751"/>
      <c r="W162" s="765"/>
      <c r="X162" s="744"/>
      <c r="Y162" s="751"/>
      <c r="Z162" s="765"/>
      <c r="AA162" s="744"/>
      <c r="AB162" s="751"/>
      <c r="AC162" s="765"/>
      <c r="AD162" s="744"/>
      <c r="AE162" s="751"/>
      <c r="AF162" s="765"/>
      <c r="AG162" s="744"/>
      <c r="AH162" s="751"/>
      <c r="AI162" s="765"/>
      <c r="AJ162" s="744"/>
      <c r="AK162" s="751"/>
      <c r="AL162" s="765"/>
      <c r="AM162" s="744"/>
      <c r="AN162" s="751"/>
      <c r="AO162" s="765"/>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33"/>
        <v>Véhicules usagés[...]</v>
      </c>
      <c r="B163" s="744" t="s">
        <v>59</v>
      </c>
      <c r="C163" s="744"/>
      <c r="D163" s="751"/>
      <c r="E163" s="752">
        <f t="shared" si="37"/>
        <v>0</v>
      </c>
      <c r="F163" s="744"/>
      <c r="G163" s="751"/>
      <c r="H163" s="765"/>
      <c r="I163" s="744"/>
      <c r="J163" s="751"/>
      <c r="K163" s="765"/>
      <c r="L163" s="744"/>
      <c r="M163" s="751"/>
      <c r="N163" s="765"/>
      <c r="O163" s="744"/>
      <c r="P163" s="751"/>
      <c r="Q163" s="765"/>
      <c r="R163" s="744"/>
      <c r="S163" s="751"/>
      <c r="T163" s="765"/>
      <c r="U163" s="744"/>
      <c r="V163" s="751"/>
      <c r="W163" s="765"/>
      <c r="X163" s="744"/>
      <c r="Y163" s="751"/>
      <c r="Z163" s="765"/>
      <c r="AA163" s="744"/>
      <c r="AB163" s="751"/>
      <c r="AC163" s="765"/>
      <c r="AD163" s="744"/>
      <c r="AE163" s="751"/>
      <c r="AF163" s="765"/>
      <c r="AG163" s="744"/>
      <c r="AH163" s="751"/>
      <c r="AI163" s="765"/>
      <c r="AJ163" s="744"/>
      <c r="AK163" s="751"/>
      <c r="AL163" s="765"/>
      <c r="AM163" s="744"/>
      <c r="AN163" s="751"/>
      <c r="AO163" s="765"/>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33"/>
        <v>Véhicules usagés[...]</v>
      </c>
      <c r="B164" s="744" t="s">
        <v>59</v>
      </c>
      <c r="C164" s="744"/>
      <c r="D164" s="751"/>
      <c r="E164" s="752">
        <f t="shared" si="37"/>
        <v>0</v>
      </c>
      <c r="F164" s="744"/>
      <c r="G164" s="751"/>
      <c r="H164" s="765"/>
      <c r="I164" s="744"/>
      <c r="J164" s="751"/>
      <c r="K164" s="765"/>
      <c r="L164" s="744"/>
      <c r="M164" s="751"/>
      <c r="N164" s="765"/>
      <c r="O164" s="744"/>
      <c r="P164" s="751"/>
      <c r="Q164" s="765"/>
      <c r="R164" s="744"/>
      <c r="S164" s="751"/>
      <c r="T164" s="765"/>
      <c r="U164" s="744"/>
      <c r="V164" s="751"/>
      <c r="W164" s="765"/>
      <c r="X164" s="744"/>
      <c r="Y164" s="751"/>
      <c r="Z164" s="765"/>
      <c r="AA164" s="744"/>
      <c r="AB164" s="751"/>
      <c r="AC164" s="765"/>
      <c r="AD164" s="744"/>
      <c r="AE164" s="751"/>
      <c r="AF164" s="765"/>
      <c r="AG164" s="744"/>
      <c r="AH164" s="751"/>
      <c r="AI164" s="765"/>
      <c r="AJ164" s="744"/>
      <c r="AK164" s="751"/>
      <c r="AL164" s="765"/>
      <c r="AM164" s="744"/>
      <c r="AN164" s="751"/>
      <c r="AO164" s="765"/>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33"/>
        <v>Véhicules usagésFrais administration</v>
      </c>
      <c r="B165" s="770" t="s">
        <v>149</v>
      </c>
      <c r="C165" s="770"/>
      <c r="D165" s="771"/>
      <c r="E165" s="768">
        <f t="shared" si="37"/>
        <v>242541.65</v>
      </c>
      <c r="F165" s="770"/>
      <c r="G165" s="771"/>
      <c r="H165" s="769">
        <f>'[1]Vehicules usages 2026'!E53</f>
        <v>14561.599999999999</v>
      </c>
      <c r="I165" s="770"/>
      <c r="J165" s="771"/>
      <c r="K165" s="769">
        <f>'[1]Vehicules usages 2026'!F53</f>
        <v>15016.65</v>
      </c>
      <c r="L165" s="770"/>
      <c r="M165" s="771"/>
      <c r="N165" s="769">
        <f>'[1]Vehicules usages 2026'!G53</f>
        <v>22297.45</v>
      </c>
      <c r="O165" s="770"/>
      <c r="P165" s="771"/>
      <c r="Q165" s="769">
        <f>'[1]Vehicules usages 2026'!H53</f>
        <v>23207.55</v>
      </c>
      <c r="R165" s="770"/>
      <c r="S165" s="771"/>
      <c r="T165" s="769">
        <f>'[1]Vehicules usages 2026'!I53</f>
        <v>24117.649999999998</v>
      </c>
      <c r="U165" s="770"/>
      <c r="V165" s="771"/>
      <c r="W165" s="769">
        <f>'[1]Vehicules usages 2026'!J53</f>
        <v>23207.55</v>
      </c>
      <c r="X165" s="770"/>
      <c r="Y165" s="771"/>
      <c r="Z165" s="769">
        <f>'[1]Vehicules usages 2026'!K53</f>
        <v>21842.399999999998</v>
      </c>
      <c r="AA165" s="770"/>
      <c r="AB165" s="771"/>
      <c r="AC165" s="769">
        <f>'[1]Vehicules usages 2026'!L53</f>
        <v>21387.35</v>
      </c>
      <c r="AD165" s="770"/>
      <c r="AE165" s="771"/>
      <c r="AF165" s="769">
        <f>'[1]Vehicules usages 2026'!M53</f>
        <v>21387.35</v>
      </c>
      <c r="AG165" s="770"/>
      <c r="AH165" s="771"/>
      <c r="AI165" s="769">
        <f>'[1]Vehicules usages 2026'!N53</f>
        <v>20932.3</v>
      </c>
      <c r="AJ165" s="770"/>
      <c r="AK165" s="771"/>
      <c r="AL165" s="769">
        <f>'[1]Vehicules usages 2026'!O53</f>
        <v>18657.05</v>
      </c>
      <c r="AM165" s="770"/>
      <c r="AN165" s="771"/>
      <c r="AO165" s="769">
        <f>'[1]Vehicules usages 2026'!P53</f>
        <v>15926.75</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33"/>
        <v>Véhicules usagésAUTRES REVENUS</v>
      </c>
      <c r="B166" s="1164" t="s">
        <v>150</v>
      </c>
      <c r="C166" s="1176"/>
      <c r="D166" s="1177"/>
      <c r="E166" s="1165">
        <f>+SUM(E159:E165)</f>
        <v>242541.65</v>
      </c>
      <c r="F166" s="1176"/>
      <c r="G166" s="1177"/>
      <c r="H166" s="1165">
        <f>+SUM(H159:H165)</f>
        <v>14561.599999999999</v>
      </c>
      <c r="I166" s="1176"/>
      <c r="J166" s="1177"/>
      <c r="K166" s="1165">
        <f>+SUM(K159:K165)</f>
        <v>15016.65</v>
      </c>
      <c r="L166" s="1176"/>
      <c r="M166" s="1177"/>
      <c r="N166" s="1165">
        <f>+SUM(N159:N165)</f>
        <v>22297.45</v>
      </c>
      <c r="O166" s="1176"/>
      <c r="P166" s="1177"/>
      <c r="Q166" s="1165">
        <f>+SUM(Q159:Q165)</f>
        <v>23207.55</v>
      </c>
      <c r="R166" s="1176"/>
      <c r="S166" s="1177"/>
      <c r="T166" s="1165">
        <f>+SUM(T159:T165)</f>
        <v>24117.649999999998</v>
      </c>
      <c r="U166" s="1176"/>
      <c r="V166" s="1177"/>
      <c r="W166" s="1165">
        <f>+SUM(W159:W165)</f>
        <v>23207.55</v>
      </c>
      <c r="X166" s="1176"/>
      <c r="Y166" s="1177"/>
      <c r="Z166" s="1165">
        <f>+SUM(Z159:Z165)</f>
        <v>21842.399999999998</v>
      </c>
      <c r="AA166" s="1176"/>
      <c r="AB166" s="1177"/>
      <c r="AC166" s="1165">
        <f>+SUM(AC159:AC165)</f>
        <v>21387.35</v>
      </c>
      <c r="AD166" s="1176"/>
      <c r="AE166" s="1177"/>
      <c r="AF166" s="1165">
        <f>+SUM(AF159:AF165)</f>
        <v>21387.35</v>
      </c>
      <c r="AG166" s="1176"/>
      <c r="AH166" s="1177"/>
      <c r="AI166" s="1165">
        <f>+SUM(AI159:AI165)</f>
        <v>20932.3</v>
      </c>
      <c r="AJ166" s="1176"/>
      <c r="AK166" s="1177"/>
      <c r="AL166" s="1165">
        <f>+SUM(AL159:AL165)</f>
        <v>18657.05</v>
      </c>
      <c r="AM166" s="1176"/>
      <c r="AN166" s="1177"/>
      <c r="AO166" s="1165">
        <f>+SUM(AO159:AO165)</f>
        <v>15926.75</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33"/>
        <v>Véhicules usagés</v>
      </c>
      <c r="B167" s="744"/>
      <c r="C167" s="744"/>
      <c r="D167" s="751"/>
      <c r="E167" s="752"/>
      <c r="F167" s="744"/>
      <c r="G167" s="751"/>
      <c r="H167" s="752"/>
      <c r="I167" s="744"/>
      <c r="J167" s="751"/>
      <c r="K167" s="752"/>
      <c r="L167" s="744"/>
      <c r="M167" s="751"/>
      <c r="N167" s="752"/>
      <c r="O167" s="744"/>
      <c r="P167" s="751"/>
      <c r="Q167" s="752"/>
      <c r="R167" s="744"/>
      <c r="S167" s="751"/>
      <c r="T167" s="752"/>
      <c r="U167" s="744"/>
      <c r="V167" s="751"/>
      <c r="W167" s="752"/>
      <c r="X167" s="744"/>
      <c r="Y167" s="751"/>
      <c r="Z167" s="752"/>
      <c r="AA167" s="744"/>
      <c r="AB167" s="751"/>
      <c r="AC167" s="752"/>
      <c r="AD167" s="744"/>
      <c r="AE167" s="751"/>
      <c r="AF167" s="752"/>
      <c r="AG167" s="744"/>
      <c r="AH167" s="751"/>
      <c r="AI167" s="752"/>
      <c r="AJ167" s="744"/>
      <c r="AK167" s="751"/>
      <c r="AL167" s="752"/>
      <c r="AM167" s="744"/>
      <c r="AN167" s="751"/>
      <c r="AO167" s="752"/>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33"/>
        <v>Véhicules usagésPROFIT DÉPARTEMENTAL</v>
      </c>
      <c r="B168" s="1168" t="s">
        <v>151</v>
      </c>
      <c r="C168" s="1168"/>
      <c r="D168" s="1178">
        <f>E168/E96</f>
        <v>4.8623147630078377E-2</v>
      </c>
      <c r="E168" s="1171">
        <f>E111-E158+E166</f>
        <v>899703.68595967011</v>
      </c>
      <c r="F168" s="1168"/>
      <c r="G168" s="1179"/>
      <c r="H168" s="1171">
        <f>H111-H158+H166</f>
        <v>28287.912181077765</v>
      </c>
      <c r="I168" s="1168"/>
      <c r="J168" s="1179"/>
      <c r="K168" s="1171">
        <f>K111-K158+K166</f>
        <v>36901.574483837634</v>
      </c>
      <c r="L168" s="1168"/>
      <c r="M168" s="1179"/>
      <c r="N168" s="1171">
        <f>N111-N158+N166</f>
        <v>81282.084686980394</v>
      </c>
      <c r="O168" s="1168"/>
      <c r="P168" s="1179"/>
      <c r="Q168" s="1171">
        <f>Q111-Q158+Q166</f>
        <v>85313.77180381713</v>
      </c>
      <c r="R168" s="1168"/>
      <c r="S168" s="1179"/>
      <c r="T168" s="1171">
        <f>T111-T158+T166</f>
        <v>90314.525512483058</v>
      </c>
      <c r="U168" s="1168"/>
      <c r="V168" s="1179"/>
      <c r="W168" s="1171">
        <f>W111-W158+W166</f>
        <v>101042.02224692369</v>
      </c>
      <c r="X168" s="1168"/>
      <c r="Y168" s="1179"/>
      <c r="Z168" s="1171">
        <f>Z111-Z158+Z166</f>
        <v>92380.95586108233</v>
      </c>
      <c r="AA168" s="1168"/>
      <c r="AB168" s="1179"/>
      <c r="AC168" s="1171">
        <f>AC111-AC158+AC166</f>
        <v>92179.286994330236</v>
      </c>
      <c r="AD168" s="1168"/>
      <c r="AE168" s="1179"/>
      <c r="AF168" s="1171">
        <f>AF111-AF158+AF166</f>
        <v>87961.562923682679</v>
      </c>
      <c r="AG168" s="1168"/>
      <c r="AH168" s="1179"/>
      <c r="AI168" s="1171">
        <f>AI111-AI158+AI166</f>
        <v>85008.217947204044</v>
      </c>
      <c r="AJ168" s="1168"/>
      <c r="AK168" s="1179"/>
      <c r="AL168" s="1171">
        <f>AL111-AL158+AL166</f>
        <v>69883.904665444774</v>
      </c>
      <c r="AM168" s="1168"/>
      <c r="AN168" s="1179"/>
      <c r="AO168" s="1171">
        <f>AO111-AO158+AO166</f>
        <v>49147.866652806391</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783"/>
      <c r="C169" s="783"/>
      <c r="D169" s="783"/>
      <c r="E169" s="796"/>
      <c r="F169" s="783"/>
      <c r="G169" s="783"/>
      <c r="H169" s="796"/>
      <c r="I169" s="783"/>
      <c r="J169" s="783"/>
      <c r="K169" s="796"/>
      <c r="L169" s="783"/>
      <c r="M169" s="783"/>
      <c r="N169" s="796"/>
      <c r="O169" s="783"/>
      <c r="P169" s="783"/>
      <c r="Q169" s="796"/>
      <c r="R169" s="783"/>
      <c r="S169" s="783"/>
      <c r="T169" s="796"/>
      <c r="U169" s="783"/>
      <c r="V169" s="783"/>
      <c r="W169" s="796"/>
      <c r="X169" s="783"/>
      <c r="Y169" s="783"/>
      <c r="Z169" s="796"/>
      <c r="AA169" s="783"/>
      <c r="AB169" s="783"/>
      <c r="AC169" s="796"/>
      <c r="AD169" s="783"/>
      <c r="AE169" s="783"/>
      <c r="AF169" s="796"/>
      <c r="AG169" s="783"/>
      <c r="AH169" s="783"/>
      <c r="AI169" s="796"/>
      <c r="AJ169" s="783"/>
      <c r="AK169" s="783"/>
      <c r="AL169" s="796"/>
      <c r="AM169" s="783"/>
      <c r="AN169" s="783"/>
      <c r="AO169" s="796"/>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783"/>
      <c r="C170" s="783"/>
      <c r="D170" s="783"/>
      <c r="E170" s="783"/>
      <c r="F170" s="783"/>
      <c r="G170" s="783"/>
      <c r="H170" s="783"/>
      <c r="I170" s="783"/>
      <c r="J170" s="783"/>
      <c r="K170" s="783"/>
      <c r="L170" s="783"/>
      <c r="M170" s="783"/>
      <c r="N170" s="783"/>
      <c r="O170" s="783"/>
      <c r="P170" s="783"/>
      <c r="Q170" s="783"/>
      <c r="R170" s="783"/>
      <c r="S170" s="783"/>
      <c r="T170" s="783"/>
      <c r="U170" s="783"/>
      <c r="V170" s="783"/>
      <c r="W170" s="783"/>
      <c r="X170" s="783"/>
      <c r="Y170" s="783"/>
      <c r="Z170" s="783"/>
      <c r="AA170" s="783"/>
      <c r="AB170" s="783"/>
      <c r="AC170" s="783"/>
      <c r="AD170" s="783"/>
      <c r="AE170" s="783"/>
      <c r="AF170" s="783"/>
      <c r="AG170" s="783"/>
      <c r="AH170" s="783"/>
      <c r="AI170" s="783"/>
      <c r="AJ170" s="783"/>
      <c r="AK170" s="783"/>
      <c r="AL170" s="783"/>
      <c r="AM170" s="783"/>
      <c r="AN170" s="783"/>
      <c r="AO170" s="783"/>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1173" t="str">
        <f>B4</f>
        <v>Budget 2025</v>
      </c>
      <c r="C171" s="784" t="s">
        <v>161</v>
      </c>
      <c r="D171" s="784"/>
      <c r="E171" s="784"/>
      <c r="F171" s="784"/>
      <c r="G171" s="784"/>
      <c r="H171" s="784"/>
      <c r="I171" s="784"/>
      <c r="J171" s="784"/>
      <c r="K171" s="784"/>
      <c r="L171" s="784"/>
      <c r="M171" s="784"/>
      <c r="N171" s="784"/>
      <c r="O171" s="784"/>
      <c r="P171" s="784"/>
      <c r="Q171" s="784"/>
      <c r="R171" s="784"/>
      <c r="S171" s="784"/>
      <c r="T171" s="784"/>
      <c r="U171" s="784"/>
      <c r="V171" s="784"/>
      <c r="W171" s="784"/>
      <c r="X171" s="784"/>
      <c r="Y171" s="784"/>
      <c r="Z171" s="784"/>
      <c r="AA171" s="784"/>
      <c r="AB171" s="784"/>
      <c r="AC171" s="784"/>
      <c r="AD171" s="784"/>
      <c r="AE171" s="784"/>
      <c r="AF171" s="784"/>
      <c r="AG171" s="784"/>
      <c r="AH171" s="784"/>
      <c r="AI171" s="784"/>
      <c r="AJ171" s="784"/>
      <c r="AK171" s="784"/>
      <c r="AL171" s="784"/>
      <c r="AM171" s="784"/>
      <c r="AN171" s="784"/>
      <c r="AO171" s="784"/>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1174"/>
      <c r="C172" s="783"/>
      <c r="D172" s="783"/>
      <c r="E172" s="783"/>
      <c r="F172" s="783"/>
      <c r="G172" s="783"/>
      <c r="H172" s="783"/>
      <c r="I172" s="783"/>
      <c r="J172" s="783"/>
      <c r="K172" s="783"/>
      <c r="L172" s="783"/>
      <c r="M172" s="783"/>
      <c r="N172" s="783"/>
      <c r="O172" s="783"/>
      <c r="P172" s="783"/>
      <c r="Q172" s="783"/>
      <c r="R172" s="783"/>
      <c r="S172" s="783"/>
      <c r="T172" s="783"/>
      <c r="U172" s="783"/>
      <c r="V172" s="783"/>
      <c r="W172" s="783"/>
      <c r="X172" s="783"/>
      <c r="Y172" s="783"/>
      <c r="Z172" s="783"/>
      <c r="AA172" s="783"/>
      <c r="AB172" s="783"/>
      <c r="AC172" s="783"/>
      <c r="AD172" s="783"/>
      <c r="AE172" s="783"/>
      <c r="AF172" s="783"/>
      <c r="AG172" s="783"/>
      <c r="AH172" s="783"/>
      <c r="AI172" s="783"/>
      <c r="AJ172" s="783"/>
      <c r="AK172" s="783"/>
      <c r="AL172" s="783"/>
      <c r="AM172" s="783"/>
      <c r="AN172" s="783"/>
      <c r="AO172" s="783"/>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912" t="s">
        <v>3</v>
      </c>
      <c r="C173" s="1287">
        <v>2021</v>
      </c>
      <c r="D173" s="1288"/>
      <c r="E173" s="1289"/>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38">+$C$171&amp;B174</f>
        <v>Service</v>
      </c>
      <c r="B174" s="744"/>
      <c r="C174" s="785" t="s">
        <v>162</v>
      </c>
      <c r="D174" s="762" t="s">
        <v>163</v>
      </c>
      <c r="E174" s="786" t="s">
        <v>95</v>
      </c>
      <c r="F174" s="785" t="s">
        <v>162</v>
      </c>
      <c r="G174" s="762" t="s">
        <v>163</v>
      </c>
      <c r="H174" s="786" t="s">
        <v>95</v>
      </c>
      <c r="I174" s="785" t="s">
        <v>162</v>
      </c>
      <c r="J174" s="762" t="s">
        <v>163</v>
      </c>
      <c r="K174" s="786" t="s">
        <v>95</v>
      </c>
      <c r="L174" s="785" t="s">
        <v>162</v>
      </c>
      <c r="M174" s="762" t="s">
        <v>163</v>
      </c>
      <c r="N174" s="786" t="s">
        <v>95</v>
      </c>
      <c r="O174" s="785" t="s">
        <v>162</v>
      </c>
      <c r="P174" s="762" t="s">
        <v>163</v>
      </c>
      <c r="Q174" s="786" t="s">
        <v>95</v>
      </c>
      <c r="R174" s="785" t="s">
        <v>162</v>
      </c>
      <c r="S174" s="762" t="s">
        <v>163</v>
      </c>
      <c r="T174" s="786" t="s">
        <v>95</v>
      </c>
      <c r="U174" s="785" t="s">
        <v>162</v>
      </c>
      <c r="V174" s="762" t="s">
        <v>163</v>
      </c>
      <c r="W174" s="786" t="s">
        <v>95</v>
      </c>
      <c r="X174" s="785" t="s">
        <v>162</v>
      </c>
      <c r="Y174" s="762" t="s">
        <v>163</v>
      </c>
      <c r="Z174" s="786" t="s">
        <v>95</v>
      </c>
      <c r="AA174" s="785" t="s">
        <v>162</v>
      </c>
      <c r="AB174" s="762" t="s">
        <v>163</v>
      </c>
      <c r="AC174" s="786" t="s">
        <v>95</v>
      </c>
      <c r="AD174" s="785" t="s">
        <v>162</v>
      </c>
      <c r="AE174" s="762" t="s">
        <v>163</v>
      </c>
      <c r="AF174" s="786" t="s">
        <v>95</v>
      </c>
      <c r="AG174" s="785" t="s">
        <v>162</v>
      </c>
      <c r="AH174" s="762" t="s">
        <v>163</v>
      </c>
      <c r="AI174" s="786" t="s">
        <v>95</v>
      </c>
      <c r="AJ174" s="785" t="s">
        <v>162</v>
      </c>
      <c r="AK174" s="762" t="s">
        <v>163</v>
      </c>
      <c r="AL174" s="786" t="s">
        <v>95</v>
      </c>
      <c r="AM174" s="785" t="s">
        <v>162</v>
      </c>
      <c r="AN174" s="762" t="s">
        <v>163</v>
      </c>
      <c r="AO174" s="786"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38"/>
        <v>ServiceM/O Client</v>
      </c>
      <c r="B175" s="744" t="s">
        <v>164</v>
      </c>
      <c r="C175" s="797">
        <f>+SUM(F175,I175,L175,O175,R175,U175,X175,AA175,AD175,AG175,AJ175,AM175)</f>
        <v>5803.0000000000009</v>
      </c>
      <c r="D175" s="764">
        <f>+SUM(G175,J175,M175,P175,S175,V175,Y175,AB175,AE175,AH175,AK175,AN175)</f>
        <v>2031049.9999999995</v>
      </c>
      <c r="E175" s="752">
        <f>+SUM(H175,K175,N175,Q175,T175,W175,Z175,AC175,AF175,AI175,AL175,AO175)</f>
        <v>1598436.3499999999</v>
      </c>
      <c r="F175" s="798">
        <f>'[1]Bud men fixes'!$E$73</f>
        <v>294.76237807605202</v>
      </c>
      <c r="G175" s="799">
        <f>'[1]Bud men fixes'!$E$6</f>
        <v>103166.8323266182</v>
      </c>
      <c r="H175" s="765">
        <f>'[1]Bud men fixes'!$E$5</f>
        <v>81192.297041048529</v>
      </c>
      <c r="I175" s="798">
        <f>'[1]Bud men fixes'!$F$73</f>
        <v>283.72149852865647</v>
      </c>
      <c r="J175" s="799">
        <f>'[1]Bud men fixes'!$F$6</f>
        <v>99302.52448502976</v>
      </c>
      <c r="K175" s="765">
        <f>'[1]Bud men fixes'!$F$5</f>
        <v>78151.086769718429</v>
      </c>
      <c r="L175" s="798">
        <f>'[1]Bud men fixes'!$G$73</f>
        <v>370.38159707021657</v>
      </c>
      <c r="M175" s="799">
        <f>'[1]Bud men fixes'!$G$6</f>
        <v>129633.5589745758</v>
      </c>
      <c r="N175" s="765">
        <f>'[1]Bud men fixes'!$G$5</f>
        <v>102021.61091299116</v>
      </c>
      <c r="O175" s="798">
        <f>'[1]Bud men fixes'!$H$73</f>
        <v>659.01552188133667</v>
      </c>
      <c r="P175" s="799">
        <f>'[1]Bud men fixes'!$H$6</f>
        <v>230655.43265846782</v>
      </c>
      <c r="Q175" s="765">
        <f>'[1]Bud men fixes'!$H$5</f>
        <v>181525.82550221417</v>
      </c>
      <c r="R175" s="798">
        <f>'[1]Bud men fixes'!$I$73</f>
        <v>620.90288771897451</v>
      </c>
      <c r="S175" s="799">
        <f>'[1]Bud men fixes'!$I$6</f>
        <v>217316.01070164109</v>
      </c>
      <c r="T175" s="765">
        <f>'[1]Bud men fixes'!$I$5</f>
        <v>171027.70042219156</v>
      </c>
      <c r="U175" s="798">
        <f>'[1]Bud men fixes'!$J$73</f>
        <v>423.81970065732037</v>
      </c>
      <c r="V175" s="799">
        <f>'[1]Bud men fixes'!$J$6</f>
        <v>148336.89523006213</v>
      </c>
      <c r="W175" s="765">
        <f>'[1]Bud men fixes'!$J$5</f>
        <v>116741.1365460589</v>
      </c>
      <c r="X175" s="798">
        <f>'[1]Bud men fixes'!$K$73</f>
        <v>411.51758821408816</v>
      </c>
      <c r="Y175" s="799">
        <f>'[1]Bud men fixes'!$K$6</f>
        <v>144031.15587493085</v>
      </c>
      <c r="Z175" s="765">
        <f>'[1]Bud men fixes'!$K$5</f>
        <v>113352.51967357058</v>
      </c>
      <c r="AA175" s="798">
        <f>'[1]Bud men fixes'!$L$73</f>
        <v>409.5330002686436</v>
      </c>
      <c r="AB175" s="799">
        <f>'[1]Bud men fixes'!$L$6</f>
        <v>143336.55009402527</v>
      </c>
      <c r="AC175" s="765">
        <f>'[1]Bud men fixes'!$L$5</f>
        <v>112805.86492399788</v>
      </c>
      <c r="AD175" s="798">
        <f>'[1]Bud men fixes'!$M$73</f>
        <v>388.66542486707237</v>
      </c>
      <c r="AE175" s="799">
        <f>'[1]Bud men fixes'!$M$6</f>
        <v>136032.89870347534</v>
      </c>
      <c r="AF175" s="765">
        <f>'[1]Bud men fixes'!$M$5</f>
        <v>107057.89127963509</v>
      </c>
      <c r="AG175" s="798">
        <f>'[1]Bud men fixes'!$N$73</f>
        <v>592.43026349314778</v>
      </c>
      <c r="AH175" s="799">
        <f>'[1]Bud men fixes'!$N$6</f>
        <v>207350.5922226017</v>
      </c>
      <c r="AI175" s="765">
        <f>'[1]Bud men fixes'!$N$5</f>
        <v>163184.91607918753</v>
      </c>
      <c r="AJ175" s="798">
        <f>'[1]Bud men fixes'!$O$73</f>
        <v>886.22515645668841</v>
      </c>
      <c r="AK175" s="799">
        <f>'[1]Bud men fixes'!$O$6</f>
        <v>310178.80475984095</v>
      </c>
      <c r="AL175" s="765">
        <f>'[1]Bud men fixes'!$O$5</f>
        <v>244110.71934599485</v>
      </c>
      <c r="AM175" s="798">
        <f>'[1]Bud men fixes'!$P$73</f>
        <v>462.02498276780256</v>
      </c>
      <c r="AN175" s="799">
        <f>'[1]Bud men fixes'!$P$6</f>
        <v>161708.74396873091</v>
      </c>
      <c r="AO175" s="765">
        <f>'[1]Bud men fixes'!$P$5</f>
        <v>127264.78150339123</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38"/>
        <v>Service% profit / ventes</v>
      </c>
      <c r="B176" s="744" t="s">
        <v>165</v>
      </c>
      <c r="C176" s="797"/>
      <c r="D176" s="751"/>
      <c r="E176" s="800">
        <f>IF(E175=0,0,E175/D175)</f>
        <v>0.78700000000000014</v>
      </c>
      <c r="F176" s="797"/>
      <c r="G176" s="751"/>
      <c r="H176" s="800">
        <f>IF(H175=0,0,H175/G175)</f>
        <v>0.78700000000000003</v>
      </c>
      <c r="I176" s="797"/>
      <c r="J176" s="751"/>
      <c r="K176" s="800">
        <f>IF(K175=0,0,K175/J175)</f>
        <v>0.78700000000000003</v>
      </c>
      <c r="L176" s="797"/>
      <c r="M176" s="751"/>
      <c r="N176" s="800">
        <f>IF(N175=0,0,N175/M175)</f>
        <v>0.78700000000000003</v>
      </c>
      <c r="O176" s="797"/>
      <c r="P176" s="751"/>
      <c r="Q176" s="800">
        <f>IF(Q175=0,0,Q175/P175)</f>
        <v>0.78699999999999992</v>
      </c>
      <c r="R176" s="797"/>
      <c r="S176" s="751"/>
      <c r="T176" s="800">
        <f>IF(T175=0,0,T175/S175)</f>
        <v>0.78700000000000003</v>
      </c>
      <c r="U176" s="797"/>
      <c r="V176" s="751"/>
      <c r="W176" s="800">
        <f>IF(W175=0,0,W175/V175)</f>
        <v>0.78700000000000003</v>
      </c>
      <c r="X176" s="797"/>
      <c r="Y176" s="751"/>
      <c r="Z176" s="800">
        <f>IF(Z175=0,0,Z175/Y175)</f>
        <v>0.78700000000000003</v>
      </c>
      <c r="AA176" s="797"/>
      <c r="AB176" s="751"/>
      <c r="AC176" s="800">
        <f>IF(AC175=0,0,AC175/AB175)</f>
        <v>0.78700000000000003</v>
      </c>
      <c r="AD176" s="797"/>
      <c r="AE176" s="751"/>
      <c r="AF176" s="800">
        <f>IF(AF175=0,0,AF175/AE175)</f>
        <v>0.78700000000000003</v>
      </c>
      <c r="AG176" s="797"/>
      <c r="AH176" s="751"/>
      <c r="AI176" s="800">
        <f>IF(AI175=0,0,AI175/AH175)</f>
        <v>0.78700000000000003</v>
      </c>
      <c r="AJ176" s="797"/>
      <c r="AK176" s="751"/>
      <c r="AL176" s="800">
        <f>IF(AL175=0,0,AL175/AK175)</f>
        <v>0.78700000000000003</v>
      </c>
      <c r="AM176" s="797"/>
      <c r="AN176" s="751"/>
      <c r="AO176" s="800">
        <f>IF(AO175=0,0,AO175/AN175)</f>
        <v>0.78700000000000003</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38"/>
        <v>Service</v>
      </c>
      <c r="B177" s="770"/>
      <c r="C177" s="801"/>
      <c r="D177" s="802">
        <f>IFERROR(D175/C175,0)</f>
        <v>349.99999999999989</v>
      </c>
      <c r="E177" s="803"/>
      <c r="F177" s="801"/>
      <c r="G177" s="802">
        <f>IFERROR(G175/F175,0)</f>
        <v>350</v>
      </c>
      <c r="H177" s="803"/>
      <c r="I177" s="801"/>
      <c r="J177" s="802">
        <f>IFERROR(J175/I175,0)</f>
        <v>350</v>
      </c>
      <c r="K177" s="803"/>
      <c r="L177" s="801"/>
      <c r="M177" s="802">
        <f>IFERROR(M175/L175,0)</f>
        <v>350</v>
      </c>
      <c r="N177" s="803"/>
      <c r="O177" s="801"/>
      <c r="P177" s="802">
        <f>IFERROR(P175/O175,0)</f>
        <v>350</v>
      </c>
      <c r="Q177" s="803"/>
      <c r="R177" s="801"/>
      <c r="S177" s="802">
        <f>IFERROR(S175/R175,0)</f>
        <v>350</v>
      </c>
      <c r="T177" s="803"/>
      <c r="U177" s="801"/>
      <c r="V177" s="802">
        <f>IFERROR(V175/U175,0)</f>
        <v>350</v>
      </c>
      <c r="W177" s="803"/>
      <c r="X177" s="801"/>
      <c r="Y177" s="802">
        <f>IFERROR(Y175/X175,0)</f>
        <v>350</v>
      </c>
      <c r="Z177" s="803"/>
      <c r="AA177" s="801"/>
      <c r="AB177" s="802">
        <f>IFERROR(AB175/AA175,0)</f>
        <v>350</v>
      </c>
      <c r="AC177" s="803"/>
      <c r="AD177" s="801"/>
      <c r="AE177" s="802">
        <f>IFERROR(AE175/AD175,0)</f>
        <v>350</v>
      </c>
      <c r="AF177" s="803"/>
      <c r="AG177" s="801"/>
      <c r="AH177" s="802">
        <f>IFERROR(AH175/AG175,0)</f>
        <v>349.99999999999994</v>
      </c>
      <c r="AI177" s="803"/>
      <c r="AJ177" s="801"/>
      <c r="AK177" s="802">
        <f>IFERROR(AK175/AJ175,0)</f>
        <v>350</v>
      </c>
      <c r="AL177" s="803"/>
      <c r="AM177" s="801"/>
      <c r="AN177" s="802">
        <f>IFERROR(AN175/AM175,0)</f>
        <v>350.00000000000006</v>
      </c>
      <c r="AO177" s="803"/>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38"/>
        <v>ServiceM/O Garantie</v>
      </c>
      <c r="B178" s="1142" t="s">
        <v>166</v>
      </c>
      <c r="C178" s="1180">
        <f>+SUM(F178,I178,L178,O178,R178,U178,X178,AA178,AD178,AG178,AJ178,AM178)</f>
        <v>2377</v>
      </c>
      <c r="D178" s="1181">
        <f>+SUM(G178,J178,M178,P178,S178,V178,Y178,AB178,AE178,AH178,AK178,AN178)</f>
        <v>713100.00000000012</v>
      </c>
      <c r="E178" s="1161">
        <f>+SUM(H178,K178,N178,Q178,T178,W178,Z178,AC178,AF178,AI178,AL178,AO178)</f>
        <v>459949.5</v>
      </c>
      <c r="F178" s="1182">
        <f>'[1]Bud men fixes'!$E$76</f>
        <v>273.53966785057435</v>
      </c>
      <c r="G178" s="1183">
        <f>'[1]Bud men fixes'!$E$9</f>
        <v>82061.9003551723</v>
      </c>
      <c r="H178" s="1162">
        <f>'[1]Bud men fixes'!$E$8</f>
        <v>52929.925729086135</v>
      </c>
      <c r="I178" s="1182">
        <f>'[1]Bud men fixes'!$F$76</f>
        <v>235.88237362310653</v>
      </c>
      <c r="J178" s="1183">
        <f>'[1]Bud men fixes'!$F$9</f>
        <v>70764.712086931962</v>
      </c>
      <c r="K178" s="1162">
        <f>'[1]Bud men fixes'!$F$8</f>
        <v>45643.239296071115</v>
      </c>
      <c r="L178" s="1182">
        <f>'[1]Bud men fixes'!$G$76</f>
        <v>290.91736964263987</v>
      </c>
      <c r="M178" s="1183">
        <f>'[1]Bud men fixes'!$G$9</f>
        <v>87275.210892791962</v>
      </c>
      <c r="N178" s="1162">
        <f>'[1]Bud men fixes'!$G$8</f>
        <v>56292.511025850814</v>
      </c>
      <c r="O178" s="1182">
        <f>'[1]Bud men fixes'!$H$76</f>
        <v>139.91529733713244</v>
      </c>
      <c r="P178" s="1183">
        <f>'[1]Bud men fixes'!$H$9</f>
        <v>41974.58920113973</v>
      </c>
      <c r="Q178" s="1162">
        <f>'[1]Bud men fixes'!$H$8</f>
        <v>27073.610034735128</v>
      </c>
      <c r="R178" s="1182">
        <f>'[1]Bud men fixes'!$I$76</f>
        <v>149.96147628257265</v>
      </c>
      <c r="S178" s="1183">
        <f>'[1]Bud men fixes'!$I$9</f>
        <v>44988.442884771794</v>
      </c>
      <c r="T178" s="1162">
        <f>'[1]Bud men fixes'!$I$8</f>
        <v>29017.545660677806</v>
      </c>
      <c r="U178" s="1182">
        <f>'[1]Bud men fixes'!$J$76</f>
        <v>205.16198987760498</v>
      </c>
      <c r="V178" s="1183">
        <f>'[1]Bud men fixes'!$J$9</f>
        <v>61548.596963281496</v>
      </c>
      <c r="W178" s="1162">
        <f>'[1]Bud men fixes'!$J$8</f>
        <v>39698.845041316563</v>
      </c>
      <c r="X178" s="1182">
        <f>'[1]Bud men fixes'!$K$76</f>
        <v>239.60045160947578</v>
      </c>
      <c r="Y178" s="1183">
        <f>'[1]Bud men fixes'!$K$9</f>
        <v>71880.135482842728</v>
      </c>
      <c r="Z178" s="1162">
        <f>'[1]Bud men fixes'!$K$8</f>
        <v>46362.687386433558</v>
      </c>
      <c r="AA178" s="1182">
        <f>'[1]Bud men fixes'!$L$76</f>
        <v>245.72397242557832</v>
      </c>
      <c r="AB178" s="1183">
        <f>'[1]Bud men fixes'!$L$9</f>
        <v>73717.191727673504</v>
      </c>
      <c r="AC178" s="1162">
        <f>'[1]Bud men fixes'!$L$8</f>
        <v>47547.588664349409</v>
      </c>
      <c r="AD178" s="1182">
        <f>'[1]Bud men fixes'!$M$76</f>
        <v>249.37028999256785</v>
      </c>
      <c r="AE178" s="1183">
        <f>'[1]Bud men fixes'!$M$9</f>
        <v>74811.086997770355</v>
      </c>
      <c r="AF178" s="1162">
        <f>'[1]Bud men fixes'!$M$8</f>
        <v>48253.151113561878</v>
      </c>
      <c r="AG178" s="1182">
        <f>'[1]Bud men fixes'!$N$76</f>
        <v>221.75791575581431</v>
      </c>
      <c r="AH178" s="1183">
        <f>'[1]Bud men fixes'!$N$9</f>
        <v>66527.374726744296</v>
      </c>
      <c r="AI178" s="1162">
        <f>'[1]Bud men fixes'!$N$8</f>
        <v>42910.15669875007</v>
      </c>
      <c r="AJ178" s="1182">
        <f>'[1]Bud men fixes'!$O$76</f>
        <v>48.84821272845128</v>
      </c>
      <c r="AK178" s="1183">
        <f>'[1]Bud men fixes'!$O$9</f>
        <v>14654.463818535383</v>
      </c>
      <c r="AL178" s="1162">
        <f>'[1]Bud men fixes'!$O$8</f>
        <v>9452.1291629553234</v>
      </c>
      <c r="AM178" s="1182">
        <f>'[1]Bud men fixes'!$P$76</f>
        <v>76.320982874481771</v>
      </c>
      <c r="AN178" s="1183">
        <f>'[1]Bud men fixes'!$P$9</f>
        <v>22896.29486234453</v>
      </c>
      <c r="AO178" s="1162">
        <f>'[1]Bud men fixes'!$P$8</f>
        <v>14768.110186212221</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38"/>
        <v>Service% profit / ventes</v>
      </c>
      <c r="B179" s="744" t="s">
        <v>165</v>
      </c>
      <c r="C179" s="744"/>
      <c r="D179" s="751"/>
      <c r="E179" s="800">
        <f>IF(E178=0,0,E178/D178)</f>
        <v>0.64499999999999991</v>
      </c>
      <c r="F179" s="744"/>
      <c r="G179" s="751"/>
      <c r="H179" s="800">
        <f>IF(H178=0,0,H178/G178)</f>
        <v>0.64500000000000002</v>
      </c>
      <c r="I179" s="744"/>
      <c r="J179" s="751"/>
      <c r="K179" s="800">
        <f>IF(K178=0,0,K178/J178)</f>
        <v>0.64500000000000002</v>
      </c>
      <c r="L179" s="744"/>
      <c r="M179" s="751"/>
      <c r="N179" s="800">
        <f>IF(N178=0,0,N178/M178)</f>
        <v>0.64500000000000002</v>
      </c>
      <c r="O179" s="744"/>
      <c r="P179" s="751"/>
      <c r="Q179" s="800">
        <f>IF(Q178=0,0,Q178/P178)</f>
        <v>0.64500000000000002</v>
      </c>
      <c r="R179" s="744"/>
      <c r="S179" s="751"/>
      <c r="T179" s="800">
        <f>IF(T178=0,0,T178/S178)</f>
        <v>0.64500000000000002</v>
      </c>
      <c r="U179" s="744"/>
      <c r="V179" s="751"/>
      <c r="W179" s="800">
        <f>IF(W178=0,0,W178/V178)</f>
        <v>0.64500000000000002</v>
      </c>
      <c r="X179" s="744"/>
      <c r="Y179" s="751"/>
      <c r="Z179" s="800">
        <f>IF(Z178=0,0,Z178/Y178)</f>
        <v>0.64500000000000002</v>
      </c>
      <c r="AA179" s="744"/>
      <c r="AB179" s="751"/>
      <c r="AC179" s="800">
        <f>IF(AC178=0,0,AC178/AB178)</f>
        <v>0.64500000000000002</v>
      </c>
      <c r="AD179" s="744"/>
      <c r="AE179" s="751"/>
      <c r="AF179" s="800">
        <f>IF(AF178=0,0,AF178/AE178)</f>
        <v>0.64500000000000002</v>
      </c>
      <c r="AG179" s="744"/>
      <c r="AH179" s="751"/>
      <c r="AI179" s="800">
        <f>IF(AI178=0,0,AI178/AH178)</f>
        <v>0.64500000000000002</v>
      </c>
      <c r="AJ179" s="744"/>
      <c r="AK179" s="751"/>
      <c r="AL179" s="800">
        <f>IF(AL178=0,0,AL178/AK178)</f>
        <v>0.64500000000000013</v>
      </c>
      <c r="AM179" s="744"/>
      <c r="AN179" s="751"/>
      <c r="AO179" s="800">
        <f>IF(AO178=0,0,AO178/AN178)</f>
        <v>0.64500000000000002</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38"/>
        <v>Service</v>
      </c>
      <c r="B180" s="770"/>
      <c r="C180" s="770"/>
      <c r="D180" s="802">
        <f>IFERROR(D178/C178,0)</f>
        <v>300.00000000000006</v>
      </c>
      <c r="E180" s="803"/>
      <c r="F180" s="770"/>
      <c r="G180" s="802">
        <f>IFERROR(G178/F178,0)</f>
        <v>300</v>
      </c>
      <c r="H180" s="803"/>
      <c r="I180" s="770"/>
      <c r="J180" s="802">
        <f>IFERROR(J178/I178,0)</f>
        <v>300</v>
      </c>
      <c r="K180" s="803"/>
      <c r="L180" s="770"/>
      <c r="M180" s="802">
        <f>IFERROR(M178/L178,0)</f>
        <v>300</v>
      </c>
      <c r="N180" s="803"/>
      <c r="O180" s="770"/>
      <c r="P180" s="802">
        <f>IFERROR(P178/O178,0)</f>
        <v>300</v>
      </c>
      <c r="Q180" s="803"/>
      <c r="R180" s="770"/>
      <c r="S180" s="802">
        <f>IFERROR(S178/R178,0)</f>
        <v>300</v>
      </c>
      <c r="T180" s="803"/>
      <c r="U180" s="770"/>
      <c r="V180" s="802">
        <f>IFERROR(V178/U178,0)</f>
        <v>300</v>
      </c>
      <c r="W180" s="803"/>
      <c r="X180" s="770"/>
      <c r="Y180" s="802">
        <f>IFERROR(Y178/X178,0)</f>
        <v>300</v>
      </c>
      <c r="Z180" s="803"/>
      <c r="AA180" s="770"/>
      <c r="AB180" s="802">
        <f>IFERROR(AB178/AA178,0)</f>
        <v>300</v>
      </c>
      <c r="AC180" s="803"/>
      <c r="AD180" s="770"/>
      <c r="AE180" s="802">
        <f>IFERROR(AE178/AD178,0)</f>
        <v>300</v>
      </c>
      <c r="AF180" s="803"/>
      <c r="AG180" s="770"/>
      <c r="AH180" s="802">
        <f>IFERROR(AH178/AG178,0)</f>
        <v>300</v>
      </c>
      <c r="AI180" s="803"/>
      <c r="AJ180" s="770"/>
      <c r="AK180" s="802">
        <f>IFERROR(AK178/AJ178,0)</f>
        <v>300</v>
      </c>
      <c r="AL180" s="803"/>
      <c r="AM180" s="770"/>
      <c r="AN180" s="802">
        <f>IFERROR(AN178/AM178,0)</f>
        <v>300</v>
      </c>
      <c r="AO180" s="803"/>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38"/>
        <v>ServiceM/O Interne</v>
      </c>
      <c r="B181" s="744" t="s">
        <v>167</v>
      </c>
      <c r="C181" s="797">
        <f>+SUM(F181,I181,L181,O181,R181,U181,X181,AA181,AD181,AG181,AJ181,AM181)</f>
        <v>3408.9</v>
      </c>
      <c r="D181" s="764">
        <f>+SUM(G181,J181,M181,P181,S181,V181,Y181,AB181,AE181,AH181,AK181,AN181)</f>
        <v>1063576.8</v>
      </c>
      <c r="E181" s="752">
        <f>+SUM(H181,K181,N181,Q181,T181,W181,Z181,AC181,AF181,AI181,AL181,AO181)</f>
        <v>797682.60000000009</v>
      </c>
      <c r="F181" s="798">
        <f>'[1]Bud men fixes'!$E$79</f>
        <v>225.12917185982698</v>
      </c>
      <c r="G181" s="799">
        <f>'[1]Bud men fixes'!$E$12</f>
        <v>70240.301620266022</v>
      </c>
      <c r="H181" s="765">
        <f>'[1]Bud men fixes'!$E$11</f>
        <v>52680.226215199516</v>
      </c>
      <c r="I181" s="798">
        <f>'[1]Bud men fixes'!$F$79</f>
        <v>234.50207116487226</v>
      </c>
      <c r="J181" s="799">
        <f>'[1]Bud men fixes'!$F$12</f>
        <v>73164.646203440148</v>
      </c>
      <c r="K181" s="765">
        <f>'[1]Bud men fixes'!$F$11</f>
        <v>54873.484652580111</v>
      </c>
      <c r="L181" s="798">
        <f>'[1]Bud men fixes'!$G$79</f>
        <v>246.95173245070447</v>
      </c>
      <c r="M181" s="799">
        <f>'[1]Bud men fixes'!$G$12</f>
        <v>77048.9405246198</v>
      </c>
      <c r="N181" s="765">
        <f>'[1]Bud men fixes'!$G$11</f>
        <v>57786.70539346485</v>
      </c>
      <c r="O181" s="798">
        <f>'[1]Bud men fixes'!$H$79</f>
        <v>235.354709308867</v>
      </c>
      <c r="P181" s="799">
        <f>'[1]Bud men fixes'!$H$12</f>
        <v>73430.6693043665</v>
      </c>
      <c r="Q181" s="765">
        <f>'[1]Bud men fixes'!$H$11</f>
        <v>55073.001978274871</v>
      </c>
      <c r="R181" s="798">
        <f>'[1]Bud men fixes'!$I$79</f>
        <v>316.85679749651365</v>
      </c>
      <c r="S181" s="799">
        <f>'[1]Bud men fixes'!$I$12</f>
        <v>98859.320818912252</v>
      </c>
      <c r="T181" s="765">
        <f>'[1]Bud men fixes'!$I$11</f>
        <v>74144.490614184193</v>
      </c>
      <c r="U181" s="798">
        <f>'[1]Bud men fixes'!$J$79</f>
        <v>288.54858822359927</v>
      </c>
      <c r="V181" s="799">
        <f>'[1]Bud men fixes'!$J$12</f>
        <v>90027.159525762982</v>
      </c>
      <c r="W181" s="765">
        <f>'[1]Bud men fixes'!$J$11</f>
        <v>67520.369644322229</v>
      </c>
      <c r="X181" s="798">
        <f>'[1]Bud men fixes'!$K$79</f>
        <v>337.35093163487613</v>
      </c>
      <c r="Y181" s="799">
        <f>'[1]Bud men fixes'!$K$12</f>
        <v>105253.49067008134</v>
      </c>
      <c r="Z181" s="765">
        <f>'[1]Bud men fixes'!$K$11</f>
        <v>78940.118002561008</v>
      </c>
      <c r="AA181" s="798">
        <f>'[1]Bud men fixes'!$L$79</f>
        <v>348.77416058485875</v>
      </c>
      <c r="AB181" s="799">
        <f>'[1]Bud men fixes'!$L$12</f>
        <v>108817.53810247593</v>
      </c>
      <c r="AC181" s="765">
        <f>'[1]Bud men fixes'!$L$11</f>
        <v>81613.153576856945</v>
      </c>
      <c r="AD181" s="798">
        <f>'[1]Bud men fixes'!$M$79</f>
        <v>403.10952583575823</v>
      </c>
      <c r="AE181" s="799">
        <f>'[1]Bud men fixes'!$M$12</f>
        <v>125770.17206075658</v>
      </c>
      <c r="AF181" s="765">
        <f>'[1]Bud men fixes'!$M$11</f>
        <v>94327.629045567432</v>
      </c>
      <c r="AG181" s="798">
        <f>'[1]Bud men fixes'!$N$79</f>
        <v>257.63172776879776</v>
      </c>
      <c r="AH181" s="799">
        <f>'[1]Bud men fixes'!$N$12</f>
        <v>80381.099063864909</v>
      </c>
      <c r="AI181" s="765">
        <f>'[1]Bud men fixes'!$N$11</f>
        <v>60285.824297898682</v>
      </c>
      <c r="AJ181" s="798">
        <f>'[1]Bud men fixes'!$O$79</f>
        <v>279.4093097419875</v>
      </c>
      <c r="AK181" s="799">
        <f>'[1]Bud men fixes'!$O$12</f>
        <v>87175.704639500094</v>
      </c>
      <c r="AL181" s="765">
        <f>'[1]Bud men fixes'!$O$11</f>
        <v>65381.778479625071</v>
      </c>
      <c r="AM181" s="798">
        <f>'[1]Bud men fixes'!$P$79</f>
        <v>235.28127392933806</v>
      </c>
      <c r="AN181" s="799">
        <f>'[1]Bud men fixes'!$P$12</f>
        <v>73407.757465953473</v>
      </c>
      <c r="AO181" s="765">
        <f>'[1]Bud men fixes'!$P$11</f>
        <v>55055.818099465105</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38"/>
        <v>Service% profit / ventes</v>
      </c>
      <c r="B182" s="744" t="s">
        <v>165</v>
      </c>
      <c r="C182" s="797"/>
      <c r="D182" s="804"/>
      <c r="E182" s="800">
        <f>IF(E181=0,0,E181/D181)</f>
        <v>0.75</v>
      </c>
      <c r="F182" s="797"/>
      <c r="G182" s="804"/>
      <c r="H182" s="800">
        <f>IF(H181=0,0,H181/G181)</f>
        <v>0.75</v>
      </c>
      <c r="I182" s="797"/>
      <c r="J182" s="804"/>
      <c r="K182" s="800">
        <f>IF(K181=0,0,K181/J181)</f>
        <v>0.75</v>
      </c>
      <c r="L182" s="797"/>
      <c r="M182" s="804"/>
      <c r="N182" s="800">
        <f>IF(N181=0,0,N181/M181)</f>
        <v>0.75</v>
      </c>
      <c r="O182" s="797"/>
      <c r="P182" s="804"/>
      <c r="Q182" s="800">
        <f>IF(Q181=0,0,Q181/P181)</f>
        <v>0.75</v>
      </c>
      <c r="R182" s="797"/>
      <c r="S182" s="804"/>
      <c r="T182" s="800">
        <f>IF(T181=0,0,T181/S181)</f>
        <v>0.75</v>
      </c>
      <c r="U182" s="797"/>
      <c r="V182" s="804"/>
      <c r="W182" s="800">
        <f>IF(W181=0,0,W181/V181)</f>
        <v>0.74999999999999989</v>
      </c>
      <c r="X182" s="797"/>
      <c r="Y182" s="804"/>
      <c r="Z182" s="800">
        <f>IF(Z181=0,0,Z181/Y181)</f>
        <v>0.75</v>
      </c>
      <c r="AA182" s="797"/>
      <c r="AB182" s="804"/>
      <c r="AC182" s="800">
        <f>IF(AC181=0,0,AC181/AB181)</f>
        <v>0.75</v>
      </c>
      <c r="AD182" s="797"/>
      <c r="AE182" s="804"/>
      <c r="AF182" s="800">
        <f>IF(AF181=0,0,AF181/AE181)</f>
        <v>0.75</v>
      </c>
      <c r="AG182" s="797"/>
      <c r="AH182" s="804"/>
      <c r="AI182" s="800">
        <f>IF(AI181=0,0,AI181/AH181)</f>
        <v>0.75</v>
      </c>
      <c r="AJ182" s="797"/>
      <c r="AK182" s="804"/>
      <c r="AL182" s="800">
        <f>IF(AL181=0,0,AL181/AK181)</f>
        <v>0.75</v>
      </c>
      <c r="AM182" s="797"/>
      <c r="AN182" s="804"/>
      <c r="AO182" s="800">
        <f>IF(AO181=0,0,AO181/AN181)</f>
        <v>0.75</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38"/>
        <v>Service</v>
      </c>
      <c r="B183" s="744"/>
      <c r="C183" s="797"/>
      <c r="D183" s="805">
        <f>IFERROR(D181/C181,0)</f>
        <v>312</v>
      </c>
      <c r="E183" s="800"/>
      <c r="F183" s="797"/>
      <c r="G183" s="805">
        <f>IFERROR(G181/F181,0)</f>
        <v>312</v>
      </c>
      <c r="H183" s="800"/>
      <c r="I183" s="797"/>
      <c r="J183" s="805">
        <f>IFERROR(J181/I181,0)</f>
        <v>312</v>
      </c>
      <c r="K183" s="800"/>
      <c r="L183" s="797"/>
      <c r="M183" s="805">
        <f>IFERROR(M181/L181,0)</f>
        <v>312</v>
      </c>
      <c r="N183" s="800"/>
      <c r="O183" s="797"/>
      <c r="P183" s="805">
        <f>IFERROR(P181/O181,0)</f>
        <v>312</v>
      </c>
      <c r="Q183" s="800"/>
      <c r="R183" s="797"/>
      <c r="S183" s="805">
        <f>IFERROR(S181/R181,0)</f>
        <v>312</v>
      </c>
      <c r="T183" s="800"/>
      <c r="U183" s="797"/>
      <c r="V183" s="805">
        <f>IFERROR(V181/U181,0)</f>
        <v>312.00000000000006</v>
      </c>
      <c r="W183" s="800"/>
      <c r="X183" s="797"/>
      <c r="Y183" s="805">
        <f>IFERROR(Y181/X181,0)</f>
        <v>312</v>
      </c>
      <c r="Z183" s="800"/>
      <c r="AA183" s="797"/>
      <c r="AB183" s="805">
        <f>IFERROR(AB181/AA181,0)</f>
        <v>312</v>
      </c>
      <c r="AC183" s="800"/>
      <c r="AD183" s="797"/>
      <c r="AE183" s="805">
        <f>IFERROR(AE181/AD181,0)</f>
        <v>312</v>
      </c>
      <c r="AF183" s="800"/>
      <c r="AG183" s="797"/>
      <c r="AH183" s="805">
        <f>IFERROR(AH181/AG181,0)</f>
        <v>312.00000000000006</v>
      </c>
      <c r="AI183" s="800"/>
      <c r="AJ183" s="797"/>
      <c r="AK183" s="805">
        <f>IFERROR(AK181/AJ181,0)</f>
        <v>312</v>
      </c>
      <c r="AL183" s="800"/>
      <c r="AM183" s="797"/>
      <c r="AN183" s="805">
        <f>IFERROR(AN181/AM181,0)</f>
        <v>312</v>
      </c>
      <c r="AO183" s="800"/>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38"/>
        <v>ServiceM/O Esthétique</v>
      </c>
      <c r="B184" s="1142" t="s">
        <v>168</v>
      </c>
      <c r="C184" s="1180">
        <f>+SUM(F184,I184,L184,O184,R184,U184,X184,AA184,AD184,AG184,AJ184,AM184)</f>
        <v>0</v>
      </c>
      <c r="D184" s="1181">
        <f>+SUM(G184,J184,M184,P184,S184,V184,Y184,AB184,AE184,AH184,AK184,AN184)</f>
        <v>130000</v>
      </c>
      <c r="E184" s="1161">
        <f>+SUM(H184,K184,N184,Q184,T184,W184,Z184,AC184,AF184,AI184,AL184,AO184)</f>
        <v>101400</v>
      </c>
      <c r="F184" s="1182">
        <f>'[1]Bud men fixes'!$E$82</f>
        <v>0</v>
      </c>
      <c r="G184" s="1183">
        <f>'[1]Bud men fixes'!$E$15</f>
        <v>3758.5296184751242</v>
      </c>
      <c r="H184" s="1162">
        <f>'[1]Bud men fixes'!$E$14</f>
        <v>2931.6531024105971</v>
      </c>
      <c r="I184" s="1182">
        <f>'[1]Bud men fixes'!$F$82</f>
        <v>0</v>
      </c>
      <c r="J184" s="1183">
        <f>'[1]Bud men fixes'!$F$15</f>
        <v>3634.3077156852428</v>
      </c>
      <c r="K184" s="1162">
        <f>'[1]Bud men fixes'!$F$14</f>
        <v>2834.7600182344895</v>
      </c>
      <c r="L184" s="1182">
        <f>'[1]Bud men fixes'!$G$82</f>
        <v>0</v>
      </c>
      <c r="M184" s="1183">
        <f>'[1]Bud men fixes'!$G$15</f>
        <v>7920.1031537553536</v>
      </c>
      <c r="N184" s="1162">
        <f>'[1]Bud men fixes'!$G$14</f>
        <v>6177.6804599291763</v>
      </c>
      <c r="O184" s="1182">
        <f>'[1]Bud men fixes'!$H$82</f>
        <v>0</v>
      </c>
      <c r="P184" s="1183">
        <f>'[1]Bud men fixes'!$H$15</f>
        <v>24165.030879901624</v>
      </c>
      <c r="Q184" s="1162">
        <f>'[1]Bud men fixes'!$H$14</f>
        <v>18848.724086323266</v>
      </c>
      <c r="R184" s="1182">
        <f>'[1]Bud men fixes'!$I$82</f>
        <v>0</v>
      </c>
      <c r="S184" s="1183">
        <f>'[1]Bud men fixes'!$I$15</f>
        <v>23052.760398972528</v>
      </c>
      <c r="T184" s="1162">
        <f>'[1]Bud men fixes'!$I$14</f>
        <v>17981.153111198571</v>
      </c>
      <c r="U184" s="1182">
        <f>'[1]Bud men fixes'!$J$82</f>
        <v>0</v>
      </c>
      <c r="V184" s="1183">
        <f>'[1]Bud men fixes'!$J$15</f>
        <v>9021.8073013155936</v>
      </c>
      <c r="W184" s="1162">
        <f>'[1]Bud men fixes'!$J$14</f>
        <v>7037.0096950261632</v>
      </c>
      <c r="X184" s="1182">
        <f>'[1]Bud men fixes'!$K$82</f>
        <v>0</v>
      </c>
      <c r="Y184" s="1183">
        <f>'[1]Bud men fixes'!$K$15</f>
        <v>7950.0089622500545</v>
      </c>
      <c r="Z184" s="1162">
        <f>'[1]Bud men fixes'!$K$14</f>
        <v>6201.0069905550426</v>
      </c>
      <c r="AA184" s="1182">
        <f>'[1]Bud men fixes'!$L$82</f>
        <v>0</v>
      </c>
      <c r="AB184" s="1183">
        <f>'[1]Bud men fixes'!$L$15</f>
        <v>5087.5545456925329</v>
      </c>
      <c r="AC184" s="1162">
        <f>'[1]Bud men fixes'!$L$14</f>
        <v>3968.2925456401758</v>
      </c>
      <c r="AD184" s="1182">
        <f>'[1]Bud men fixes'!$M$82</f>
        <v>0</v>
      </c>
      <c r="AE184" s="1183">
        <f>'[1]Bud men fixes'!$M$15</f>
        <v>7825.1025615868257</v>
      </c>
      <c r="AF184" s="1162">
        <f>'[1]Bud men fixes'!$M$14</f>
        <v>6103.5799980377242</v>
      </c>
      <c r="AG184" s="1182">
        <f>'[1]Bud men fixes'!$N$82</f>
        <v>0</v>
      </c>
      <c r="AH184" s="1183">
        <f>'[1]Bud men fixes'!$N$15</f>
        <v>11646.519217073856</v>
      </c>
      <c r="AI184" s="1162">
        <f>'[1]Bud men fixes'!$N$14</f>
        <v>9084.2849893176081</v>
      </c>
      <c r="AJ184" s="1182">
        <f>'[1]Bud men fixes'!$O$82</f>
        <v>0</v>
      </c>
      <c r="AK184" s="1183">
        <f>'[1]Bud men fixes'!$O$15</f>
        <v>18745.610555416999</v>
      </c>
      <c r="AL184" s="1162">
        <f>'[1]Bud men fixes'!$O$14</f>
        <v>14621.57623322526</v>
      </c>
      <c r="AM184" s="1182">
        <f>'[1]Bud men fixes'!$P$82</f>
        <v>0</v>
      </c>
      <c r="AN184" s="1183">
        <f>'[1]Bud men fixes'!$P$15</f>
        <v>7192.6650898742737</v>
      </c>
      <c r="AO184" s="1162">
        <f>'[1]Bud men fixes'!$P$14</f>
        <v>5610.2787701019333</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38"/>
        <v>Service% profit / ventes</v>
      </c>
      <c r="B185" s="744" t="s">
        <v>165</v>
      </c>
      <c r="C185" s="806"/>
      <c r="D185" s="807">
        <f>IF(C185&lt;=0,0,E185/C185)</f>
        <v>0</v>
      </c>
      <c r="E185" s="800">
        <f>IF(E184=0,0,E184/D184)</f>
        <v>0.78</v>
      </c>
      <c r="F185" s="806"/>
      <c r="G185" s="807">
        <f>IF(F185&lt;=0,0,H185/F185)</f>
        <v>0</v>
      </c>
      <c r="H185" s="800">
        <f>IF(H184=0,0,H184/G184)</f>
        <v>0.78</v>
      </c>
      <c r="I185" s="806"/>
      <c r="J185" s="807">
        <f>IF(I185&lt;=0,0,K185/I185)</f>
        <v>0</v>
      </c>
      <c r="K185" s="800">
        <f>IF(K184=0,0,K184/J184)</f>
        <v>0.78</v>
      </c>
      <c r="L185" s="806"/>
      <c r="M185" s="807">
        <f>IF(L185&lt;=0,0,N185/L185)</f>
        <v>0</v>
      </c>
      <c r="N185" s="800">
        <f>IF(N184=0,0,N184/M184)</f>
        <v>0.78</v>
      </c>
      <c r="O185" s="806"/>
      <c r="P185" s="807">
        <f>IF(O185&lt;=0,0,Q185/O185)</f>
        <v>0</v>
      </c>
      <c r="Q185" s="800">
        <f>IF(Q184=0,0,Q184/P184)</f>
        <v>0.77999999999999992</v>
      </c>
      <c r="R185" s="806"/>
      <c r="S185" s="807">
        <f>IF(R185&lt;=0,0,T185/R185)</f>
        <v>0</v>
      </c>
      <c r="T185" s="800">
        <f>IF(T184=0,0,T184/S184)</f>
        <v>0.77999999999999992</v>
      </c>
      <c r="U185" s="806"/>
      <c r="V185" s="807">
        <f>IF(U185&lt;=0,0,W185/U185)</f>
        <v>0</v>
      </c>
      <c r="W185" s="800">
        <f>IF(W184=0,0,W184/V184)</f>
        <v>0.78</v>
      </c>
      <c r="X185" s="806"/>
      <c r="Y185" s="807">
        <f>IF(X185&lt;=0,0,Z185/X185)</f>
        <v>0</v>
      </c>
      <c r="Z185" s="800">
        <f>IF(Z184=0,0,Z184/Y184)</f>
        <v>0.78</v>
      </c>
      <c r="AA185" s="806"/>
      <c r="AB185" s="807">
        <f>IF(AA185&lt;=0,0,AC185/AA185)</f>
        <v>0</v>
      </c>
      <c r="AC185" s="800">
        <f>IF(AC184=0,0,AC184/AB184)</f>
        <v>0.78</v>
      </c>
      <c r="AD185" s="806"/>
      <c r="AE185" s="807">
        <f>IF(AD185&lt;=0,0,AF185/AD185)</f>
        <v>0</v>
      </c>
      <c r="AF185" s="800">
        <f>IF(AF184=0,0,AF184/AE184)</f>
        <v>0.78</v>
      </c>
      <c r="AG185" s="806"/>
      <c r="AH185" s="807">
        <f>IF(AG185&lt;=0,0,AI185/AG185)</f>
        <v>0</v>
      </c>
      <c r="AI185" s="800">
        <f>IF(AI184=0,0,AI184/AH184)</f>
        <v>0.78</v>
      </c>
      <c r="AJ185" s="806"/>
      <c r="AK185" s="807">
        <f>IF(AJ185&lt;=0,0,AL185/AJ185)</f>
        <v>0</v>
      </c>
      <c r="AL185" s="800">
        <f>IF(AL184=0,0,AL184/AK184)</f>
        <v>0.78</v>
      </c>
      <c r="AM185" s="806"/>
      <c r="AN185" s="807">
        <f>IF(AM185&lt;=0,0,AO185/AM185)</f>
        <v>0</v>
      </c>
      <c r="AO185" s="800">
        <f>IF(AO184=0,0,AO184/AN184)</f>
        <v>0.78</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38"/>
        <v>Service</v>
      </c>
      <c r="B186" s="770"/>
      <c r="C186" s="808"/>
      <c r="D186" s="809">
        <f>IFERROR(D184/C184,0)</f>
        <v>0</v>
      </c>
      <c r="E186" s="803"/>
      <c r="F186" s="808"/>
      <c r="G186" s="809">
        <f>IFERROR(G184/F184,0)</f>
        <v>0</v>
      </c>
      <c r="H186" s="803"/>
      <c r="I186" s="808"/>
      <c r="J186" s="809">
        <f>IFERROR(J184/I184,0)</f>
        <v>0</v>
      </c>
      <c r="K186" s="803"/>
      <c r="L186" s="808"/>
      <c r="M186" s="809">
        <f>IFERROR(M184/L184,0)</f>
        <v>0</v>
      </c>
      <c r="N186" s="803"/>
      <c r="O186" s="808"/>
      <c r="P186" s="809">
        <f>IFERROR(P184/O184,0)</f>
        <v>0</v>
      </c>
      <c r="Q186" s="803"/>
      <c r="R186" s="808"/>
      <c r="S186" s="809">
        <f>IFERROR(S184/R184,0)</f>
        <v>0</v>
      </c>
      <c r="T186" s="803"/>
      <c r="U186" s="808"/>
      <c r="V186" s="809">
        <f>IFERROR(V184/U184,0)</f>
        <v>0</v>
      </c>
      <c r="W186" s="803"/>
      <c r="X186" s="808"/>
      <c r="Y186" s="809">
        <f>IFERROR(Y184/X184,0)</f>
        <v>0</v>
      </c>
      <c r="Z186" s="803"/>
      <c r="AA186" s="808"/>
      <c r="AB186" s="809">
        <f>IFERROR(AB184/AA184,0)</f>
        <v>0</v>
      </c>
      <c r="AC186" s="803"/>
      <c r="AD186" s="808"/>
      <c r="AE186" s="809">
        <f>IFERROR(AE184/AD184,0)</f>
        <v>0</v>
      </c>
      <c r="AF186" s="803"/>
      <c r="AG186" s="808"/>
      <c r="AH186" s="809">
        <f>IFERROR(AH184/AG184,0)</f>
        <v>0</v>
      </c>
      <c r="AI186" s="803"/>
      <c r="AJ186" s="808"/>
      <c r="AK186" s="809">
        <f>IFERROR(AK184/AJ184,0)</f>
        <v>0</v>
      </c>
      <c r="AL186" s="803"/>
      <c r="AM186" s="808"/>
      <c r="AN186" s="809">
        <f>IFERROR(AN184/AM184,0)</f>
        <v>0</v>
      </c>
      <c r="AO186" s="803"/>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38"/>
        <v>ServiceAjustement M/O</v>
      </c>
      <c r="B187" s="744" t="s">
        <v>169</v>
      </c>
      <c r="C187" s="797"/>
      <c r="D187" s="764"/>
      <c r="E187" s="752">
        <f>+SUM(H187,K187,N187,Q187,T187,W187,Z187,AC187,AF187,AI187,AL187,AO187)</f>
        <v>-41107</v>
      </c>
      <c r="F187" s="798"/>
      <c r="G187" s="799"/>
      <c r="H187" s="765">
        <f>'[1]Bud men fixes'!$E$18</f>
        <v>-2914.1988288703378</v>
      </c>
      <c r="I187" s="798"/>
      <c r="J187" s="799"/>
      <c r="K187" s="765">
        <f>'[1]Bud men fixes'!$F$18</f>
        <v>-2741.0144654697733</v>
      </c>
      <c r="L187" s="798"/>
      <c r="M187" s="799"/>
      <c r="N187" s="765">
        <f>'[1]Bud men fixes'!$G$18</f>
        <v>-3337.9860131866349</v>
      </c>
      <c r="O187" s="798"/>
      <c r="P187" s="799"/>
      <c r="Q187" s="765">
        <f>'[1]Bud men fixes'!$H$18</f>
        <v>-3677.8787613518284</v>
      </c>
      <c r="R187" s="798"/>
      <c r="S187" s="799"/>
      <c r="T187" s="765">
        <f>'[1]Bud men fixes'!$I$18</f>
        <v>-3859.9215491022792</v>
      </c>
      <c r="U187" s="798"/>
      <c r="V187" s="799"/>
      <c r="W187" s="765">
        <f>'[1]Bud men fixes'!$J$18</f>
        <v>-3268.2815620368419</v>
      </c>
      <c r="X187" s="798"/>
      <c r="Y187" s="799"/>
      <c r="Z187" s="765">
        <f>'[1]Bud men fixes'!$K$18</f>
        <v>-3533.3669654766359</v>
      </c>
      <c r="AA187" s="798"/>
      <c r="AB187" s="799"/>
      <c r="AC187" s="765">
        <f>'[1]Bud men fixes'!$L$18</f>
        <v>-3565.4670895067106</v>
      </c>
      <c r="AD187" s="798"/>
      <c r="AE187" s="799"/>
      <c r="AF187" s="765">
        <f>'[1]Bud men fixes'!$M$18</f>
        <v>-3719.4969512977391</v>
      </c>
      <c r="AG187" s="798"/>
      <c r="AH187" s="799"/>
      <c r="AI187" s="765">
        <f>'[1]Bud men fixes'!$N$18</f>
        <v>-3792.6059522053906</v>
      </c>
      <c r="AJ187" s="798"/>
      <c r="AK187" s="799"/>
      <c r="AL187" s="765">
        <f>'[1]Bud men fixes'!$O$18</f>
        <v>-4075.5814621015152</v>
      </c>
      <c r="AM187" s="798"/>
      <c r="AN187" s="799"/>
      <c r="AO187" s="765">
        <f>'[1]Bud men fixes'!$P$18</f>
        <v>-2621.2003993943108</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38"/>
        <v>ServiceSous-total M/O</v>
      </c>
      <c r="B188" s="1184" t="s">
        <v>170</v>
      </c>
      <c r="C188" s="810">
        <f t="shared" ref="C188:AO188" si="39">C175+C178+C181+C184+C187</f>
        <v>11588.900000000001</v>
      </c>
      <c r="D188" s="811">
        <f t="shared" si="39"/>
        <v>3937726.8</v>
      </c>
      <c r="E188" s="812">
        <f t="shared" si="39"/>
        <v>2916361.45</v>
      </c>
      <c r="F188" s="810">
        <f t="shared" si="39"/>
        <v>793.43121778645332</v>
      </c>
      <c r="G188" s="811">
        <f t="shared" si="39"/>
        <v>259227.56392053163</v>
      </c>
      <c r="H188" s="812">
        <f t="shared" si="39"/>
        <v>186819.90325887443</v>
      </c>
      <c r="I188" s="810">
        <f t="shared" si="39"/>
        <v>754.10594331663526</v>
      </c>
      <c r="J188" s="811">
        <f t="shared" si="39"/>
        <v>246866.19049108712</v>
      </c>
      <c r="K188" s="812">
        <f t="shared" si="39"/>
        <v>178761.55627113438</v>
      </c>
      <c r="L188" s="810">
        <f t="shared" si="39"/>
        <v>908.25069916356097</v>
      </c>
      <c r="M188" s="811">
        <f t="shared" si="39"/>
        <v>301877.81354574295</v>
      </c>
      <c r="N188" s="812">
        <f t="shared" si="39"/>
        <v>218940.52177904936</v>
      </c>
      <c r="O188" s="810">
        <f t="shared" si="39"/>
        <v>1034.2855285273361</v>
      </c>
      <c r="P188" s="811">
        <f t="shared" si="39"/>
        <v>370225.72204387566</v>
      </c>
      <c r="Q188" s="812">
        <f t="shared" si="39"/>
        <v>278843.28284019564</v>
      </c>
      <c r="R188" s="810">
        <f t="shared" si="39"/>
        <v>1087.7211614980608</v>
      </c>
      <c r="S188" s="811">
        <f t="shared" si="39"/>
        <v>384216.53480429767</v>
      </c>
      <c r="T188" s="812">
        <f t="shared" si="39"/>
        <v>288310.96825914981</v>
      </c>
      <c r="U188" s="810">
        <f t="shared" si="39"/>
        <v>917.53027875852456</v>
      </c>
      <c r="V188" s="811">
        <f t="shared" si="39"/>
        <v>308934.45902042219</v>
      </c>
      <c r="W188" s="812">
        <f t="shared" si="39"/>
        <v>227729.079364687</v>
      </c>
      <c r="X188" s="810">
        <f t="shared" si="39"/>
        <v>988.46897145844014</v>
      </c>
      <c r="Y188" s="811">
        <f t="shared" si="39"/>
        <v>329114.79099010502</v>
      </c>
      <c r="Z188" s="812">
        <f t="shared" si="39"/>
        <v>241322.96508764356</v>
      </c>
      <c r="AA188" s="810">
        <f t="shared" si="39"/>
        <v>1004.0311332790807</v>
      </c>
      <c r="AB188" s="811">
        <f t="shared" si="39"/>
        <v>330958.83446986723</v>
      </c>
      <c r="AC188" s="812">
        <f t="shared" si="39"/>
        <v>242369.43262133771</v>
      </c>
      <c r="AD188" s="810">
        <f t="shared" si="39"/>
        <v>1041.1452406953983</v>
      </c>
      <c r="AE188" s="811">
        <f t="shared" si="39"/>
        <v>344439.26032358909</v>
      </c>
      <c r="AF188" s="812">
        <f t="shared" si="39"/>
        <v>252022.75448550435</v>
      </c>
      <c r="AG188" s="810">
        <f t="shared" si="39"/>
        <v>1071.8199070177598</v>
      </c>
      <c r="AH188" s="811">
        <f t="shared" si="39"/>
        <v>365905.58523028478</v>
      </c>
      <c r="AI188" s="812">
        <f t="shared" si="39"/>
        <v>271672.57611294853</v>
      </c>
      <c r="AJ188" s="810">
        <f t="shared" si="39"/>
        <v>1214.4826789271272</v>
      </c>
      <c r="AK188" s="811">
        <f t="shared" si="39"/>
        <v>430754.58377329342</v>
      </c>
      <c r="AL188" s="812">
        <f t="shared" si="39"/>
        <v>329490.62175969902</v>
      </c>
      <c r="AM188" s="810">
        <f t="shared" si="39"/>
        <v>773.62723957162234</v>
      </c>
      <c r="AN188" s="811">
        <f t="shared" si="39"/>
        <v>265205.46138690319</v>
      </c>
      <c r="AO188" s="812">
        <f t="shared" si="39"/>
        <v>200077.78815977616</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38"/>
        <v>Service% protit / ventes</v>
      </c>
      <c r="B189" s="1185" t="s">
        <v>171</v>
      </c>
      <c r="C189" s="813"/>
      <c r="D189" s="814">
        <f>IFERROR(D188/C188,0)</f>
        <v>339.78434536496127</v>
      </c>
      <c r="E189" s="815">
        <f>IF(E188=0,0,E188/D188)</f>
        <v>0.74062056565224388</v>
      </c>
      <c r="F189" s="813"/>
      <c r="G189" s="814">
        <f>IFERROR(G188/F188,0)</f>
        <v>326.71712192486603</v>
      </c>
      <c r="H189" s="815">
        <f>IF(H188=0,0,H188/G188)</f>
        <v>0.72067916094040696</v>
      </c>
      <c r="I189" s="813"/>
      <c r="J189" s="814">
        <f>IFERROR(J188/I188,0)</f>
        <v>327.36274349641684</v>
      </c>
      <c r="K189" s="815">
        <f>IF(K188=0,0,K188/J188)</f>
        <v>0.72412328280161309</v>
      </c>
      <c r="L189" s="813"/>
      <c r="M189" s="814">
        <f>IFERROR(M188/L188,0)</f>
        <v>332.37278410438057</v>
      </c>
      <c r="N189" s="815">
        <f>IF(N188=0,0,N188/M188)</f>
        <v>0.72526204959369678</v>
      </c>
      <c r="O189" s="813"/>
      <c r="P189" s="814">
        <f>IFERROR(P188/O188,0)</f>
        <v>357.95311046362633</v>
      </c>
      <c r="Q189" s="815">
        <f>IF(Q188=0,0,Q188/P188)</f>
        <v>0.75317101497110395</v>
      </c>
      <c r="R189" s="813"/>
      <c r="S189" s="814">
        <f>IFERROR(S188/R188,0)</f>
        <v>353.23072530384218</v>
      </c>
      <c r="T189" s="815">
        <f>IF(T188=0,0,T188/S188)</f>
        <v>0.75038667559167449</v>
      </c>
      <c r="U189" s="813"/>
      <c r="V189" s="814">
        <f>IFERROR(V188/U188,0)</f>
        <v>336.70219519995538</v>
      </c>
      <c r="W189" s="815">
        <f>IF(W188=0,0,W188/V188)</f>
        <v>0.73714366499216877</v>
      </c>
      <c r="X189" s="813"/>
      <c r="Y189" s="814">
        <f>IFERROR(Y188/X188,0)</f>
        <v>332.95409415281028</v>
      </c>
      <c r="Z189" s="815">
        <f>IF(Z188=0,0,Z188/Y188)</f>
        <v>0.73324861627048254</v>
      </c>
      <c r="AA189" s="813"/>
      <c r="AB189" s="814">
        <f>IFERROR(AB188/AA188,0)</f>
        <v>329.63005179827809</v>
      </c>
      <c r="AC189" s="815">
        <f>IF(AC188=0,0,AC188/AB188)</f>
        <v>0.73232501259429195</v>
      </c>
      <c r="AD189" s="813"/>
      <c r="AE189" s="814">
        <f>IFERROR(AE188/AD188,0)</f>
        <v>330.82729177490387</v>
      </c>
      <c r="AF189" s="815">
        <f>IF(AF188=0,0,AF188/AE188)</f>
        <v>0.73168997706224737</v>
      </c>
      <c r="AG189" s="813"/>
      <c r="AH189" s="814">
        <f>IFERROR(AH188/AG188,0)</f>
        <v>341.3871890552802</v>
      </c>
      <c r="AI189" s="815">
        <f>IF(AI188=0,0,AI188/AH188)</f>
        <v>0.74246632759642039</v>
      </c>
      <c r="AJ189" s="813"/>
      <c r="AK189" s="814">
        <f>IFERROR(AK188/AJ188,0)</f>
        <v>354.68153745413775</v>
      </c>
      <c r="AL189" s="815">
        <f>IF(AL188=0,0,AL188/AK188)</f>
        <v>0.76491495197439452</v>
      </c>
      <c r="AM189" s="813"/>
      <c r="AN189" s="814">
        <f>IFERROR(AN188/AM188,0)</f>
        <v>342.8078121108486</v>
      </c>
      <c r="AO189" s="815">
        <f>IF(AO188=0,0,AO188/AN188)</f>
        <v>0.75442559558713795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38"/>
        <v>Service</v>
      </c>
      <c r="B190" s="1186"/>
      <c r="C190" s="797"/>
      <c r="D190" s="764"/>
      <c r="E190" s="1187"/>
      <c r="F190" s="797"/>
      <c r="G190" s="764"/>
      <c r="H190" s="1187"/>
      <c r="I190" s="797"/>
      <c r="J190" s="764"/>
      <c r="K190" s="1187"/>
      <c r="L190" s="797"/>
      <c r="M190" s="764"/>
      <c r="N190" s="1187"/>
      <c r="O190" s="797"/>
      <c r="P190" s="764"/>
      <c r="Q190" s="1187"/>
      <c r="R190" s="797"/>
      <c r="S190" s="764"/>
      <c r="T190" s="1187"/>
      <c r="U190" s="797"/>
      <c r="V190" s="764"/>
      <c r="W190" s="1187"/>
      <c r="X190" s="797"/>
      <c r="Y190" s="764"/>
      <c r="Z190" s="1187"/>
      <c r="AA190" s="797"/>
      <c r="AB190" s="764"/>
      <c r="AC190" s="1187"/>
      <c r="AD190" s="797"/>
      <c r="AE190" s="764"/>
      <c r="AF190" s="1187"/>
      <c r="AG190" s="797"/>
      <c r="AH190" s="764"/>
      <c r="AI190" s="1187"/>
      <c r="AJ190" s="797"/>
      <c r="AK190" s="764"/>
      <c r="AL190" s="1187"/>
      <c r="AM190" s="797"/>
      <c r="AN190" s="764"/>
      <c r="AO190" s="1187"/>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38"/>
        <v>ServiceSous-traitement</v>
      </c>
      <c r="B191" s="1188" t="s">
        <v>172</v>
      </c>
      <c r="C191" s="797">
        <f>+SUM(F191,I191,L191,O191,R191,U191,X191,AA191,AD191,AG191,AJ191,AM191)</f>
        <v>0</v>
      </c>
      <c r="D191" s="1189">
        <f>+SUM(G191,J191,M191,P191,S191,V191,Y191,AB191,AE191,AH191,AK191,AN191)</f>
        <v>240000.00000000006</v>
      </c>
      <c r="E191" s="752">
        <f>+SUM(H191,K191,N191,Q191,T191,W191,Z191,AC191,AF191,AI191,AL191,AO191)</f>
        <v>48000.000000000007</v>
      </c>
      <c r="F191" s="798">
        <f>'[1]Bud men fixes'!$E$86</f>
        <v>0</v>
      </c>
      <c r="G191" s="1189">
        <f>'[1]Bud men fixes'!$E$21</f>
        <v>10024.803331868648</v>
      </c>
      <c r="H191" s="765">
        <f>'[1]Bud men fixes'!$E$20</f>
        <v>2004.9606663737297</v>
      </c>
      <c r="I191" s="798">
        <f>'[1]Bud men fixes'!$F$86</f>
        <v>0</v>
      </c>
      <c r="J191" s="1190">
        <f>'[1]Bud men fixes'!$F$21</f>
        <v>21755.610381411672</v>
      </c>
      <c r="K191" s="765">
        <f>'[1]Bud men fixes'!$F$20</f>
        <v>4351.122076282335</v>
      </c>
      <c r="L191" s="798">
        <f>'[1]Bud men fixes'!$G$86</f>
        <v>0</v>
      </c>
      <c r="M191" s="1190">
        <f>'[1]Bud men fixes'!$G$21</f>
        <v>20247.880139630204</v>
      </c>
      <c r="N191" s="765">
        <f>'[1]Bud men fixes'!$G$20</f>
        <v>4049.5760279260412</v>
      </c>
      <c r="O191" s="798">
        <f>'[1]Bud men fixes'!$H$86</f>
        <v>0</v>
      </c>
      <c r="P191" s="1190">
        <f>'[1]Bud men fixes'!$H$21</f>
        <v>20880.830944074769</v>
      </c>
      <c r="Q191" s="765">
        <f>'[1]Bud men fixes'!$H$20</f>
        <v>4176.1661888149538</v>
      </c>
      <c r="R191" s="798">
        <f>'[1]Bud men fixes'!$I$86</f>
        <v>0</v>
      </c>
      <c r="S191" s="1190">
        <f>'[1]Bud men fixes'!$I$21</f>
        <v>29550.033253398495</v>
      </c>
      <c r="T191" s="765">
        <f>'[1]Bud men fixes'!$I$20</f>
        <v>5910.0066506796993</v>
      </c>
      <c r="U191" s="798">
        <f>'[1]Bud men fixes'!$J$86</f>
        <v>0</v>
      </c>
      <c r="V191" s="1190">
        <f>'[1]Bud men fixes'!$J$21</f>
        <v>20089.31740003399</v>
      </c>
      <c r="W191" s="765">
        <f>'[1]Bud men fixes'!$J$20</f>
        <v>4017.863480006798</v>
      </c>
      <c r="X191" s="798">
        <f>'[1]Bud men fixes'!$K$86</f>
        <v>0</v>
      </c>
      <c r="Y191" s="1190">
        <f>'[1]Bud men fixes'!$K$21</f>
        <v>25482.445610109997</v>
      </c>
      <c r="Z191" s="765">
        <f>'[1]Bud men fixes'!$K$20</f>
        <v>5096.4891220219997</v>
      </c>
      <c r="AA191" s="798">
        <f>'[1]Bud men fixes'!$L$86</f>
        <v>0</v>
      </c>
      <c r="AB191" s="1190">
        <f>'[1]Bud men fixes'!$L$21</f>
        <v>19762.362308724096</v>
      </c>
      <c r="AC191" s="765">
        <f>'[1]Bud men fixes'!$L$20</f>
        <v>3952.4724617448192</v>
      </c>
      <c r="AD191" s="798">
        <f>'[1]Bud men fixes'!$M$86</f>
        <v>0</v>
      </c>
      <c r="AE191" s="1190">
        <f>'[1]Bud men fixes'!$M$21</f>
        <v>23928.38057187057</v>
      </c>
      <c r="AF191" s="765">
        <f>'[1]Bud men fixes'!$M$20</f>
        <v>4785.6761143741141</v>
      </c>
      <c r="AG191" s="798">
        <f>'[1]Bud men fixes'!$N$86</f>
        <v>0</v>
      </c>
      <c r="AH191" s="1190">
        <f>'[1]Bud men fixes'!$N$21</f>
        <v>13970.860206411597</v>
      </c>
      <c r="AI191" s="765">
        <f>'[1]Bud men fixes'!$N$20</f>
        <v>2794.1720412823197</v>
      </c>
      <c r="AJ191" s="798">
        <f>'[1]Bud men fixes'!$O$86</f>
        <v>0</v>
      </c>
      <c r="AK191" s="1190">
        <f>'[1]Bud men fixes'!$O$21</f>
        <v>17662.860276089392</v>
      </c>
      <c r="AL191" s="765">
        <f>'[1]Bud men fixes'!$O$20</f>
        <v>3532.5720552178786</v>
      </c>
      <c r="AM191" s="798">
        <f>'[1]Bud men fixes'!$P$86</f>
        <v>0</v>
      </c>
      <c r="AN191" s="1190">
        <f>'[1]Bud men fixes'!$P$21</f>
        <v>16644.615576376615</v>
      </c>
      <c r="AO191" s="765">
        <f>'[1]Bud men fixes'!$P$20</f>
        <v>3328.9231152753232</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38"/>
        <v>Service% profit / ventes</v>
      </c>
      <c r="B192" s="1188" t="s">
        <v>165</v>
      </c>
      <c r="C192" s="797"/>
      <c r="D192" s="804"/>
      <c r="E192" s="800">
        <f>IF(E191=0,0,E191/D191)</f>
        <v>0.19999999999999998</v>
      </c>
      <c r="F192" s="797"/>
      <c r="G192" s="804"/>
      <c r="H192" s="800">
        <f>IF(H191=0,0,H191/G191)</f>
        <v>0.2</v>
      </c>
      <c r="I192" s="797"/>
      <c r="J192" s="804"/>
      <c r="K192" s="800">
        <f>IF(K191=0,0,K191/J191)</f>
        <v>0.20000000000000004</v>
      </c>
      <c r="L192" s="797"/>
      <c r="M192" s="804"/>
      <c r="N192" s="800">
        <f>IF(N191=0,0,N191/M191)</f>
        <v>0.2</v>
      </c>
      <c r="O192" s="797"/>
      <c r="P192" s="804"/>
      <c r="Q192" s="800">
        <f>IF(Q191=0,0,Q191/P191)</f>
        <v>0.2</v>
      </c>
      <c r="R192" s="797"/>
      <c r="S192" s="804"/>
      <c r="T192" s="800">
        <f>IF(T191=0,0,T191/S191)</f>
        <v>0.2</v>
      </c>
      <c r="U192" s="797"/>
      <c r="V192" s="804"/>
      <c r="W192" s="800">
        <f>IF(W191=0,0,W191/V191)</f>
        <v>0.2</v>
      </c>
      <c r="X192" s="797"/>
      <c r="Y192" s="804"/>
      <c r="Z192" s="800">
        <f>IF(Z191=0,0,Z191/Y191)</f>
        <v>0.2</v>
      </c>
      <c r="AA192" s="797"/>
      <c r="AB192" s="804"/>
      <c r="AC192" s="800">
        <f>IF(AC191=0,0,AC191/AB191)</f>
        <v>0.2</v>
      </c>
      <c r="AD192" s="797"/>
      <c r="AE192" s="804"/>
      <c r="AF192" s="800">
        <f>IF(AF191=0,0,AF191/AE191)</f>
        <v>0.2</v>
      </c>
      <c r="AG192" s="797"/>
      <c r="AH192" s="804"/>
      <c r="AI192" s="800">
        <f>IF(AI191=0,0,AI191/AH191)</f>
        <v>0.20000000000000004</v>
      </c>
      <c r="AJ192" s="797"/>
      <c r="AK192" s="804"/>
      <c r="AL192" s="800">
        <f>IF(AL191=0,0,AL191/AK191)</f>
        <v>0.2</v>
      </c>
      <c r="AM192" s="797"/>
      <c r="AN192" s="804"/>
      <c r="AO192" s="800">
        <f>IF(AO191=0,0,AO191/AN191)</f>
        <v>0.2</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38"/>
        <v>Service</v>
      </c>
      <c r="B193" s="1188"/>
      <c r="C193" s="797"/>
      <c r="D193" s="804"/>
      <c r="E193" s="800"/>
      <c r="F193" s="797"/>
      <c r="G193" s="804"/>
      <c r="H193" s="800"/>
      <c r="I193" s="797"/>
      <c r="J193" s="804"/>
      <c r="K193" s="800"/>
      <c r="L193" s="797"/>
      <c r="M193" s="804"/>
      <c r="N193" s="800"/>
      <c r="O193" s="797"/>
      <c r="P193" s="804"/>
      <c r="Q193" s="800"/>
      <c r="R193" s="797"/>
      <c r="S193" s="804"/>
      <c r="T193" s="800"/>
      <c r="U193" s="797"/>
      <c r="V193" s="804"/>
      <c r="W193" s="800"/>
      <c r="X193" s="797"/>
      <c r="Y193" s="804"/>
      <c r="Z193" s="800"/>
      <c r="AA193" s="797"/>
      <c r="AB193" s="804"/>
      <c r="AC193" s="800"/>
      <c r="AD193" s="797"/>
      <c r="AE193" s="804"/>
      <c r="AF193" s="800"/>
      <c r="AG193" s="797"/>
      <c r="AH193" s="804"/>
      <c r="AI193" s="800"/>
      <c r="AJ193" s="797"/>
      <c r="AK193" s="804"/>
      <c r="AL193" s="800"/>
      <c r="AM193" s="797"/>
      <c r="AN193" s="804"/>
      <c r="AO193" s="800"/>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38"/>
        <v>ServiceM.O. Recond. MCPA</v>
      </c>
      <c r="B194" s="1191" t="s">
        <v>173</v>
      </c>
      <c r="C194" s="1180">
        <f>+SUM(F194,I194,L194,O194,R194,U194,X194,AA194,AD194,AG194,AJ194,AM194)</f>
        <v>0</v>
      </c>
      <c r="D194" s="1192">
        <f>+SUM(G194,J194,M194,P194,S194,V194,Y194,AB194,AE194,AH194,AK194,AN194)</f>
        <v>119999.99999999999</v>
      </c>
      <c r="E194" s="1161">
        <f>+SUM(H194,K194,N194,Q194,T194,W194,Z194,AC194,AF194,AI194,AL194,AO194)</f>
        <v>84000</v>
      </c>
      <c r="F194" s="1180">
        <f>'[1]Bud men fixes'!$E$86</f>
        <v>0</v>
      </c>
      <c r="G194" s="1192">
        <f>'[1]Bud men fixes'!$E$25</f>
        <v>3469.4119555154989</v>
      </c>
      <c r="H194" s="1161">
        <f>'[1]Bud men fixes'!$E$24</f>
        <v>2428.5883688608492</v>
      </c>
      <c r="I194" s="1180">
        <f>'[1]Bud men fixes'!$E$86</f>
        <v>0</v>
      </c>
      <c r="J194" s="1192">
        <f>'[1]Bud men fixes'!$F$25</f>
        <v>3354.7455837094549</v>
      </c>
      <c r="K194" s="1161">
        <f>'[1]Bud men fixes'!$F$24</f>
        <v>2348.3219085966184</v>
      </c>
      <c r="L194" s="1180">
        <f>'[1]Bud men fixes'!$E$86</f>
        <v>0</v>
      </c>
      <c r="M194" s="1192">
        <f>'[1]Bud men fixes'!$G$25</f>
        <v>7310.8644496203269</v>
      </c>
      <c r="N194" s="1161">
        <f>'[1]Bud men fixes'!$G$24</f>
        <v>5117.6051147342287</v>
      </c>
      <c r="O194" s="1180">
        <f>'[1]Bud men fixes'!$E$86</f>
        <v>0</v>
      </c>
      <c r="P194" s="1192">
        <f>'[1]Bud men fixes'!$H$25</f>
        <v>22306.18235067842</v>
      </c>
      <c r="Q194" s="1161">
        <f>'[1]Bud men fixes'!$H$24</f>
        <v>15614.327645474894</v>
      </c>
      <c r="R194" s="1180">
        <f>'[1]Bud men fixes'!$E$86</f>
        <v>0</v>
      </c>
      <c r="S194" s="1192">
        <f>'[1]Bud men fixes'!$I$25</f>
        <v>21279.471137513105</v>
      </c>
      <c r="T194" s="1161">
        <f>'[1]Bud men fixes'!$I$24</f>
        <v>14895.629796259173</v>
      </c>
      <c r="U194" s="1180">
        <f>'[1]Bud men fixes'!$E$86</f>
        <v>0</v>
      </c>
      <c r="V194" s="1192">
        <f>'[1]Bud men fixes'!$J$25</f>
        <v>8327.8221242913169</v>
      </c>
      <c r="W194" s="1161">
        <f>'[1]Bud men fixes'!$J$24</f>
        <v>5829.4754870039214</v>
      </c>
      <c r="X194" s="1180">
        <f>'[1]Bud men fixes'!$E$86</f>
        <v>0</v>
      </c>
      <c r="Y194" s="1192">
        <f>'[1]Bud men fixes'!$K$25</f>
        <v>7338.4698113077429</v>
      </c>
      <c r="Z194" s="1161">
        <f>'[1]Bud men fixes'!$K$24</f>
        <v>5136.9288679154197</v>
      </c>
      <c r="AA194" s="1180">
        <f>'[1]Bud men fixes'!$E$86</f>
        <v>0</v>
      </c>
      <c r="AB194" s="1192">
        <f>'[1]Bud men fixes'!$L$25</f>
        <v>4696.2041960238766</v>
      </c>
      <c r="AC194" s="1161">
        <f>'[1]Bud men fixes'!$L$24</f>
        <v>3287.3429372167134</v>
      </c>
      <c r="AD194" s="1180">
        <f>'[1]Bud men fixes'!$E$86</f>
        <v>0</v>
      </c>
      <c r="AE194" s="1192">
        <f>'[1]Bud men fixes'!$M$25</f>
        <v>7223.171595310916</v>
      </c>
      <c r="AF194" s="1161">
        <f>'[1]Bud men fixes'!$M$24</f>
        <v>5056.2201167176408</v>
      </c>
      <c r="AG194" s="1180">
        <f>'[1]Bud men fixes'!$E$86</f>
        <v>0</v>
      </c>
      <c r="AH194" s="1192">
        <f>'[1]Bud men fixes'!$N$25</f>
        <v>10750.63312345279</v>
      </c>
      <c r="AI194" s="1161">
        <f>'[1]Bud men fixes'!$N$24</f>
        <v>7525.4431864169519</v>
      </c>
      <c r="AJ194" s="1180">
        <f>'[1]Bud men fixes'!$E$86</f>
        <v>0</v>
      </c>
      <c r="AK194" s="1192">
        <f>'[1]Bud men fixes'!$O$25</f>
        <v>17303.640512692615</v>
      </c>
      <c r="AL194" s="1161">
        <f>'[1]Bud men fixes'!$O$24</f>
        <v>12112.548358884829</v>
      </c>
      <c r="AM194" s="1180">
        <f>'[1]Bud men fixes'!$E$86</f>
        <v>0</v>
      </c>
      <c r="AN194" s="1192">
        <f>'[1]Bud men fixes'!$P$25</f>
        <v>6639.3831598839452</v>
      </c>
      <c r="AO194" s="1161">
        <f>'[1]Bud men fixes'!$P$24</f>
        <v>4647.5682119187613</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38"/>
        <v>Service% profit / ventes</v>
      </c>
      <c r="B195" s="778" t="s">
        <v>165</v>
      </c>
      <c r="C195" s="801"/>
      <c r="D195" s="817"/>
      <c r="E195" s="803">
        <f>IF(E194=0,0,E194/D194)</f>
        <v>0.70000000000000007</v>
      </c>
      <c r="F195" s="801"/>
      <c r="G195" s="817"/>
      <c r="H195" s="803">
        <f>IF(H194=0,0,H194/G194)</f>
        <v>0.7</v>
      </c>
      <c r="I195" s="801"/>
      <c r="J195" s="817"/>
      <c r="K195" s="803">
        <f>IF(K194=0,0,K194/J194)</f>
        <v>0.7</v>
      </c>
      <c r="L195" s="801"/>
      <c r="M195" s="817"/>
      <c r="N195" s="803">
        <f>IF(N194=0,0,N194/M194)</f>
        <v>0.7</v>
      </c>
      <c r="O195" s="801"/>
      <c r="P195" s="817"/>
      <c r="Q195" s="803">
        <f>IF(Q194=0,0,Q194/P194)</f>
        <v>0.7</v>
      </c>
      <c r="R195" s="801"/>
      <c r="S195" s="817"/>
      <c r="T195" s="803">
        <f>IF(T194=0,0,T194/S194)</f>
        <v>0.7</v>
      </c>
      <c r="U195" s="801"/>
      <c r="V195" s="817"/>
      <c r="W195" s="803">
        <f>IF(W194=0,0,W194/V194)</f>
        <v>0.7</v>
      </c>
      <c r="X195" s="801"/>
      <c r="Y195" s="817"/>
      <c r="Z195" s="803">
        <f>IF(Z194=0,0,Z194/Y194)</f>
        <v>0.7</v>
      </c>
      <c r="AA195" s="801"/>
      <c r="AB195" s="817"/>
      <c r="AC195" s="803">
        <f>IF(AC194=0,0,AC194/AB194)</f>
        <v>0.7</v>
      </c>
      <c r="AD195" s="801"/>
      <c r="AE195" s="817"/>
      <c r="AF195" s="803">
        <f>IF(AF194=0,0,AF194/AE194)</f>
        <v>0.7</v>
      </c>
      <c r="AG195" s="801"/>
      <c r="AH195" s="817"/>
      <c r="AI195" s="803">
        <f>IF(AI194=0,0,AI194/AH194)</f>
        <v>0.7</v>
      </c>
      <c r="AJ195" s="801"/>
      <c r="AK195" s="817"/>
      <c r="AL195" s="803">
        <f>IF(AL194=0,0,AL194/AK194)</f>
        <v>0.7</v>
      </c>
      <c r="AM195" s="801"/>
      <c r="AN195" s="817"/>
      <c r="AO195" s="803">
        <f>IF(AO194=0,0,AO194/AN194)</f>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38"/>
        <v>Service</v>
      </c>
      <c r="B196" s="1186"/>
      <c r="C196" s="1193"/>
      <c r="D196" s="1194"/>
      <c r="E196" s="1195"/>
      <c r="F196" s="1193"/>
      <c r="G196" s="1194"/>
      <c r="H196" s="1195"/>
      <c r="I196" s="1193"/>
      <c r="J196" s="1194"/>
      <c r="K196" s="1195"/>
      <c r="L196" s="1193"/>
      <c r="M196" s="1194"/>
      <c r="N196" s="1195"/>
      <c r="O196" s="1193"/>
      <c r="P196" s="1194"/>
      <c r="Q196" s="1195"/>
      <c r="R196" s="1193"/>
      <c r="S196" s="1194"/>
      <c r="T196" s="1195"/>
      <c r="U196" s="1193"/>
      <c r="V196" s="1194"/>
      <c r="W196" s="1195"/>
      <c r="X196" s="1193"/>
      <c r="Y196" s="1194"/>
      <c r="Z196" s="1195"/>
      <c r="AA196" s="1193"/>
      <c r="AB196" s="1194"/>
      <c r="AC196" s="1195"/>
      <c r="AD196" s="1193"/>
      <c r="AE196" s="1194"/>
      <c r="AF196" s="1195"/>
      <c r="AG196" s="1193"/>
      <c r="AH196" s="1194"/>
      <c r="AI196" s="1195"/>
      <c r="AJ196" s="1193"/>
      <c r="AK196" s="1194"/>
      <c r="AL196" s="1195"/>
      <c r="AM196" s="1193"/>
      <c r="AN196" s="1194"/>
      <c r="AO196" s="1195"/>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38"/>
        <v>ServiceTotal Mécanique</v>
      </c>
      <c r="B197" s="1152" t="s">
        <v>174</v>
      </c>
      <c r="C197" s="753"/>
      <c r="D197" s="818">
        <f>D188+D191+D194</f>
        <v>4297726.8</v>
      </c>
      <c r="E197" s="755">
        <f>E188+E191+E194</f>
        <v>3048361.45</v>
      </c>
      <c r="F197" s="753"/>
      <c r="G197" s="818">
        <f>G188+G191+G194</f>
        <v>272721.77920791577</v>
      </c>
      <c r="H197" s="755">
        <f>H188+H191+H194</f>
        <v>191253.45229410901</v>
      </c>
      <c r="I197" s="753"/>
      <c r="J197" s="818">
        <f>J188+J191+J194</f>
        <v>271976.54645620822</v>
      </c>
      <c r="K197" s="755">
        <f>K188+K191+K194</f>
        <v>185461.00025601333</v>
      </c>
      <c r="L197" s="753"/>
      <c r="M197" s="818">
        <f>M188+M191+M194</f>
        <v>329436.55813499348</v>
      </c>
      <c r="N197" s="755">
        <f>N188+N191+N194</f>
        <v>228107.70292170963</v>
      </c>
      <c r="O197" s="753"/>
      <c r="P197" s="818">
        <f>P188+P191+P194</f>
        <v>413412.73533862887</v>
      </c>
      <c r="Q197" s="755">
        <f>Q188+Q191+Q194</f>
        <v>298633.77667448547</v>
      </c>
      <c r="R197" s="753"/>
      <c r="S197" s="818">
        <f>S188+S191+S194</f>
        <v>435046.03919520928</v>
      </c>
      <c r="T197" s="755">
        <f>T188+T191+T194</f>
        <v>309116.60470608866</v>
      </c>
      <c r="U197" s="753"/>
      <c r="V197" s="818">
        <f>V188+V191+V194</f>
        <v>337351.59854474751</v>
      </c>
      <c r="W197" s="755">
        <f>W188+W191+W194</f>
        <v>237576.41833169773</v>
      </c>
      <c r="X197" s="753"/>
      <c r="Y197" s="818">
        <f>Y188+Y191+Y194</f>
        <v>361935.70641152275</v>
      </c>
      <c r="Z197" s="755">
        <f>Z188+Z191+Z194</f>
        <v>251556.38307758098</v>
      </c>
      <c r="AA197" s="753"/>
      <c r="AB197" s="818">
        <f>AB188+AB191+AB194</f>
        <v>355417.40097461519</v>
      </c>
      <c r="AC197" s="755">
        <f>AC188+AC191+AC194</f>
        <v>249609.24802029924</v>
      </c>
      <c r="AD197" s="753"/>
      <c r="AE197" s="818">
        <f>AE188+AE191+AE194</f>
        <v>375590.81249077059</v>
      </c>
      <c r="AF197" s="755">
        <f>AF188+AF191+AF194</f>
        <v>261864.65071659611</v>
      </c>
      <c r="AG197" s="753"/>
      <c r="AH197" s="818">
        <f>AH188+AH191+AH194</f>
        <v>390627.07856014912</v>
      </c>
      <c r="AI197" s="755">
        <f>AI188+AI191+AI194</f>
        <v>281992.19134064781</v>
      </c>
      <c r="AJ197" s="753"/>
      <c r="AK197" s="818">
        <f>AK188+AK191+AK194</f>
        <v>465721.08456207544</v>
      </c>
      <c r="AL197" s="755">
        <f>AL188+AL191+AL194</f>
        <v>345135.7421738017</v>
      </c>
      <c r="AM197" s="753"/>
      <c r="AN197" s="818">
        <f>AN188+AN191+AN194</f>
        <v>288489.46012316376</v>
      </c>
      <c r="AO197" s="755">
        <f>AO188+AO191+AO194</f>
        <v>208054.27948697025</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38"/>
        <v>Service</v>
      </c>
      <c r="B198" s="756"/>
      <c r="C198" s="756"/>
      <c r="D198" s="757"/>
      <c r="E198" s="819">
        <f>IFERROR(E197/D197,0)</f>
        <v>0.70929623772269568</v>
      </c>
      <c r="F198" s="756"/>
      <c r="G198" s="757"/>
      <c r="H198" s="819">
        <f>IFERROR(H197/G197,0)</f>
        <v>0.70127678416289041</v>
      </c>
      <c r="I198" s="756"/>
      <c r="J198" s="757"/>
      <c r="K198" s="819">
        <f>IFERROR(K197/J197,0)</f>
        <v>0.6819007104565723</v>
      </c>
      <c r="L198" s="756"/>
      <c r="M198" s="757"/>
      <c r="N198" s="819">
        <f>IFERROR(N197/M197,0)</f>
        <v>0.69241769709188672</v>
      </c>
      <c r="O198" s="756"/>
      <c r="P198" s="757"/>
      <c r="Q198" s="819">
        <f>IFERROR(Q197/P197,0)</f>
        <v>0.72236230562629555</v>
      </c>
      <c r="R198" s="756"/>
      <c r="S198" s="757"/>
      <c r="T198" s="819">
        <f>IFERROR(T197/S197,0)</f>
        <v>0.71053768304136911</v>
      </c>
      <c r="U198" s="756"/>
      <c r="V198" s="757"/>
      <c r="W198" s="819">
        <f>IFERROR(W197/V197,0)</f>
        <v>0.70423978826999611</v>
      </c>
      <c r="X198" s="756"/>
      <c r="Y198" s="757"/>
      <c r="Z198" s="819">
        <f>IFERROR(Z197/Y197,0)</f>
        <v>0.69503057758982223</v>
      </c>
      <c r="AA198" s="756"/>
      <c r="AB198" s="757"/>
      <c r="AC198" s="819">
        <f>IFERROR(AC197/AB197,0)</f>
        <v>0.70229889514646182</v>
      </c>
      <c r="AD198" s="756"/>
      <c r="AE198" s="757"/>
      <c r="AF198" s="819">
        <f>IFERROR(AF197/AE197,0)</f>
        <v>0.69720728518360897</v>
      </c>
      <c r="AG198" s="756"/>
      <c r="AH198" s="757"/>
      <c r="AI198" s="819">
        <f>IFERROR(AI197/AH197,0)</f>
        <v>0.72189616854026262</v>
      </c>
      <c r="AJ198" s="756"/>
      <c r="AK198" s="757"/>
      <c r="AL198" s="819">
        <f>IFERROR(AL197/AK197,0)</f>
        <v>0.74107819812010023</v>
      </c>
      <c r="AM198" s="756"/>
      <c r="AN198" s="757"/>
      <c r="AO198" s="819">
        <f>IFERROR(AO197/AN197,0)</f>
        <v>0.72118502838248022</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38"/>
        <v>Service</v>
      </c>
      <c r="B199" s="759"/>
      <c r="C199" s="759"/>
      <c r="D199" s="760"/>
      <c r="E199" s="820"/>
      <c r="F199" s="759"/>
      <c r="G199" s="760"/>
      <c r="H199" s="820"/>
      <c r="I199" s="759"/>
      <c r="J199" s="760"/>
      <c r="K199" s="820"/>
      <c r="L199" s="759"/>
      <c r="M199" s="760"/>
      <c r="N199" s="820"/>
      <c r="O199" s="759"/>
      <c r="P199" s="760"/>
      <c r="Q199" s="820"/>
      <c r="R199" s="759"/>
      <c r="S199" s="760"/>
      <c r="T199" s="820"/>
      <c r="U199" s="759"/>
      <c r="V199" s="760"/>
      <c r="W199" s="820"/>
      <c r="X199" s="759"/>
      <c r="Y199" s="760"/>
      <c r="Z199" s="820"/>
      <c r="AA199" s="759"/>
      <c r="AB199" s="760"/>
      <c r="AC199" s="820"/>
      <c r="AD199" s="759"/>
      <c r="AE199" s="760"/>
      <c r="AF199" s="820"/>
      <c r="AG199" s="759"/>
      <c r="AH199" s="760"/>
      <c r="AI199" s="820"/>
      <c r="AJ199" s="759"/>
      <c r="AK199" s="760"/>
      <c r="AL199" s="820"/>
      <c r="AM199" s="759"/>
      <c r="AN199" s="760"/>
      <c r="AO199" s="820"/>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38"/>
        <v>ServiceDEPENSES</v>
      </c>
      <c r="B200" s="1153" t="s">
        <v>110</v>
      </c>
      <c r="C200" s="744"/>
      <c r="D200" s="751"/>
      <c r="E200" s="745"/>
      <c r="F200" s="744"/>
      <c r="G200" s="751"/>
      <c r="H200" s="745"/>
      <c r="I200" s="744"/>
      <c r="J200" s="751"/>
      <c r="K200" s="745"/>
      <c r="L200" s="744"/>
      <c r="M200" s="751"/>
      <c r="N200" s="745"/>
      <c r="O200" s="744"/>
      <c r="P200" s="751"/>
      <c r="Q200" s="745"/>
      <c r="R200" s="744"/>
      <c r="S200" s="751"/>
      <c r="T200" s="745"/>
      <c r="U200" s="744"/>
      <c r="V200" s="751"/>
      <c r="W200" s="745"/>
      <c r="X200" s="744"/>
      <c r="Y200" s="751"/>
      <c r="Z200" s="745"/>
      <c r="AA200" s="744"/>
      <c r="AB200" s="751"/>
      <c r="AC200" s="745"/>
      <c r="AD200" s="744"/>
      <c r="AE200" s="751"/>
      <c r="AF200" s="745"/>
      <c r="AG200" s="744"/>
      <c r="AH200" s="751"/>
      <c r="AI200" s="745"/>
      <c r="AJ200" s="744"/>
      <c r="AK200" s="751"/>
      <c r="AL200" s="745"/>
      <c r="AM200" s="744"/>
      <c r="AN200" s="751"/>
      <c r="AO200" s="745"/>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38"/>
        <v>ServiceSalaires cadres</v>
      </c>
      <c r="B201" s="1158" t="s">
        <v>120</v>
      </c>
      <c r="C201" s="744"/>
      <c r="D201" s="751"/>
      <c r="E201" s="752">
        <f t="shared" ref="E201:E212" si="40">+SUM(H201,K201,N201,Q201,T201,W201,Z201,AC201,AF201,AI201,AL201,AO201)</f>
        <v>92898.918750000012</v>
      </c>
      <c r="F201" s="744"/>
      <c r="G201" s="751"/>
      <c r="H201" s="765">
        <f>[1]Salaire!$E$46</f>
        <v>10052.764903846155</v>
      </c>
      <c r="I201" s="744"/>
      <c r="J201" s="751"/>
      <c r="K201" s="765">
        <f>[1]Salaire!$F$46</f>
        <v>7153.8461538461543</v>
      </c>
      <c r="L201" s="744"/>
      <c r="M201" s="751"/>
      <c r="N201" s="765">
        <f>[1]Salaire!$G$46</f>
        <v>7153.8461538461543</v>
      </c>
      <c r="O201" s="744"/>
      <c r="P201" s="751"/>
      <c r="Q201" s="765">
        <f>[1]Salaire!$H$46</f>
        <v>7153.8461538461543</v>
      </c>
      <c r="R201" s="744"/>
      <c r="S201" s="751"/>
      <c r="T201" s="765">
        <f>[1]Salaire!$I$46</f>
        <v>8192.3076923076933</v>
      </c>
      <c r="U201" s="744"/>
      <c r="V201" s="751"/>
      <c r="W201" s="765">
        <f>[1]Salaire!$J$46</f>
        <v>7153.8461538461543</v>
      </c>
      <c r="X201" s="744"/>
      <c r="Y201" s="751"/>
      <c r="Z201" s="765">
        <f>[1]Salaire!$K$46</f>
        <v>8192.3076923076933</v>
      </c>
      <c r="AA201" s="744"/>
      <c r="AB201" s="751"/>
      <c r="AC201" s="765">
        <f>[1]Salaire!$L$46</f>
        <v>7153.8461538461543</v>
      </c>
      <c r="AD201" s="744"/>
      <c r="AE201" s="751"/>
      <c r="AF201" s="765">
        <f>[1]Salaire!$M$46</f>
        <v>7153.8461538461543</v>
      </c>
      <c r="AG201" s="744"/>
      <c r="AH201" s="751"/>
      <c r="AI201" s="765">
        <f>[1]Salaire!$N$46</f>
        <v>8192.3076923076933</v>
      </c>
      <c r="AJ201" s="744"/>
      <c r="AK201" s="751"/>
      <c r="AL201" s="765">
        <f>[1]Salaire!$O$46</f>
        <v>7153.8461538461543</v>
      </c>
      <c r="AM201" s="744"/>
      <c r="AN201" s="751"/>
      <c r="AO201" s="765">
        <f>[1]Salaire!$P$46</f>
        <v>8192.3076923076933</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38"/>
        <v>ServiceSalaires commis</v>
      </c>
      <c r="B202" s="1159" t="s">
        <v>121</v>
      </c>
      <c r="C202" s="744"/>
      <c r="D202" s="751"/>
      <c r="E202" s="752">
        <f t="shared" si="40"/>
        <v>176104.97830735997</v>
      </c>
      <c r="F202" s="744"/>
      <c r="G202" s="751"/>
      <c r="H202" s="765">
        <f>[1]Salaire!$E$115</f>
        <v>11984.70794672</v>
      </c>
      <c r="I202" s="744"/>
      <c r="J202" s="751"/>
      <c r="K202" s="765">
        <f>[1]Salaire!$F$115</f>
        <v>13686.064196719999</v>
      </c>
      <c r="L202" s="744"/>
      <c r="M202" s="751"/>
      <c r="N202" s="765">
        <f>[1]Salaire!$G$115</f>
        <v>13686.064196719999</v>
      </c>
      <c r="O202" s="744"/>
      <c r="P202" s="751"/>
      <c r="Q202" s="765">
        <f>[1]Salaire!$H$115</f>
        <v>13686.064196719999</v>
      </c>
      <c r="R202" s="744"/>
      <c r="S202" s="751"/>
      <c r="T202" s="765">
        <f>[1]Salaire!$I$115</f>
        <v>17079.455245900001</v>
      </c>
      <c r="U202" s="744"/>
      <c r="V202" s="751"/>
      <c r="W202" s="765">
        <f>[1]Salaire!$J$115</f>
        <v>13686.064196719999</v>
      </c>
      <c r="X202" s="744"/>
      <c r="Y202" s="751"/>
      <c r="Z202" s="765">
        <f>[1]Salaire!$K$115</f>
        <v>17079.455245900001</v>
      </c>
      <c r="AA202" s="744"/>
      <c r="AB202" s="751"/>
      <c r="AC202" s="765">
        <f>[1]Salaire!$L$115</f>
        <v>13686.064196719999</v>
      </c>
      <c r="AD202" s="744"/>
      <c r="AE202" s="751"/>
      <c r="AF202" s="765">
        <f>[1]Salaire!$M$115</f>
        <v>13686.064196719999</v>
      </c>
      <c r="AG202" s="744"/>
      <c r="AH202" s="751"/>
      <c r="AI202" s="765">
        <f>[1]Salaire!$N$115</f>
        <v>17079.455245900001</v>
      </c>
      <c r="AJ202" s="744"/>
      <c r="AK202" s="751"/>
      <c r="AL202" s="765">
        <f>[1]Salaire!$O$115</f>
        <v>13686.064196719999</v>
      </c>
      <c r="AM202" s="744"/>
      <c r="AN202" s="751"/>
      <c r="AO202" s="765">
        <f>[1]Salaire!$P$115</f>
        <v>17079.455245900001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38"/>
        <v>ServiceSalaires autres</v>
      </c>
      <c r="B203" s="1158" t="s">
        <v>122</v>
      </c>
      <c r="C203" s="1142"/>
      <c r="D203" s="1160"/>
      <c r="E203" s="1161">
        <f t="shared" si="40"/>
        <v>319391.40014066669</v>
      </c>
      <c r="F203" s="1142"/>
      <c r="G203" s="1160"/>
      <c r="H203" s="1162">
        <f>[1]Salaire!$E$177</f>
        <v>20062.377097999997</v>
      </c>
      <c r="I203" s="1142"/>
      <c r="J203" s="1160"/>
      <c r="K203" s="1162">
        <f>[1]Salaire!$F$177</f>
        <v>19891.452097999998</v>
      </c>
      <c r="L203" s="1142"/>
      <c r="M203" s="1160"/>
      <c r="N203" s="1162">
        <f>[1]Salaire!$G$177</f>
        <v>35049.351564666664</v>
      </c>
      <c r="O203" s="1142"/>
      <c r="P203" s="1160"/>
      <c r="Q203" s="1162">
        <f>[1]Salaire!$H$177</f>
        <v>35049.351564666664</v>
      </c>
      <c r="R203" s="1142"/>
      <c r="S203" s="1160"/>
      <c r="T203" s="1162">
        <f>[1]Salaire!$I$177</f>
        <v>24864.315122499997</v>
      </c>
      <c r="U203" s="1142"/>
      <c r="V203" s="1160"/>
      <c r="W203" s="1162">
        <f>[1]Salaire!$J$177</f>
        <v>19891.452097999998</v>
      </c>
      <c r="X203" s="1142"/>
      <c r="Y203" s="1160"/>
      <c r="Z203" s="1162">
        <f>[1]Salaire!$K$177</f>
        <v>24864.315122499997</v>
      </c>
      <c r="AA203" s="1142"/>
      <c r="AB203" s="1160"/>
      <c r="AC203" s="1162">
        <f>[1]Salaire!$L$177</f>
        <v>19891.452097999998</v>
      </c>
      <c r="AD203" s="1142"/>
      <c r="AE203" s="1160"/>
      <c r="AF203" s="1162">
        <f>[1]Salaire!$M$177</f>
        <v>19891.452097999998</v>
      </c>
      <c r="AG203" s="1142"/>
      <c r="AH203" s="1160"/>
      <c r="AI203" s="1162">
        <f>[1]Salaire!$N$177</f>
        <v>40022.214589166659</v>
      </c>
      <c r="AJ203" s="1142"/>
      <c r="AK203" s="1160"/>
      <c r="AL203" s="1162">
        <f>[1]Salaire!$O$177</f>
        <v>35049.351564666664</v>
      </c>
      <c r="AM203" s="1142"/>
      <c r="AN203" s="1160"/>
      <c r="AO203" s="1162">
        <f>[1]Salaire!$P$177</f>
        <v>24864.315122499997</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38"/>
        <v>ServiceSalaires spécialistes</v>
      </c>
      <c r="B204" s="1158" t="s">
        <v>123</v>
      </c>
      <c r="C204" s="744"/>
      <c r="D204" s="751"/>
      <c r="E204" s="752">
        <f t="shared" si="40"/>
        <v>443650.36281249998</v>
      </c>
      <c r="F204" s="744"/>
      <c r="G204" s="751"/>
      <c r="H204" s="765">
        <f>[1]Salaire!$E$206</f>
        <v>26582.196004975034</v>
      </c>
      <c r="I204" s="744"/>
      <c r="J204" s="751"/>
      <c r="K204" s="765">
        <f>[1]Salaire!$F$206</f>
        <v>26214.917022316586</v>
      </c>
      <c r="L204" s="744"/>
      <c r="M204" s="751"/>
      <c r="N204" s="765">
        <f>[1]Salaire!$G$206</f>
        <v>29097.697573702389</v>
      </c>
      <c r="O204" s="744"/>
      <c r="P204" s="751"/>
      <c r="Q204" s="765">
        <f>[1]Salaire!$H$206</f>
        <v>42074.212906812798</v>
      </c>
      <c r="R204" s="744"/>
      <c r="S204" s="751"/>
      <c r="T204" s="765">
        <f>[1]Salaire!$I$206</f>
        <v>45535.035739912259</v>
      </c>
      <c r="U204" s="744"/>
      <c r="V204" s="751"/>
      <c r="W204" s="765">
        <f>[1]Salaire!$J$206</f>
        <v>34250.336052268896</v>
      </c>
      <c r="X204" s="744"/>
      <c r="Y204" s="751"/>
      <c r="Z204" s="765">
        <f>[1]Salaire!$K$206</f>
        <v>38569.755532328607</v>
      </c>
      <c r="AA204" s="744"/>
      <c r="AB204" s="751"/>
      <c r="AC204" s="765">
        <f>[1]Salaire!$L$206</f>
        <v>33775.083626791886</v>
      </c>
      <c r="AD204" s="744"/>
      <c r="AE204" s="751"/>
      <c r="AF204" s="765">
        <f>[1]Salaire!$M$206</f>
        <v>33080.915935609577</v>
      </c>
      <c r="AG204" s="744"/>
      <c r="AH204" s="751"/>
      <c r="AI204" s="765">
        <f>[1]Salaire!$N$206</f>
        <v>44587.883258591624</v>
      </c>
      <c r="AJ204" s="744"/>
      <c r="AK204" s="751"/>
      <c r="AL204" s="765">
        <f>[1]Salaire!$O$206</f>
        <v>49632.426279108688</v>
      </c>
      <c r="AM204" s="744"/>
      <c r="AN204" s="751"/>
      <c r="AO204" s="765">
        <f>[1]Salaire!$P$206</f>
        <v>40249.902880081616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38"/>
        <v>Service[...]</v>
      </c>
      <c r="B205" s="744" t="s">
        <v>59</v>
      </c>
      <c r="C205" s="744"/>
      <c r="D205" s="751"/>
      <c r="E205" s="752">
        <f t="shared" si="40"/>
        <v>0</v>
      </c>
      <c r="F205" s="744"/>
      <c r="G205" s="751"/>
      <c r="H205" s="765"/>
      <c r="I205" s="744"/>
      <c r="J205" s="751"/>
      <c r="K205" s="765"/>
      <c r="L205" s="744"/>
      <c r="M205" s="751"/>
      <c r="N205" s="765"/>
      <c r="O205" s="744"/>
      <c r="P205" s="751"/>
      <c r="Q205" s="765"/>
      <c r="R205" s="744"/>
      <c r="S205" s="751"/>
      <c r="T205" s="765"/>
      <c r="U205" s="744"/>
      <c r="V205" s="751"/>
      <c r="W205" s="765"/>
      <c r="X205" s="744"/>
      <c r="Y205" s="751"/>
      <c r="Z205" s="765"/>
      <c r="AA205" s="744"/>
      <c r="AB205" s="751"/>
      <c r="AC205" s="765"/>
      <c r="AD205" s="744"/>
      <c r="AE205" s="751"/>
      <c r="AF205" s="765"/>
      <c r="AG205" s="744"/>
      <c r="AH205" s="751"/>
      <c r="AI205" s="765"/>
      <c r="AJ205" s="744"/>
      <c r="AK205" s="751"/>
      <c r="AL205" s="765"/>
      <c r="AM205" s="744"/>
      <c r="AN205" s="751"/>
      <c r="AO205" s="765"/>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38"/>
        <v>Service[...]</v>
      </c>
      <c r="B206" s="744" t="s">
        <v>59</v>
      </c>
      <c r="C206" s="744"/>
      <c r="D206" s="751"/>
      <c r="E206" s="752">
        <f t="shared" si="40"/>
        <v>0</v>
      </c>
      <c r="F206" s="744"/>
      <c r="G206" s="751"/>
      <c r="H206" s="765"/>
      <c r="I206" s="744"/>
      <c r="J206" s="751"/>
      <c r="K206" s="765"/>
      <c r="L206" s="744"/>
      <c r="M206" s="751"/>
      <c r="N206" s="765"/>
      <c r="O206" s="744"/>
      <c r="P206" s="751"/>
      <c r="Q206" s="765"/>
      <c r="R206" s="744"/>
      <c r="S206" s="751"/>
      <c r="T206" s="765"/>
      <c r="U206" s="744"/>
      <c r="V206" s="751"/>
      <c r="W206" s="765"/>
      <c r="X206" s="744"/>
      <c r="Y206" s="751"/>
      <c r="Z206" s="765"/>
      <c r="AA206" s="744"/>
      <c r="AB206" s="751"/>
      <c r="AC206" s="765"/>
      <c r="AD206" s="744"/>
      <c r="AE206" s="751"/>
      <c r="AF206" s="765"/>
      <c r="AG206" s="744"/>
      <c r="AH206" s="751"/>
      <c r="AI206" s="765"/>
      <c r="AJ206" s="744"/>
      <c r="AK206" s="751"/>
      <c r="AL206" s="765"/>
      <c r="AM206" s="744"/>
      <c r="AN206" s="751"/>
      <c r="AO206" s="765"/>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38"/>
        <v>Service[...]</v>
      </c>
      <c r="B207" s="744" t="s">
        <v>59</v>
      </c>
      <c r="C207" s="744"/>
      <c r="D207" s="751"/>
      <c r="E207" s="752">
        <f t="shared" si="40"/>
        <v>0</v>
      </c>
      <c r="F207" s="744"/>
      <c r="G207" s="751"/>
      <c r="H207" s="765"/>
      <c r="I207" s="744"/>
      <c r="J207" s="751"/>
      <c r="K207" s="765"/>
      <c r="L207" s="744"/>
      <c r="M207" s="751"/>
      <c r="N207" s="765"/>
      <c r="O207" s="744"/>
      <c r="P207" s="751"/>
      <c r="Q207" s="765"/>
      <c r="R207" s="744"/>
      <c r="S207" s="751"/>
      <c r="T207" s="765"/>
      <c r="U207" s="744"/>
      <c r="V207" s="751"/>
      <c r="W207" s="765"/>
      <c r="X207" s="744"/>
      <c r="Y207" s="751"/>
      <c r="Z207" s="765"/>
      <c r="AA207" s="744"/>
      <c r="AB207" s="751"/>
      <c r="AC207" s="765"/>
      <c r="AD207" s="744"/>
      <c r="AE207" s="751"/>
      <c r="AF207" s="765"/>
      <c r="AG207" s="744"/>
      <c r="AH207" s="751"/>
      <c r="AI207" s="765"/>
      <c r="AJ207" s="744"/>
      <c r="AK207" s="751"/>
      <c r="AL207" s="765"/>
      <c r="AM207" s="744"/>
      <c r="AN207" s="751"/>
      <c r="AO207" s="765"/>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38"/>
        <v>ServiceSalaires en absences</v>
      </c>
      <c r="B208" s="1159" t="s">
        <v>124</v>
      </c>
      <c r="C208" s="744"/>
      <c r="D208" s="751"/>
      <c r="E208" s="752">
        <f t="shared" si="40"/>
        <v>237395.66649206978</v>
      </c>
      <c r="F208" s="744"/>
      <c r="G208" s="751"/>
      <c r="H208" s="765">
        <f>'[1]DAS-VAC'!$F$45</f>
        <v>16347.02915127694</v>
      </c>
      <c r="I208" s="744"/>
      <c r="J208" s="751"/>
      <c r="K208" s="765">
        <f>'[1]DAS-VAC'!$G$45</f>
        <v>15661.626154361753</v>
      </c>
      <c r="L208" s="744"/>
      <c r="M208" s="751"/>
      <c r="N208" s="765">
        <f>'[1]DAS-VAC'!$H$45</f>
        <v>19392.749967965792</v>
      </c>
      <c r="O208" s="744"/>
      <c r="P208" s="751"/>
      <c r="Q208" s="765">
        <f>'[1]DAS-VAC'!$I$45</f>
        <v>21824.108692371785</v>
      </c>
      <c r="R208" s="744"/>
      <c r="S208" s="751"/>
      <c r="T208" s="765">
        <f>'[1]DAS-VAC'!$J$45</f>
        <v>22160.637532309549</v>
      </c>
      <c r="U208" s="744"/>
      <c r="V208" s="751"/>
      <c r="W208" s="765">
        <f>'[1]DAS-VAC'!$K$45</f>
        <v>18060.580821222648</v>
      </c>
      <c r="X208" s="744"/>
      <c r="Y208" s="751"/>
      <c r="Z208" s="765">
        <f>'[1]DAS-VAC'!$L$45</f>
        <v>20449.168665803896</v>
      </c>
      <c r="AA208" s="744"/>
      <c r="AB208" s="751"/>
      <c r="AC208" s="765">
        <f>'[1]DAS-VAC'!$M$45</f>
        <v>18844.726189813166</v>
      </c>
      <c r="AD208" s="744"/>
      <c r="AE208" s="751"/>
      <c r="AF208" s="765">
        <f>'[1]DAS-VAC'!$N$45</f>
        <v>19200.314459678488</v>
      </c>
      <c r="AG208" s="744"/>
      <c r="AH208" s="751"/>
      <c r="AI208" s="765">
        <f>'[1]DAS-VAC'!$O$45</f>
        <v>23583.722047089708</v>
      </c>
      <c r="AJ208" s="744"/>
      <c r="AK208" s="751"/>
      <c r="AL208" s="765">
        <f>'[1]DAS-VAC'!$P$45</f>
        <v>23803.518749052651</v>
      </c>
      <c r="AM208" s="744"/>
      <c r="AN208" s="751"/>
      <c r="AO208" s="765">
        <f>'[1]DAS-VAC'!$Q$45</f>
        <v>18067.484061123407</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38"/>
        <v>ServiceDéduction à la source</v>
      </c>
      <c r="B209" s="1158" t="s">
        <v>125</v>
      </c>
      <c r="C209" s="1142"/>
      <c r="D209" s="1160"/>
      <c r="E209" s="1161">
        <f t="shared" si="40"/>
        <v>288639.66498595272</v>
      </c>
      <c r="F209" s="1142"/>
      <c r="G209" s="1160"/>
      <c r="H209" s="1162">
        <f>'[1]DAS-VAC'!$F$53</f>
        <v>19875.683020935841</v>
      </c>
      <c r="I209" s="1142"/>
      <c r="J209" s="1160"/>
      <c r="K209" s="1162">
        <f>'[1]DAS-VAC'!$G$53</f>
        <v>19042.329597373762</v>
      </c>
      <c r="L209" s="1142"/>
      <c r="M209" s="1160"/>
      <c r="N209" s="1162">
        <f>'[1]DAS-VAC'!$H$53</f>
        <v>23578.85018131524</v>
      </c>
      <c r="O209" s="1142"/>
      <c r="P209" s="1160"/>
      <c r="Q209" s="1162">
        <f>'[1]DAS-VAC'!$I$53</f>
        <v>26535.039643588603</v>
      </c>
      <c r="R209" s="1142"/>
      <c r="S209" s="1160"/>
      <c r="T209" s="1162">
        <f>'[1]DAS-VAC'!$J$53</f>
        <v>26944.211272764034</v>
      </c>
      <c r="U209" s="1142"/>
      <c r="V209" s="1160"/>
      <c r="W209" s="1162">
        <f>'[1]DAS-VAC'!$K$53</f>
        <v>21959.120293645155</v>
      </c>
      <c r="X209" s="1142"/>
      <c r="Y209" s="1160"/>
      <c r="Z209" s="1162">
        <f>'[1]DAS-VAC'!$L$53</f>
        <v>24863.306395426767</v>
      </c>
      <c r="AA209" s="1142"/>
      <c r="AB209" s="1160"/>
      <c r="AC209" s="1162">
        <f>'[1]DAS-VAC'!$M$53</f>
        <v>22912.530521534951</v>
      </c>
      <c r="AD209" s="1142"/>
      <c r="AE209" s="1160"/>
      <c r="AF209" s="1162">
        <f>'[1]DAS-VAC'!$N$53</f>
        <v>23344.87573071041</v>
      </c>
      <c r="AG209" s="1142"/>
      <c r="AH209" s="1160"/>
      <c r="AI209" s="1162">
        <f>'[1]DAS-VAC'!$O$53</f>
        <v>28674.481431703785</v>
      </c>
      <c r="AJ209" s="1142"/>
      <c r="AK209" s="1160"/>
      <c r="AL209" s="1162">
        <f>'[1]DAS-VAC'!$P$53</f>
        <v>28941.723236733622</v>
      </c>
      <c r="AM209" s="1142"/>
      <c r="AN209" s="1160"/>
      <c r="AO209" s="1162">
        <f>'[1]DAS-VAC'!$Q$53</f>
        <v>21967.513660220535</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38"/>
        <v>ServiceBénéfices marginaux</v>
      </c>
      <c r="B210" s="1163" t="s">
        <v>126</v>
      </c>
      <c r="C210" s="744"/>
      <c r="D210" s="751"/>
      <c r="E210" s="752">
        <f t="shared" si="40"/>
        <v>148712.17522102347</v>
      </c>
      <c r="F210" s="744"/>
      <c r="G210" s="751"/>
      <c r="H210" s="765">
        <f>'[1]DAS-VAC'!$F$61</f>
        <v>10240.297556438682</v>
      </c>
      <c r="I210" s="744"/>
      <c r="J210" s="751"/>
      <c r="K210" s="765">
        <f>'[1]DAS-VAC'!$G$61</f>
        <v>9810.9393795164815</v>
      </c>
      <c r="L210" s="744"/>
      <c r="M210" s="751"/>
      <c r="N210" s="765">
        <f>'[1]DAS-VAC'!$H$61</f>
        <v>12148.233680373285</v>
      </c>
      <c r="O210" s="744"/>
      <c r="P210" s="751"/>
      <c r="Q210" s="765">
        <f>'[1]DAS-VAC'!$I$61</f>
        <v>13671.313903327171</v>
      </c>
      <c r="R210" s="744"/>
      <c r="S210" s="751"/>
      <c r="T210" s="765">
        <f>'[1]DAS-VAC'!$J$61</f>
        <v>13882.126242706685</v>
      </c>
      <c r="U210" s="744"/>
      <c r="V210" s="751"/>
      <c r="W210" s="765">
        <f>'[1]DAS-VAC'!$K$61</f>
        <v>11313.72067303022</v>
      </c>
      <c r="X210" s="744"/>
      <c r="Y210" s="751"/>
      <c r="Z210" s="765">
        <f>'[1]DAS-VAC'!$L$61</f>
        <v>12810.007860252485</v>
      </c>
      <c r="AA210" s="744"/>
      <c r="AB210" s="751"/>
      <c r="AC210" s="765">
        <f>'[1]DAS-VAC'!$M$61</f>
        <v>11804.934203486484</v>
      </c>
      <c r="AD210" s="744"/>
      <c r="AE210" s="751"/>
      <c r="AF210" s="765">
        <f>'[1]DAS-VAC'!$N$61</f>
        <v>12027.685974300795</v>
      </c>
      <c r="AG210" s="744"/>
      <c r="AH210" s="751"/>
      <c r="AI210" s="765">
        <f>'[1]DAS-VAC'!$O$61</f>
        <v>14773.591520247384</v>
      </c>
      <c r="AJ210" s="744"/>
      <c r="AK210" s="751"/>
      <c r="AL210" s="765">
        <f>'[1]DAS-VAC'!$P$61</f>
        <v>14911.279145882321</v>
      </c>
      <c r="AM210" s="744"/>
      <c r="AN210" s="751"/>
      <c r="AO210" s="765">
        <f>'[1]DAS-VAC'!$Q$61</f>
        <v>11318.045081461447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38"/>
        <v>ServiceCsst</v>
      </c>
      <c r="B211" s="1158" t="s">
        <v>127</v>
      </c>
      <c r="C211" s="744"/>
      <c r="D211" s="751"/>
      <c r="E211" s="752">
        <f t="shared" si="40"/>
        <v>64839.34503307633</v>
      </c>
      <c r="F211" s="744"/>
      <c r="G211" s="751"/>
      <c r="H211" s="765">
        <f>'[1]DAS-VAC'!$F$69</f>
        <v>4464.8273452826879</v>
      </c>
      <c r="I211" s="744"/>
      <c r="J211" s="751"/>
      <c r="K211" s="765">
        <f>'[1]DAS-VAC'!$G$69</f>
        <v>4277.6247646274387</v>
      </c>
      <c r="L211" s="744"/>
      <c r="M211" s="751"/>
      <c r="N211" s="765">
        <f>'[1]DAS-VAC'!$H$69</f>
        <v>5296.6982291360309</v>
      </c>
      <c r="O211" s="744"/>
      <c r="P211" s="751"/>
      <c r="Q211" s="765">
        <f>'[1]DAS-VAC'!$I$69</f>
        <v>5960.7697750090338</v>
      </c>
      <c r="R211" s="744"/>
      <c r="S211" s="751"/>
      <c r="T211" s="765">
        <f>'[1]DAS-VAC'!$J$69</f>
        <v>6052.6851409832243</v>
      </c>
      <c r="U211" s="744"/>
      <c r="V211" s="751"/>
      <c r="W211" s="765">
        <f>'[1]DAS-VAC'!$K$69</f>
        <v>4932.8458630652158</v>
      </c>
      <c r="X211" s="744"/>
      <c r="Y211" s="751"/>
      <c r="Z211" s="765">
        <f>'[1]DAS-VAC'!$L$69</f>
        <v>5585.2354946248524</v>
      </c>
      <c r="AA211" s="744"/>
      <c r="AB211" s="751"/>
      <c r="AC211" s="765">
        <f>'[1]DAS-VAC'!$M$69</f>
        <v>5147.0177258520534</v>
      </c>
      <c r="AD211" s="744"/>
      <c r="AE211" s="751"/>
      <c r="AF211" s="765">
        <f>'[1]DAS-VAC'!$N$69</f>
        <v>5244.1387511016128</v>
      </c>
      <c r="AG211" s="744"/>
      <c r="AH211" s="751"/>
      <c r="AI211" s="765">
        <f>'[1]DAS-VAC'!$O$69</f>
        <v>6441.3690172667921</v>
      </c>
      <c r="AJ211" s="744"/>
      <c r="AK211" s="751"/>
      <c r="AL211" s="765">
        <f>'[1]DAS-VAC'!$P$69</f>
        <v>6501.4015966575525</v>
      </c>
      <c r="AM211" s="744"/>
      <c r="AN211" s="751"/>
      <c r="AO211" s="765">
        <f>'[1]DAS-VAC'!$Q$69</f>
        <v>4934.7313294698297</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38"/>
        <v>Service[...]</v>
      </c>
      <c r="B212" s="744" t="s">
        <v>59</v>
      </c>
      <c r="C212" s="770"/>
      <c r="D212" s="771"/>
      <c r="E212" s="768">
        <f t="shared" si="40"/>
        <v>0</v>
      </c>
      <c r="F212" s="770"/>
      <c r="G212" s="771"/>
      <c r="H212" s="768"/>
      <c r="I212" s="770"/>
      <c r="J212" s="771"/>
      <c r="K212" s="768"/>
      <c r="L212" s="770"/>
      <c r="M212" s="771"/>
      <c r="N212" s="768"/>
      <c r="O212" s="770"/>
      <c r="P212" s="771"/>
      <c r="Q212" s="768"/>
      <c r="R212" s="770"/>
      <c r="S212" s="771"/>
      <c r="T212" s="768"/>
      <c r="U212" s="770"/>
      <c r="V212" s="771"/>
      <c r="W212" s="768"/>
      <c r="X212" s="770"/>
      <c r="Y212" s="771"/>
      <c r="Z212" s="768"/>
      <c r="AA212" s="770"/>
      <c r="AB212" s="771"/>
      <c r="AC212" s="768"/>
      <c r="AD212" s="770"/>
      <c r="AE212" s="771"/>
      <c r="AF212" s="768"/>
      <c r="AG212" s="770"/>
      <c r="AH212" s="771"/>
      <c r="AI212" s="768"/>
      <c r="AJ212" s="770"/>
      <c r="AK212" s="771"/>
      <c r="AL212" s="768"/>
      <c r="AM212" s="770"/>
      <c r="AN212" s="771"/>
      <c r="AO212" s="768"/>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38"/>
        <v>ServiceTOTAL PERSONNEL</v>
      </c>
      <c r="B213" s="1154" t="s">
        <v>128</v>
      </c>
      <c r="C213" s="1155" t="s">
        <v>175</v>
      </c>
      <c r="D213" s="1156">
        <f>IFERROR(E213/E$197,0)</f>
        <v>0.58117534314792252</v>
      </c>
      <c r="E213" s="1157">
        <f>+SUM(E201:E212)</f>
        <v>1771632.5117426489</v>
      </c>
      <c r="F213" s="1155" t="s">
        <v>175</v>
      </c>
      <c r="G213" s="1156">
        <f>IFERROR(H213/H$197,0)</f>
        <v>0.6253998638599193</v>
      </c>
      <c r="H213" s="1157">
        <f>+SUM(H201:H212)</f>
        <v>119609.88302747534</v>
      </c>
      <c r="I213" s="1155" t="s">
        <v>175</v>
      </c>
      <c r="J213" s="1156">
        <f>IFERROR(K213/K$197,0)</f>
        <v>0.6240600406931619</v>
      </c>
      <c r="K213" s="1157">
        <f>+SUM(K201:K212)</f>
        <v>115738.79936676219</v>
      </c>
      <c r="L213" s="1155" t="s">
        <v>175</v>
      </c>
      <c r="M213" s="1156">
        <f>IFERROR(N213/N$197,0)</f>
        <v>0.6374335004269035</v>
      </c>
      <c r="N213" s="1157">
        <f>+SUM(N201:N212)</f>
        <v>145403.49154772557</v>
      </c>
      <c r="O213" s="1155" t="s">
        <v>175</v>
      </c>
      <c r="P213" s="1156">
        <f>IFERROR(Q213/Q$197,0)</f>
        <v>0.55571311686298264</v>
      </c>
      <c r="Q213" s="1157">
        <f>+SUM(Q201:Q212)</f>
        <v>165954.7068363422</v>
      </c>
      <c r="R213" s="1155" t="s">
        <v>175</v>
      </c>
      <c r="S213" s="1156">
        <f>IFERROR(T213/T$197,0)</f>
        <v>0.53284350139000858</v>
      </c>
      <c r="T213" s="1157">
        <f>+SUM(T201:T212)</f>
        <v>164710.77398938348</v>
      </c>
      <c r="U213" s="1155" t="s">
        <v>175</v>
      </c>
      <c r="V213" s="1156">
        <f>IFERROR(W213/W$197,0)</f>
        <v>0.5524452598176367</v>
      </c>
      <c r="W213" s="1157">
        <f>+SUM(W201:W212)</f>
        <v>131247.96615179829</v>
      </c>
      <c r="X213" s="1155" t="s">
        <v>175</v>
      </c>
      <c r="Y213" s="1156">
        <f>IFERROR(Z213/Z$197,0)</f>
        <v>0.60588226839841053</v>
      </c>
      <c r="Z213" s="1157">
        <f>+SUM(Z201:Z212)</f>
        <v>152413.5520091443</v>
      </c>
      <c r="AA213" s="1155" t="s">
        <v>175</v>
      </c>
      <c r="AB213" s="1156">
        <f>IFERROR(AC213/AC$197,0)</f>
        <v>0.53369679117502511</v>
      </c>
      <c r="AC213" s="1157">
        <f>+SUM(AC201:AC212)</f>
        <v>133215.65471604469</v>
      </c>
      <c r="AD213" s="1155" t="s">
        <v>175</v>
      </c>
      <c r="AE213" s="1156">
        <f>IFERROR(AF213/AF$197,0)</f>
        <v>0.51029909128356465</v>
      </c>
      <c r="AF213" s="1157">
        <f>+SUM(AF201:AF212)</f>
        <v>133629.29329996704</v>
      </c>
      <c r="AG213" s="1155" t="s">
        <v>175</v>
      </c>
      <c r="AH213" s="1156">
        <f>IFERROR(AI213/AI$197,0)</f>
        <v>0.65021312799679609</v>
      </c>
      <c r="AI213" s="1157">
        <f>+SUM(AI201:AI212)</f>
        <v>183355.02480227366</v>
      </c>
      <c r="AJ213" s="1155" t="s">
        <v>175</v>
      </c>
      <c r="AK213" s="1156">
        <f>IFERROR(AL213/AL$197,0)</f>
        <v>0.52060563125387771</v>
      </c>
      <c r="AL213" s="1157">
        <f>+SUM(AL201:AL212)</f>
        <v>179679.61092266763</v>
      </c>
      <c r="AM213" s="1155" t="s">
        <v>175</v>
      </c>
      <c r="AN213" s="1156">
        <f>IFERROR(AO213/AO$197,0)</f>
        <v>0.70497831351866147</v>
      </c>
      <c r="AO213" s="1157">
        <f>+SUM(AO201:AO212)</f>
        <v>146673.75507306453</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38"/>
        <v>ServicePublicité 2</v>
      </c>
      <c r="B214" s="744" t="s">
        <v>129</v>
      </c>
      <c r="C214" s="744"/>
      <c r="D214" s="751"/>
      <c r="E214" s="752">
        <f t="shared" ref="E214:E231" si="41">+SUM(H214,K214,N214,Q214,T214,W214,Z214,AC214,AF214,AI214,AL214,AO214)</f>
        <v>96816.75</v>
      </c>
      <c r="F214" s="744"/>
      <c r="G214" s="751"/>
      <c r="H214" s="765">
        <f>[1]DEPA!$C$8</f>
        <v>15755.5</v>
      </c>
      <c r="I214" s="744"/>
      <c r="J214" s="751"/>
      <c r="K214" s="765">
        <f>[1]DEPA!$D$8</f>
        <v>4456.25</v>
      </c>
      <c r="L214" s="744"/>
      <c r="M214" s="751"/>
      <c r="N214" s="765">
        <f>[1]DEPA!$E$8</f>
        <v>5697.5</v>
      </c>
      <c r="O214" s="744"/>
      <c r="P214" s="751"/>
      <c r="Q214" s="765">
        <f>[1]DEPA!$F$8</f>
        <v>15300</v>
      </c>
      <c r="R214" s="744"/>
      <c r="S214" s="751"/>
      <c r="T214" s="765">
        <f>[1]DEPA!$G$8</f>
        <v>9905</v>
      </c>
      <c r="U214" s="744"/>
      <c r="V214" s="751"/>
      <c r="W214" s="765">
        <f>[1]DEPA!$H$8</f>
        <v>5715</v>
      </c>
      <c r="X214" s="744"/>
      <c r="Y214" s="751"/>
      <c r="Z214" s="765">
        <f>[1]DEPA!$I$8</f>
        <v>7330</v>
      </c>
      <c r="AA214" s="744"/>
      <c r="AB214" s="751"/>
      <c r="AC214" s="765">
        <f>[1]DEPA!$J$8</f>
        <v>3620</v>
      </c>
      <c r="AD214" s="744"/>
      <c r="AE214" s="751"/>
      <c r="AF214" s="765">
        <f>[1]DEPA!$K$8</f>
        <v>4312.5</v>
      </c>
      <c r="AG214" s="744"/>
      <c r="AH214" s="751"/>
      <c r="AI214" s="765">
        <f>[1]DEPA!$L$8</f>
        <v>7125</v>
      </c>
      <c r="AJ214" s="744"/>
      <c r="AK214" s="751"/>
      <c r="AL214" s="765">
        <f>[1]DEPA!$M$8</f>
        <v>11375</v>
      </c>
      <c r="AM214" s="744"/>
      <c r="AN214" s="751"/>
      <c r="AO214" s="765">
        <f>[1]DEPA!$N$8</f>
        <v>6225</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38"/>
        <v>ServiceService gratuit 2</v>
      </c>
      <c r="B215" s="744" t="s">
        <v>130</v>
      </c>
      <c r="C215" s="744"/>
      <c r="D215" s="751"/>
      <c r="E215" s="752">
        <f t="shared" si="41"/>
        <v>41066.128839884514</v>
      </c>
      <c r="F215" s="744"/>
      <c r="G215" s="751"/>
      <c r="H215" s="765">
        <f>[1]DEPA!$C$34</f>
        <v>3422.1774033237093</v>
      </c>
      <c r="I215" s="744"/>
      <c r="J215" s="751"/>
      <c r="K215" s="765">
        <f>[1]DEPA!$D$34</f>
        <v>3422.1774033237093</v>
      </c>
      <c r="L215" s="744"/>
      <c r="M215" s="751"/>
      <c r="N215" s="765">
        <f>[1]DEPA!$E$34</f>
        <v>3422.1774033237093</v>
      </c>
      <c r="O215" s="744"/>
      <c r="P215" s="751"/>
      <c r="Q215" s="765">
        <f>[1]DEPA!$F$34</f>
        <v>3422.1774033237093</v>
      </c>
      <c r="R215" s="744"/>
      <c r="S215" s="751"/>
      <c r="T215" s="765">
        <f>[1]DEPA!$G$34</f>
        <v>3422.1774033237093</v>
      </c>
      <c r="U215" s="744"/>
      <c r="V215" s="751"/>
      <c r="W215" s="765">
        <f>[1]DEPA!$H$34</f>
        <v>3422.1774033237093</v>
      </c>
      <c r="X215" s="744"/>
      <c r="Y215" s="751"/>
      <c r="Z215" s="765">
        <f>[1]DEPA!$I$34</f>
        <v>3422.1774033237093</v>
      </c>
      <c r="AA215" s="744"/>
      <c r="AB215" s="751"/>
      <c r="AC215" s="765">
        <f>[1]DEPA!$J$34</f>
        <v>3422.1774033237093</v>
      </c>
      <c r="AD215" s="744"/>
      <c r="AE215" s="751"/>
      <c r="AF215" s="765">
        <f>[1]DEPA!$K$34</f>
        <v>3422.1774033237093</v>
      </c>
      <c r="AG215" s="744"/>
      <c r="AH215" s="751"/>
      <c r="AI215" s="765">
        <f>[1]DEPA!$L$34</f>
        <v>3422.1774033237093</v>
      </c>
      <c r="AJ215" s="744"/>
      <c r="AK215" s="751"/>
      <c r="AL215" s="765">
        <f>[1]DEPA!$M$34</f>
        <v>3422.1774033237093</v>
      </c>
      <c r="AM215" s="744"/>
      <c r="AN215" s="751"/>
      <c r="AO215" s="765">
        <f>[1]DEPA!$N$34</f>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38"/>
        <v>ServiceFrais véhicules de cie</v>
      </c>
      <c r="B216" s="770" t="s">
        <v>131</v>
      </c>
      <c r="C216" s="770"/>
      <c r="D216" s="771"/>
      <c r="E216" s="768">
        <f t="shared" si="41"/>
        <v>157004.8722666667</v>
      </c>
      <c r="F216" s="770"/>
      <c r="G216" s="771"/>
      <c r="H216" s="769">
        <f>[1]DEPA!$C$43</f>
        <v>11083.739355555555</v>
      </c>
      <c r="I216" s="770"/>
      <c r="J216" s="771"/>
      <c r="K216" s="769">
        <f>[1]DEPA!$D$43</f>
        <v>11083.739355555555</v>
      </c>
      <c r="L216" s="770"/>
      <c r="M216" s="771"/>
      <c r="N216" s="769">
        <f>[1]DEPA!$E$43</f>
        <v>14083.739355555555</v>
      </c>
      <c r="O216" s="770"/>
      <c r="P216" s="771"/>
      <c r="Q216" s="769">
        <f>[1]DEPA!$F$43</f>
        <v>16083.739355555555</v>
      </c>
      <c r="R216" s="770"/>
      <c r="S216" s="771"/>
      <c r="T216" s="769">
        <f>[1]DEPA!$G$43</f>
        <v>16083.739355555555</v>
      </c>
      <c r="U216" s="770"/>
      <c r="V216" s="771"/>
      <c r="W216" s="769">
        <f>[1]DEPA!$H$43</f>
        <v>11083.739355555555</v>
      </c>
      <c r="X216" s="770"/>
      <c r="Y216" s="771"/>
      <c r="Z216" s="769">
        <f>[1]DEPA!$I$43</f>
        <v>11083.739355555555</v>
      </c>
      <c r="AA216" s="770"/>
      <c r="AB216" s="771"/>
      <c r="AC216" s="769">
        <f>[1]DEPA!$J$43</f>
        <v>11083.739355555555</v>
      </c>
      <c r="AD216" s="770"/>
      <c r="AE216" s="771"/>
      <c r="AF216" s="769">
        <f>[1]DEPA!$K$43</f>
        <v>11083.739355555555</v>
      </c>
      <c r="AG216" s="770"/>
      <c r="AH216" s="771"/>
      <c r="AI216" s="769">
        <f>[1]DEPA!$L$43</f>
        <v>14083.739355555555</v>
      </c>
      <c r="AJ216" s="770"/>
      <c r="AK216" s="771"/>
      <c r="AL216" s="769">
        <f>[1]DEPA!$M$43</f>
        <v>19083.739355555554</v>
      </c>
      <c r="AM216" s="770"/>
      <c r="AN216" s="771"/>
      <c r="AO216" s="769">
        <f>[1]DEPA!$N$43</f>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38"/>
        <v>ServiceInformatique</v>
      </c>
      <c r="B217" s="744" t="s">
        <v>132</v>
      </c>
      <c r="C217" s="744"/>
      <c r="D217" s="751"/>
      <c r="E217" s="752">
        <f t="shared" si="41"/>
        <v>68388</v>
      </c>
      <c r="F217" s="744"/>
      <c r="G217" s="751"/>
      <c r="H217" s="765">
        <f>[1]DEPA!$C$57</f>
        <v>8108</v>
      </c>
      <c r="I217" s="744"/>
      <c r="J217" s="751"/>
      <c r="K217" s="765">
        <f>[1]DEPA!$D$57</f>
        <v>5480</v>
      </c>
      <c r="L217" s="744"/>
      <c r="M217" s="751"/>
      <c r="N217" s="765">
        <f>[1]DEPA!$E$57</f>
        <v>5480</v>
      </c>
      <c r="O217" s="744"/>
      <c r="P217" s="751"/>
      <c r="Q217" s="765">
        <f>[1]DEPA!$F$57</f>
        <v>5480</v>
      </c>
      <c r="R217" s="744"/>
      <c r="S217" s="751"/>
      <c r="T217" s="765">
        <f>[1]DEPA!$G$57</f>
        <v>5480</v>
      </c>
      <c r="U217" s="744"/>
      <c r="V217" s="751"/>
      <c r="W217" s="765">
        <f>[1]DEPA!$H$57</f>
        <v>5480</v>
      </c>
      <c r="X217" s="744"/>
      <c r="Y217" s="751"/>
      <c r="Z217" s="765">
        <f>[1]DEPA!$I$57</f>
        <v>5480</v>
      </c>
      <c r="AA217" s="744"/>
      <c r="AB217" s="751"/>
      <c r="AC217" s="765">
        <f>[1]DEPA!$J$57</f>
        <v>5480</v>
      </c>
      <c r="AD217" s="744"/>
      <c r="AE217" s="751"/>
      <c r="AF217" s="765">
        <f>[1]DEPA!$K$57</f>
        <v>5480</v>
      </c>
      <c r="AG217" s="744"/>
      <c r="AH217" s="751"/>
      <c r="AI217" s="765">
        <f>[1]DEPA!$L$57</f>
        <v>5480</v>
      </c>
      <c r="AJ217" s="744"/>
      <c r="AK217" s="751"/>
      <c r="AL217" s="765">
        <f>[1]DEPA!$M$57</f>
        <v>5480</v>
      </c>
      <c r="AM217" s="744"/>
      <c r="AN217" s="751"/>
      <c r="AO217" s="765">
        <f>[1]DEPA!$N$57</f>
        <v>5480</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38"/>
        <v>ServiceFrais de déplacement</v>
      </c>
      <c r="B218" s="744" t="s">
        <v>133</v>
      </c>
      <c r="C218" s="744"/>
      <c r="D218" s="751"/>
      <c r="E218" s="752">
        <f t="shared" si="41"/>
        <v>15000</v>
      </c>
      <c r="F218" s="744"/>
      <c r="G218" s="751"/>
      <c r="H218" s="765">
        <f>[1]DEPA!$C$77</f>
        <v>1250</v>
      </c>
      <c r="I218" s="744"/>
      <c r="J218" s="751"/>
      <c r="K218" s="765">
        <f>[1]DEPA!$D$77</f>
        <v>1250</v>
      </c>
      <c r="L218" s="744"/>
      <c r="M218" s="751"/>
      <c r="N218" s="765">
        <f>[1]DEPA!$E$77</f>
        <v>1250</v>
      </c>
      <c r="O218" s="744"/>
      <c r="P218" s="751"/>
      <c r="Q218" s="765">
        <f>[1]DEPA!$F$77</f>
        <v>1250</v>
      </c>
      <c r="R218" s="744"/>
      <c r="S218" s="751"/>
      <c r="T218" s="765">
        <f>[1]DEPA!$G$77</f>
        <v>1250</v>
      </c>
      <c r="U218" s="744"/>
      <c r="V218" s="751"/>
      <c r="W218" s="765">
        <f>[1]DEPA!$H$77</f>
        <v>1250</v>
      </c>
      <c r="X218" s="744"/>
      <c r="Y218" s="751"/>
      <c r="Z218" s="765">
        <f>[1]DEPA!$I$77</f>
        <v>1250</v>
      </c>
      <c r="AA218" s="744"/>
      <c r="AB218" s="751"/>
      <c r="AC218" s="765">
        <f>[1]DEPA!$J$77</f>
        <v>1250</v>
      </c>
      <c r="AD218" s="744"/>
      <c r="AE218" s="751"/>
      <c r="AF218" s="765">
        <f>[1]DEPA!$K$77</f>
        <v>1250</v>
      </c>
      <c r="AG218" s="744"/>
      <c r="AH218" s="751"/>
      <c r="AI218" s="765">
        <f>[1]DEPA!$L$77</f>
        <v>1250</v>
      </c>
      <c r="AJ218" s="744"/>
      <c r="AK218" s="751"/>
      <c r="AL218" s="765">
        <f>[1]DEPA!$M$77</f>
        <v>1250</v>
      </c>
      <c r="AM218" s="744"/>
      <c r="AN218" s="751"/>
      <c r="AO218" s="765">
        <f>[1]DEPA!$N$77</f>
        <v>1250</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38"/>
        <v>ServiceServices extérieurs</v>
      </c>
      <c r="B219" s="770" t="s">
        <v>134</v>
      </c>
      <c r="C219" s="770"/>
      <c r="D219" s="771"/>
      <c r="E219" s="768">
        <f t="shared" si="41"/>
        <v>197542.08</v>
      </c>
      <c r="F219" s="770"/>
      <c r="G219" s="771"/>
      <c r="H219" s="769">
        <f>[1]DEPA!$C$86</f>
        <v>16161.84</v>
      </c>
      <c r="I219" s="770"/>
      <c r="J219" s="771"/>
      <c r="K219" s="769">
        <f>[1]DEPA!$D$86</f>
        <v>15081.84</v>
      </c>
      <c r="L219" s="770"/>
      <c r="M219" s="771"/>
      <c r="N219" s="769">
        <f>[1]DEPA!$E$86</f>
        <v>14721.84</v>
      </c>
      <c r="O219" s="770"/>
      <c r="P219" s="771"/>
      <c r="Q219" s="769">
        <f>[1]DEPA!$F$86</f>
        <v>14721.84</v>
      </c>
      <c r="R219" s="770"/>
      <c r="S219" s="771"/>
      <c r="T219" s="769">
        <f>[1]DEPA!$G$86</f>
        <v>17721.84</v>
      </c>
      <c r="U219" s="770"/>
      <c r="V219" s="771"/>
      <c r="W219" s="769">
        <f>[1]DEPA!$H$86</f>
        <v>15681.84</v>
      </c>
      <c r="X219" s="770"/>
      <c r="Y219" s="771"/>
      <c r="Z219" s="769">
        <f>[1]DEPA!$I$86</f>
        <v>17721.84</v>
      </c>
      <c r="AA219" s="770"/>
      <c r="AB219" s="771"/>
      <c r="AC219" s="769">
        <f>[1]DEPA!$J$86</f>
        <v>14721.84</v>
      </c>
      <c r="AD219" s="770"/>
      <c r="AE219" s="771"/>
      <c r="AF219" s="769">
        <f>[1]DEPA!$K$86</f>
        <v>14721.84</v>
      </c>
      <c r="AG219" s="770"/>
      <c r="AH219" s="771"/>
      <c r="AI219" s="769">
        <f>[1]DEPA!$L$86</f>
        <v>18441.84</v>
      </c>
      <c r="AJ219" s="770"/>
      <c r="AK219" s="771"/>
      <c r="AL219" s="769">
        <f>[1]DEPA!$M$86</f>
        <v>16161.84</v>
      </c>
      <c r="AM219" s="770"/>
      <c r="AN219" s="771"/>
      <c r="AO219" s="769">
        <f>[1]DEPA!$N$86</f>
        <v>21681.84</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38"/>
        <v>ServiceFournitures d'atelier</v>
      </c>
      <c r="B220" s="744" t="s">
        <v>490</v>
      </c>
      <c r="C220" s="744"/>
      <c r="D220" s="751"/>
      <c r="E220" s="752"/>
      <c r="F220" s="744"/>
      <c r="G220" s="751"/>
      <c r="H220" s="765"/>
      <c r="I220" s="744"/>
      <c r="J220" s="751"/>
      <c r="K220" s="765"/>
      <c r="L220" s="744"/>
      <c r="M220" s="751"/>
      <c r="N220" s="765"/>
      <c r="O220" s="744"/>
      <c r="P220" s="751"/>
      <c r="Q220" s="765"/>
      <c r="R220" s="744"/>
      <c r="S220" s="751"/>
      <c r="T220" s="765"/>
      <c r="U220" s="744"/>
      <c r="V220" s="751"/>
      <c r="W220" s="765"/>
      <c r="X220" s="744"/>
      <c r="Y220" s="751"/>
      <c r="Z220" s="765"/>
      <c r="AA220" s="744"/>
      <c r="AB220" s="751"/>
      <c r="AC220" s="765"/>
      <c r="AD220" s="744"/>
      <c r="AE220" s="751"/>
      <c r="AF220" s="765"/>
      <c r="AG220" s="744"/>
      <c r="AH220" s="751"/>
      <c r="AI220" s="765"/>
      <c r="AJ220" s="744"/>
      <c r="AK220" s="751"/>
      <c r="AL220" s="765"/>
      <c r="AM220" s="744"/>
      <c r="AN220" s="751"/>
      <c r="AO220" s="765"/>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42">+$C$171&amp;B221</f>
        <v>ServiceFournitures autres</v>
      </c>
      <c r="B221" s="744" t="s">
        <v>135</v>
      </c>
      <c r="C221" s="744"/>
      <c r="D221" s="751"/>
      <c r="E221" s="752">
        <f t="shared" si="41"/>
        <v>60000</v>
      </c>
      <c r="F221" s="744"/>
      <c r="G221" s="751"/>
      <c r="H221" s="765">
        <f>[1]DEPA!$C$115</f>
        <v>5000</v>
      </c>
      <c r="I221" s="744"/>
      <c r="J221" s="751"/>
      <c r="K221" s="765">
        <f>[1]DEPA!$D$115</f>
        <v>5000</v>
      </c>
      <c r="L221" s="744"/>
      <c r="M221" s="751"/>
      <c r="N221" s="765">
        <f>[1]DEPA!$E$115</f>
        <v>5000</v>
      </c>
      <c r="O221" s="744"/>
      <c r="P221" s="751"/>
      <c r="Q221" s="765">
        <f>[1]DEPA!$F$115</f>
        <v>5000</v>
      </c>
      <c r="R221" s="744"/>
      <c r="S221" s="751"/>
      <c r="T221" s="765">
        <f>[1]DEPA!$G$115</f>
        <v>5000</v>
      </c>
      <c r="U221" s="744"/>
      <c r="V221" s="751"/>
      <c r="W221" s="765">
        <f>[1]DEPA!$H$115</f>
        <v>5000</v>
      </c>
      <c r="X221" s="744"/>
      <c r="Y221" s="751"/>
      <c r="Z221" s="765">
        <f>[1]DEPA!$I$115</f>
        <v>5000</v>
      </c>
      <c r="AA221" s="744"/>
      <c r="AB221" s="751"/>
      <c r="AC221" s="765">
        <f>[1]DEPA!$J$115</f>
        <v>5000</v>
      </c>
      <c r="AD221" s="744"/>
      <c r="AE221" s="751"/>
      <c r="AF221" s="765">
        <f>[1]DEPA!$K$115</f>
        <v>5000</v>
      </c>
      <c r="AG221" s="744"/>
      <c r="AH221" s="751"/>
      <c r="AI221" s="765">
        <f>[1]DEPA!$L$115</f>
        <v>5000</v>
      </c>
      <c r="AJ221" s="744"/>
      <c r="AK221" s="751"/>
      <c r="AL221" s="765">
        <f>[1]DEPA!$M$115</f>
        <v>5000</v>
      </c>
      <c r="AM221" s="744"/>
      <c r="AN221" s="751"/>
      <c r="AO221" s="765">
        <f>[1]DEPA!$N$115</f>
        <v>5000</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42"/>
        <v>ServiceUniformes</v>
      </c>
      <c r="B222" s="744" t="s">
        <v>136</v>
      </c>
      <c r="C222" s="744"/>
      <c r="D222" s="751"/>
      <c r="E222" s="752">
        <f t="shared" si="41"/>
        <v>27000</v>
      </c>
      <c r="F222" s="744"/>
      <c r="G222" s="751"/>
      <c r="H222" s="765">
        <f>[1]DEPA!$C$124</f>
        <v>1000</v>
      </c>
      <c r="I222" s="744"/>
      <c r="J222" s="751"/>
      <c r="K222" s="765">
        <f>[1]DEPA!$D$124</f>
        <v>1000</v>
      </c>
      <c r="L222" s="744"/>
      <c r="M222" s="751"/>
      <c r="N222" s="765">
        <f>[1]DEPA!$E$124</f>
        <v>1000</v>
      </c>
      <c r="O222" s="744"/>
      <c r="P222" s="751"/>
      <c r="Q222" s="765">
        <f>[1]DEPA!$F$124</f>
        <v>16000</v>
      </c>
      <c r="R222" s="744"/>
      <c r="S222" s="751"/>
      <c r="T222" s="765">
        <f>[1]DEPA!$G$124</f>
        <v>1000</v>
      </c>
      <c r="U222" s="744"/>
      <c r="V222" s="751"/>
      <c r="W222" s="765">
        <f>[1]DEPA!$H$124</f>
        <v>1000</v>
      </c>
      <c r="X222" s="744"/>
      <c r="Y222" s="751"/>
      <c r="Z222" s="765">
        <f>[1]DEPA!$I$124</f>
        <v>1000</v>
      </c>
      <c r="AA222" s="744"/>
      <c r="AB222" s="751"/>
      <c r="AC222" s="765">
        <f>[1]DEPA!$J$124</f>
        <v>1000</v>
      </c>
      <c r="AD222" s="744"/>
      <c r="AE222" s="751"/>
      <c r="AF222" s="765">
        <f>[1]DEPA!$K$124</f>
        <v>1000</v>
      </c>
      <c r="AG222" s="744"/>
      <c r="AH222" s="751"/>
      <c r="AI222" s="765">
        <f>[1]DEPA!$L$124</f>
        <v>1000</v>
      </c>
      <c r="AJ222" s="744"/>
      <c r="AK222" s="751"/>
      <c r="AL222" s="765">
        <f>[1]DEPA!$M$124</f>
        <v>1000</v>
      </c>
      <c r="AM222" s="744"/>
      <c r="AN222" s="751"/>
      <c r="AO222" s="765">
        <f>[1]DEPA!$N$124</f>
        <v>1000</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42"/>
        <v>ServicePapeterie</v>
      </c>
      <c r="B223" s="744" t="s">
        <v>137</v>
      </c>
      <c r="C223" s="744"/>
      <c r="D223" s="751"/>
      <c r="E223" s="752">
        <f t="shared" si="41"/>
        <v>9996</v>
      </c>
      <c r="F223" s="744"/>
      <c r="G223" s="751"/>
      <c r="H223" s="765">
        <f>[1]DEPA!$C$133</f>
        <v>833</v>
      </c>
      <c r="I223" s="744"/>
      <c r="J223" s="751"/>
      <c r="K223" s="765">
        <f>[1]DEPA!$D$133</f>
        <v>833</v>
      </c>
      <c r="L223" s="744"/>
      <c r="M223" s="751"/>
      <c r="N223" s="765">
        <f>[1]DEPA!$E$133</f>
        <v>833</v>
      </c>
      <c r="O223" s="744"/>
      <c r="P223" s="751"/>
      <c r="Q223" s="765">
        <f>[1]DEPA!$F$133</f>
        <v>833</v>
      </c>
      <c r="R223" s="744"/>
      <c r="S223" s="751"/>
      <c r="T223" s="765">
        <f>[1]DEPA!$G$133</f>
        <v>833</v>
      </c>
      <c r="U223" s="744"/>
      <c r="V223" s="751"/>
      <c r="W223" s="765">
        <f>[1]DEPA!$H$133</f>
        <v>833</v>
      </c>
      <c r="X223" s="744"/>
      <c r="Y223" s="751"/>
      <c r="Z223" s="765">
        <f>[1]DEPA!$I$133</f>
        <v>833</v>
      </c>
      <c r="AA223" s="744"/>
      <c r="AB223" s="751"/>
      <c r="AC223" s="765">
        <f>[1]DEPA!$J$133</f>
        <v>833</v>
      </c>
      <c r="AD223" s="744"/>
      <c r="AE223" s="751"/>
      <c r="AF223" s="765">
        <f>[1]DEPA!$K$133</f>
        <v>833</v>
      </c>
      <c r="AG223" s="744"/>
      <c r="AH223" s="751"/>
      <c r="AI223" s="765">
        <f>[1]DEPA!$L$133</f>
        <v>833</v>
      </c>
      <c r="AJ223" s="744"/>
      <c r="AK223" s="751"/>
      <c r="AL223" s="765">
        <f>[1]DEPA!$M$133</f>
        <v>833</v>
      </c>
      <c r="AM223" s="744"/>
      <c r="AN223" s="751"/>
      <c r="AO223" s="765">
        <f>[1]DEPA!$N$133</f>
        <v>833</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42"/>
        <v>ServiceTéléphone</v>
      </c>
      <c r="B224" s="744" t="s">
        <v>138</v>
      </c>
      <c r="C224" s="744"/>
      <c r="D224" s="751"/>
      <c r="E224" s="752">
        <f t="shared" si="41"/>
        <v>2730</v>
      </c>
      <c r="F224" s="744"/>
      <c r="G224" s="751"/>
      <c r="H224" s="765">
        <f>[1]DEPA!$C$142</f>
        <v>227.5</v>
      </c>
      <c r="I224" s="744"/>
      <c r="J224" s="751"/>
      <c r="K224" s="765">
        <f>[1]DEPA!$D$142</f>
        <v>227.5</v>
      </c>
      <c r="L224" s="744"/>
      <c r="M224" s="751"/>
      <c r="N224" s="765">
        <f>[1]DEPA!$E$142</f>
        <v>227.5</v>
      </c>
      <c r="O224" s="744"/>
      <c r="P224" s="751"/>
      <c r="Q224" s="765">
        <f>[1]DEPA!$F$142</f>
        <v>227.5</v>
      </c>
      <c r="R224" s="744"/>
      <c r="S224" s="751"/>
      <c r="T224" s="765">
        <f>[1]DEPA!$G$142</f>
        <v>227.5</v>
      </c>
      <c r="U224" s="744"/>
      <c r="V224" s="751"/>
      <c r="W224" s="765">
        <f>[1]DEPA!$H$142</f>
        <v>227.5</v>
      </c>
      <c r="X224" s="744"/>
      <c r="Y224" s="751"/>
      <c r="Z224" s="765">
        <f>[1]DEPA!$I$142</f>
        <v>227.5</v>
      </c>
      <c r="AA224" s="744"/>
      <c r="AB224" s="751"/>
      <c r="AC224" s="765">
        <f>[1]DEPA!$J$142</f>
        <v>227.5</v>
      </c>
      <c r="AD224" s="744"/>
      <c r="AE224" s="751"/>
      <c r="AF224" s="765">
        <f>[1]DEPA!$K$142</f>
        <v>227.5</v>
      </c>
      <c r="AG224" s="744"/>
      <c r="AH224" s="751"/>
      <c r="AI224" s="765">
        <f>[1]DEPA!$L$142</f>
        <v>227.5</v>
      </c>
      <c r="AJ224" s="744"/>
      <c r="AK224" s="751"/>
      <c r="AL224" s="765">
        <f>[1]DEPA!$M$142</f>
        <v>227.5</v>
      </c>
      <c r="AM224" s="744"/>
      <c r="AN224" s="751"/>
      <c r="AO224" s="765">
        <f>[1]DEPA!$N$142</f>
        <v>227.5</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42"/>
        <v>ServiceFrais postaux</v>
      </c>
      <c r="B225" s="744" t="s">
        <v>139</v>
      </c>
      <c r="C225" s="744"/>
      <c r="D225" s="751"/>
      <c r="E225" s="752">
        <f t="shared" si="41"/>
        <v>2051.2800000000002</v>
      </c>
      <c r="F225" s="744"/>
      <c r="G225" s="751"/>
      <c r="H225" s="765">
        <f>[1]DEPA!$C$151</f>
        <v>170.93999999999997</v>
      </c>
      <c r="I225" s="744"/>
      <c r="J225" s="751"/>
      <c r="K225" s="765">
        <f>[1]DEPA!$D$151</f>
        <v>170.93999999999997</v>
      </c>
      <c r="L225" s="744"/>
      <c r="M225" s="751"/>
      <c r="N225" s="765">
        <f>[1]DEPA!$E$151</f>
        <v>170.93999999999997</v>
      </c>
      <c r="O225" s="744"/>
      <c r="P225" s="751"/>
      <c r="Q225" s="765">
        <f>[1]DEPA!$F$151</f>
        <v>170.93999999999997</v>
      </c>
      <c r="R225" s="744"/>
      <c r="S225" s="751"/>
      <c r="T225" s="765">
        <f>[1]DEPA!$G$151</f>
        <v>170.93999999999997</v>
      </c>
      <c r="U225" s="744"/>
      <c r="V225" s="751"/>
      <c r="W225" s="765">
        <f>[1]DEPA!$H$151</f>
        <v>170.93999999999997</v>
      </c>
      <c r="X225" s="744"/>
      <c r="Y225" s="751"/>
      <c r="Z225" s="765">
        <f>[1]DEPA!$I$151</f>
        <v>170.93999999999997</v>
      </c>
      <c r="AA225" s="744"/>
      <c r="AB225" s="751"/>
      <c r="AC225" s="765">
        <f>[1]DEPA!$J$151</f>
        <v>170.93999999999997</v>
      </c>
      <c r="AD225" s="744"/>
      <c r="AE225" s="751"/>
      <c r="AF225" s="765">
        <f>[1]DEPA!$K$151</f>
        <v>170.93999999999997</v>
      </c>
      <c r="AG225" s="744"/>
      <c r="AH225" s="751"/>
      <c r="AI225" s="765">
        <f>[1]DEPA!$L$151</f>
        <v>170.93999999999997</v>
      </c>
      <c r="AJ225" s="744"/>
      <c r="AK225" s="751"/>
      <c r="AL225" s="765">
        <f>[1]DEPA!$M$151</f>
        <v>170.93999999999997</v>
      </c>
      <c r="AM225" s="744"/>
      <c r="AN225" s="751"/>
      <c r="AO225" s="765">
        <f>[1]DEPA!$N$151</f>
        <v>170.93999999999997</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42"/>
        <v>ServiceDivers</v>
      </c>
      <c r="B226" s="744" t="s">
        <v>140</v>
      </c>
      <c r="C226" s="744"/>
      <c r="D226" s="751"/>
      <c r="E226" s="752">
        <f t="shared" si="41"/>
        <v>1080</v>
      </c>
      <c r="F226" s="744"/>
      <c r="G226" s="751"/>
      <c r="H226" s="765">
        <f>[1]DEPA!$C$160</f>
        <v>90</v>
      </c>
      <c r="I226" s="744"/>
      <c r="J226" s="751"/>
      <c r="K226" s="765">
        <f>[1]DEPA!$D$160</f>
        <v>90</v>
      </c>
      <c r="L226" s="744"/>
      <c r="M226" s="751"/>
      <c r="N226" s="765">
        <f>[1]DEPA!$E$160</f>
        <v>90</v>
      </c>
      <c r="O226" s="744"/>
      <c r="P226" s="751"/>
      <c r="Q226" s="765">
        <f>[1]DEPA!$F$160</f>
        <v>90</v>
      </c>
      <c r="R226" s="744"/>
      <c r="S226" s="751"/>
      <c r="T226" s="765">
        <f>[1]DEPA!$G$160</f>
        <v>90</v>
      </c>
      <c r="U226" s="744"/>
      <c r="V226" s="751"/>
      <c r="W226" s="765">
        <f>[1]DEPA!$H$160</f>
        <v>90</v>
      </c>
      <c r="X226" s="744"/>
      <c r="Y226" s="751"/>
      <c r="Z226" s="765">
        <f>[1]DEPA!$I$160</f>
        <v>90</v>
      </c>
      <c r="AA226" s="744"/>
      <c r="AB226" s="751"/>
      <c r="AC226" s="765">
        <f>[1]DEPA!$J$160</f>
        <v>90</v>
      </c>
      <c r="AD226" s="744"/>
      <c r="AE226" s="751"/>
      <c r="AF226" s="765">
        <f>[1]DEPA!$K$160</f>
        <v>90</v>
      </c>
      <c r="AG226" s="744"/>
      <c r="AH226" s="751"/>
      <c r="AI226" s="765">
        <f>[1]DEPA!$L$160</f>
        <v>90</v>
      </c>
      <c r="AJ226" s="744"/>
      <c r="AK226" s="751"/>
      <c r="AL226" s="765">
        <f>[1]DEPA!$M$160</f>
        <v>90</v>
      </c>
      <c r="AM226" s="744"/>
      <c r="AN226" s="751"/>
      <c r="AO226" s="765">
        <f>[1]DEPA!$N$160</f>
        <v>90</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42"/>
        <v>ServiceFormation</v>
      </c>
      <c r="B227" s="744" t="s">
        <v>141</v>
      </c>
      <c r="C227" s="744"/>
      <c r="D227" s="751"/>
      <c r="E227" s="752">
        <f t="shared" si="41"/>
        <v>20000</v>
      </c>
      <c r="F227" s="744"/>
      <c r="G227" s="751"/>
      <c r="H227" s="765">
        <f>[1]DEPA!$C$171</f>
        <v>1666.6666666666667</v>
      </c>
      <c r="I227" s="744"/>
      <c r="J227" s="751"/>
      <c r="K227" s="765">
        <f>[1]DEPA!$D$171</f>
        <v>1666.6666666666667</v>
      </c>
      <c r="L227" s="744"/>
      <c r="M227" s="751"/>
      <c r="N227" s="765">
        <f>[1]DEPA!$E$171</f>
        <v>1666.6666666666667</v>
      </c>
      <c r="O227" s="744"/>
      <c r="P227" s="751"/>
      <c r="Q227" s="765">
        <f>[1]DEPA!$F$171</f>
        <v>1666.6666666666667</v>
      </c>
      <c r="R227" s="744"/>
      <c r="S227" s="751"/>
      <c r="T227" s="765">
        <f>[1]DEPA!$G$171</f>
        <v>1666.6666666666667</v>
      </c>
      <c r="U227" s="744"/>
      <c r="V227" s="751"/>
      <c r="W227" s="765">
        <f>[1]DEPA!$H$171</f>
        <v>1666.6666666666667</v>
      </c>
      <c r="X227" s="744"/>
      <c r="Y227" s="751"/>
      <c r="Z227" s="765">
        <f>[1]DEPA!$I$171</f>
        <v>1666.6666666666667</v>
      </c>
      <c r="AA227" s="744"/>
      <c r="AB227" s="751"/>
      <c r="AC227" s="765">
        <f>[1]DEPA!$J$171</f>
        <v>1666.6666666666667</v>
      </c>
      <c r="AD227" s="744"/>
      <c r="AE227" s="751"/>
      <c r="AF227" s="765">
        <f>[1]DEPA!$K$171</f>
        <v>1666.6666666666667</v>
      </c>
      <c r="AG227" s="744"/>
      <c r="AH227" s="751"/>
      <c r="AI227" s="765">
        <f>[1]DEPA!$L$171</f>
        <v>1666.6666666666667</v>
      </c>
      <c r="AJ227" s="744"/>
      <c r="AK227" s="751"/>
      <c r="AL227" s="765">
        <f>[1]DEPA!$M$171</f>
        <v>1666.6666666666667</v>
      </c>
      <c r="AM227" s="744"/>
      <c r="AN227" s="751"/>
      <c r="AO227" s="765">
        <f>[1]DEPA!$N$171</f>
        <v>1666.6666666666667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42"/>
        <v>ServiceFrais bancaires</v>
      </c>
      <c r="B228" s="744" t="s">
        <v>142</v>
      </c>
      <c r="C228" s="744"/>
      <c r="D228" s="751"/>
      <c r="E228" s="752">
        <f t="shared" si="41"/>
        <v>23110.220270988437</v>
      </c>
      <c r="F228" s="744"/>
      <c r="G228" s="751"/>
      <c r="H228" s="765">
        <f>[1]DEPA!$C$183</f>
        <v>1479.5694461102762</v>
      </c>
      <c r="I228" s="744"/>
      <c r="J228" s="751"/>
      <c r="K228" s="765">
        <f>[1]DEPA!$D$183</f>
        <v>1497.2397994669952</v>
      </c>
      <c r="L228" s="744"/>
      <c r="M228" s="751"/>
      <c r="N228" s="765">
        <f>[1]DEPA!$E$183</f>
        <v>2042.7904372481134</v>
      </c>
      <c r="O228" s="744"/>
      <c r="P228" s="751"/>
      <c r="Q228" s="765">
        <f>[1]DEPA!$F$183</f>
        <v>2169.212670925579</v>
      </c>
      <c r="R228" s="744"/>
      <c r="S228" s="751"/>
      <c r="T228" s="765">
        <f>[1]DEPA!$G$183</f>
        <v>2309.1937084524639</v>
      </c>
      <c r="U228" s="744"/>
      <c r="V228" s="751"/>
      <c r="W228" s="765">
        <f>[1]DEPA!$H$183</f>
        <v>2086.7881799403885</v>
      </c>
      <c r="X228" s="744"/>
      <c r="Y228" s="751"/>
      <c r="Z228" s="765">
        <f>[1]DEPA!$I$183</f>
        <v>1978.57656844853</v>
      </c>
      <c r="AA228" s="744"/>
      <c r="AB228" s="751"/>
      <c r="AC228" s="765">
        <f>[1]DEPA!$J$183</f>
        <v>1918.1529458842833</v>
      </c>
      <c r="AD228" s="744"/>
      <c r="AE228" s="751"/>
      <c r="AF228" s="765">
        <f>[1]DEPA!$K$183</f>
        <v>2000.4377143817417</v>
      </c>
      <c r="AG228" s="744"/>
      <c r="AH228" s="751"/>
      <c r="AI228" s="765">
        <f>[1]DEPA!$L$183</f>
        <v>2005.3731008001917</v>
      </c>
      <c r="AJ228" s="744"/>
      <c r="AK228" s="751"/>
      <c r="AL228" s="765">
        <f>[1]DEPA!$M$183</f>
        <v>2072.8139480285754</v>
      </c>
      <c r="AM228" s="744"/>
      <c r="AN228" s="751"/>
      <c r="AO228" s="765">
        <f>[1]DEPA!$N$183</f>
        <v>1550.0717513012958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42"/>
        <v>Service[...]</v>
      </c>
      <c r="B229" s="744" t="s">
        <v>59</v>
      </c>
      <c r="C229" s="744"/>
      <c r="D229" s="751"/>
      <c r="E229" s="752">
        <f t="shared" si="41"/>
        <v>0</v>
      </c>
      <c r="F229" s="744"/>
      <c r="G229" s="751"/>
      <c r="H229" s="752"/>
      <c r="I229" s="744"/>
      <c r="J229" s="751"/>
      <c r="K229" s="752"/>
      <c r="L229" s="744"/>
      <c r="M229" s="751"/>
      <c r="N229" s="752"/>
      <c r="O229" s="744"/>
      <c r="P229" s="751"/>
      <c r="Q229" s="752"/>
      <c r="R229" s="744"/>
      <c r="S229" s="751"/>
      <c r="T229" s="752"/>
      <c r="U229" s="744"/>
      <c r="V229" s="751"/>
      <c r="W229" s="752"/>
      <c r="X229" s="744"/>
      <c r="Y229" s="751"/>
      <c r="Z229" s="752"/>
      <c r="AA229" s="744"/>
      <c r="AB229" s="751"/>
      <c r="AC229" s="752"/>
      <c r="AD229" s="744"/>
      <c r="AE229" s="751"/>
      <c r="AF229" s="752"/>
      <c r="AG229" s="744"/>
      <c r="AH229" s="751"/>
      <c r="AI229" s="752"/>
      <c r="AJ229" s="744"/>
      <c r="AK229" s="751"/>
      <c r="AL229" s="752"/>
      <c r="AM229" s="744"/>
      <c r="AN229" s="751"/>
      <c r="AO229" s="752"/>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42"/>
        <v>Service[...]</v>
      </c>
      <c r="B230" s="744" t="s">
        <v>59</v>
      </c>
      <c r="C230" s="744"/>
      <c r="D230" s="751"/>
      <c r="E230" s="752">
        <f t="shared" si="41"/>
        <v>0</v>
      </c>
      <c r="F230" s="744"/>
      <c r="G230" s="751"/>
      <c r="H230" s="752"/>
      <c r="I230" s="744"/>
      <c r="J230" s="751"/>
      <c r="K230" s="752"/>
      <c r="L230" s="744"/>
      <c r="M230" s="751"/>
      <c r="N230" s="752"/>
      <c r="O230" s="744"/>
      <c r="P230" s="751"/>
      <c r="Q230" s="752"/>
      <c r="R230" s="744"/>
      <c r="S230" s="751"/>
      <c r="T230" s="752"/>
      <c r="U230" s="744"/>
      <c r="V230" s="751"/>
      <c r="W230" s="752"/>
      <c r="X230" s="744"/>
      <c r="Y230" s="751"/>
      <c r="Z230" s="752"/>
      <c r="AA230" s="744"/>
      <c r="AB230" s="751"/>
      <c r="AC230" s="752"/>
      <c r="AD230" s="744"/>
      <c r="AE230" s="751"/>
      <c r="AF230" s="752"/>
      <c r="AG230" s="744"/>
      <c r="AH230" s="751"/>
      <c r="AI230" s="752"/>
      <c r="AJ230" s="744"/>
      <c r="AK230" s="751"/>
      <c r="AL230" s="752"/>
      <c r="AM230" s="744"/>
      <c r="AN230" s="751"/>
      <c r="AO230" s="752"/>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42"/>
        <v>Service[...]</v>
      </c>
      <c r="B231" s="744" t="s">
        <v>59</v>
      </c>
      <c r="C231" s="744"/>
      <c r="D231" s="751"/>
      <c r="E231" s="752">
        <f t="shared" si="41"/>
        <v>0</v>
      </c>
      <c r="F231" s="744"/>
      <c r="G231" s="751"/>
      <c r="H231" s="752"/>
      <c r="I231" s="744"/>
      <c r="J231" s="751"/>
      <c r="K231" s="752"/>
      <c r="L231" s="744"/>
      <c r="M231" s="751"/>
      <c r="N231" s="752"/>
      <c r="O231" s="744"/>
      <c r="P231" s="751"/>
      <c r="Q231" s="752"/>
      <c r="R231" s="744"/>
      <c r="S231" s="751"/>
      <c r="T231" s="752"/>
      <c r="U231" s="744"/>
      <c r="V231" s="751"/>
      <c r="W231" s="752"/>
      <c r="X231" s="744"/>
      <c r="Y231" s="751"/>
      <c r="Z231" s="752"/>
      <c r="AA231" s="744"/>
      <c r="AB231" s="751"/>
      <c r="AC231" s="752"/>
      <c r="AD231" s="744"/>
      <c r="AE231" s="751"/>
      <c r="AF231" s="752"/>
      <c r="AG231" s="744"/>
      <c r="AH231" s="751"/>
      <c r="AI231" s="752"/>
      <c r="AJ231" s="744"/>
      <c r="AK231" s="751"/>
      <c r="AL231" s="752"/>
      <c r="AM231" s="744"/>
      <c r="AN231" s="751"/>
      <c r="AO231" s="752"/>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42"/>
        <v>ServiceTOTAL SEMI-FIXES</v>
      </c>
      <c r="B232" s="1154" t="s">
        <v>143</v>
      </c>
      <c r="C232" s="1155" t="s">
        <v>175</v>
      </c>
      <c r="D232" s="1156">
        <f>IFERROR(E232/E$197,0)</f>
        <v>0.23677813252019037</v>
      </c>
      <c r="E232" s="1157">
        <f>+SUM(E214:E231)</f>
        <v>721785.33137753967</v>
      </c>
      <c r="F232" s="1155" t="s">
        <v>175</v>
      </c>
      <c r="G232" s="1156">
        <f>IFERROR(H232/H$197,0)</f>
        <v>0.3463933961818309</v>
      </c>
      <c r="H232" s="1157">
        <f>+SUM(H214:H231)</f>
        <v>66248.932871656201</v>
      </c>
      <c r="I232" s="1155" t="s">
        <v>175</v>
      </c>
      <c r="J232" s="1156">
        <f>IFERROR(K232/K$197,0)</f>
        <v>0.27638885347460485</v>
      </c>
      <c r="K232" s="1157">
        <f>+SUM(K214:K231)</f>
        <v>51259.353225012921</v>
      </c>
      <c r="L232" s="1155" t="s">
        <v>175</v>
      </c>
      <c r="M232" s="1156">
        <f>IFERROR(N232/N$197,0)</f>
        <v>0.24412219819646536</v>
      </c>
      <c r="N232" s="1157">
        <f>+SUM(N214:N231)</f>
        <v>55686.153862794039</v>
      </c>
      <c r="O232" s="1155" t="s">
        <v>175</v>
      </c>
      <c r="P232" s="1156">
        <f>IFERROR(Q232/Q$197,0)</f>
        <v>0.2759737261277882</v>
      </c>
      <c r="Q232" s="1157">
        <f>+SUM(Q214:Q231)</f>
        <v>82415.076096471515</v>
      </c>
      <c r="R232" s="1155" t="s">
        <v>175</v>
      </c>
      <c r="S232" s="1156">
        <f>IFERROR(T232/T$197,0)</f>
        <v>0.21079442560503425</v>
      </c>
      <c r="T232" s="1157">
        <f>+SUM(T214:T231)</f>
        <v>65160.057133998387</v>
      </c>
      <c r="U232" s="1155" t="s">
        <v>175</v>
      </c>
      <c r="V232" s="1156">
        <f>IFERROR(W232/W$197,0)</f>
        <v>0.22606474153718892</v>
      </c>
      <c r="W232" s="1157">
        <f>+SUM(W214:W231)</f>
        <v>53707.651605486317</v>
      </c>
      <c r="X232" s="1155" t="s">
        <v>175</v>
      </c>
      <c r="Y232" s="1156">
        <f>IFERROR(Z232/Z$197,0)</f>
        <v>0.22760082369421317</v>
      </c>
      <c r="Z232" s="1157">
        <f>+SUM(Z214:Z231)</f>
        <v>57254.439993994456</v>
      </c>
      <c r="AA232" s="1155" t="s">
        <v>175</v>
      </c>
      <c r="AB232" s="1156">
        <f>IFERROR(AC232/AC$197,0)</f>
        <v>0.2022521872559972</v>
      </c>
      <c r="AC232" s="1157">
        <f>+SUM(AC214:AC231)</f>
        <v>50484.016371430211</v>
      </c>
      <c r="AD232" s="1155" t="s">
        <v>175</v>
      </c>
      <c r="AE232" s="1156">
        <f>IFERROR(AF232/AF$197,0)</f>
        <v>0.1957454012966518</v>
      </c>
      <c r="AF232" s="1157">
        <f>+SUM(AF214:AF231)</f>
        <v>51258.801139927666</v>
      </c>
      <c r="AG232" s="1155" t="s">
        <v>175</v>
      </c>
      <c r="AH232" s="1156">
        <f>IFERROR(AI232/AI$197,0)</f>
        <v>0.21559546112716291</v>
      </c>
      <c r="AI232" s="1157">
        <f>+SUM(AI214:AI231)</f>
        <v>60796.236526346118</v>
      </c>
      <c r="AJ232" s="1155" t="s">
        <v>175</v>
      </c>
      <c r="AK232" s="1156">
        <f>IFERROR(AL232/AL$197,0)</f>
        <v>0.19654202415064612</v>
      </c>
      <c r="AL232" s="1157">
        <f>+SUM(AL214:AL231)</f>
        <v>67833.677373574508</v>
      </c>
      <c r="AM232" s="1155" t="s">
        <v>175</v>
      </c>
      <c r="AN232" s="1156">
        <f>IFERROR(AO232/AO$197,0)</f>
        <v>0.28685271614701313</v>
      </c>
      <c r="AO232" s="1157">
        <f>+SUM(AO214:AO231)</f>
        <v>59680.935176847219</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42"/>
        <v>Service</v>
      </c>
      <c r="B233" s="770"/>
      <c r="C233" s="770"/>
      <c r="D233" s="771"/>
      <c r="E233" s="768"/>
      <c r="F233" s="770"/>
      <c r="G233" s="771"/>
      <c r="H233" s="768"/>
      <c r="I233" s="770"/>
      <c r="J233" s="771"/>
      <c r="K233" s="768"/>
      <c r="L233" s="770"/>
      <c r="M233" s="771"/>
      <c r="N233" s="768"/>
      <c r="O233" s="770"/>
      <c r="P233" s="771"/>
      <c r="Q233" s="768"/>
      <c r="R233" s="770"/>
      <c r="S233" s="771"/>
      <c r="T233" s="768"/>
      <c r="U233" s="770"/>
      <c r="V233" s="771"/>
      <c r="W233" s="768"/>
      <c r="X233" s="770"/>
      <c r="Y233" s="771"/>
      <c r="Z233" s="768"/>
      <c r="AA233" s="770"/>
      <c r="AB233" s="771"/>
      <c r="AC233" s="768"/>
      <c r="AD233" s="770"/>
      <c r="AE233" s="771"/>
      <c r="AF233" s="768"/>
      <c r="AG233" s="770"/>
      <c r="AH233" s="771"/>
      <c r="AI233" s="768"/>
      <c r="AJ233" s="770"/>
      <c r="AK233" s="771"/>
      <c r="AL233" s="768"/>
      <c r="AM233" s="770"/>
      <c r="AN233" s="771"/>
      <c r="AO233" s="768"/>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42"/>
        <v>ServiceTOTAL DES DÉPENSES</v>
      </c>
      <c r="B234" s="1164" t="s">
        <v>144</v>
      </c>
      <c r="C234" s="1155" t="s">
        <v>119</v>
      </c>
      <c r="D234" s="1177">
        <f>IFERROR(E234/E$197,0)</f>
        <v>0.81795347566811283</v>
      </c>
      <c r="E234" s="1165">
        <f>E213+E232</f>
        <v>2493417.8431201885</v>
      </c>
      <c r="F234" s="1155" t="s">
        <v>119</v>
      </c>
      <c r="G234" s="1177">
        <f>IFERROR(H234/H$197,0)</f>
        <v>0.97179326004175015</v>
      </c>
      <c r="H234" s="1165">
        <f>H213+H232</f>
        <v>185858.81589913153</v>
      </c>
      <c r="I234" s="1155" t="s">
        <v>119</v>
      </c>
      <c r="J234" s="1177">
        <f>IFERROR(K234/K$197,0)</f>
        <v>0.90044889416776674</v>
      </c>
      <c r="K234" s="1165">
        <f>K213+K232</f>
        <v>166998.15259177511</v>
      </c>
      <c r="L234" s="1155" t="s">
        <v>119</v>
      </c>
      <c r="M234" s="1177">
        <f>IFERROR(N234/N$197,0)</f>
        <v>0.88155569862336891</v>
      </c>
      <c r="N234" s="1165">
        <f>N213+N232</f>
        <v>201089.64541051962</v>
      </c>
      <c r="O234" s="1155" t="s">
        <v>119</v>
      </c>
      <c r="P234" s="1177">
        <f>IFERROR(Q234/Q$197,0)</f>
        <v>0.83168684299077078</v>
      </c>
      <c r="Q234" s="1165">
        <f>Q213+Q232</f>
        <v>248369.78293281372</v>
      </c>
      <c r="R234" s="1155" t="s">
        <v>119</v>
      </c>
      <c r="S234" s="1177">
        <f>IFERROR(T234/T$197,0)</f>
        <v>0.74363792699504272</v>
      </c>
      <c r="T234" s="1165">
        <f>T213+T232</f>
        <v>229870.83112338185</v>
      </c>
      <c r="U234" s="1155" t="s">
        <v>119</v>
      </c>
      <c r="V234" s="1177">
        <f>IFERROR(W234/W$197,0)</f>
        <v>0.77851000135482562</v>
      </c>
      <c r="W234" s="1165">
        <f>W213+W232</f>
        <v>184955.61775728461</v>
      </c>
      <c r="X234" s="1155" t="s">
        <v>119</v>
      </c>
      <c r="Y234" s="1177">
        <f>IFERROR(Z234/Z$197,0)</f>
        <v>0.83348309209262372</v>
      </c>
      <c r="Z234" s="1165">
        <f>Z213+Z232</f>
        <v>209667.99200313876</v>
      </c>
      <c r="AA234" s="1155" t="s">
        <v>119</v>
      </c>
      <c r="AB234" s="1177">
        <f>IFERROR(AC234/AC$197,0)</f>
        <v>0.73594897843102236</v>
      </c>
      <c r="AC234" s="1165">
        <f>AC213+AC232</f>
        <v>183699.67108747491</v>
      </c>
      <c r="AD234" s="1155" t="s">
        <v>119</v>
      </c>
      <c r="AE234" s="1177">
        <f>IFERROR(AF234/AF$197,0)</f>
        <v>0.70604449258021651</v>
      </c>
      <c r="AF234" s="1165">
        <f>AF213+AF232</f>
        <v>184888.09443989472</v>
      </c>
      <c r="AG234" s="1155" t="s">
        <v>119</v>
      </c>
      <c r="AH234" s="1177">
        <f>IFERROR(AI234/AI$197,0)</f>
        <v>0.86580858912395908</v>
      </c>
      <c r="AI234" s="1165">
        <f>AI213+AI232</f>
        <v>244151.26132861979</v>
      </c>
      <c r="AJ234" s="1155" t="s">
        <v>119</v>
      </c>
      <c r="AK234" s="1177">
        <f>IFERROR(AL234/AL$197,0)</f>
        <v>0.71714765540452385</v>
      </c>
      <c r="AL234" s="1165">
        <f>AL213+AL232</f>
        <v>247513.28829624213</v>
      </c>
      <c r="AM234" s="1155" t="s">
        <v>119</v>
      </c>
      <c r="AN234" s="1177">
        <f>IFERROR(AO234/AO$197,0)</f>
        <v>0.9918310296656746</v>
      </c>
      <c r="AO234" s="1165">
        <f>AO213+AO232</f>
        <v>206354.69024991174</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42"/>
        <v>Service</v>
      </c>
      <c r="B235" s="744"/>
      <c r="C235" s="744"/>
      <c r="D235" s="751"/>
      <c r="E235" s="752"/>
      <c r="F235" s="744"/>
      <c r="G235" s="751"/>
      <c r="H235" s="752"/>
      <c r="I235" s="744"/>
      <c r="J235" s="751"/>
      <c r="K235" s="752"/>
      <c r="L235" s="744"/>
      <c r="M235" s="751"/>
      <c r="N235" s="752"/>
      <c r="O235" s="744"/>
      <c r="P235" s="751"/>
      <c r="Q235" s="752"/>
      <c r="R235" s="744"/>
      <c r="S235" s="751"/>
      <c r="T235" s="752"/>
      <c r="U235" s="744"/>
      <c r="V235" s="751"/>
      <c r="W235" s="752"/>
      <c r="X235" s="744"/>
      <c r="Y235" s="751"/>
      <c r="Z235" s="752"/>
      <c r="AA235" s="744"/>
      <c r="AB235" s="751"/>
      <c r="AC235" s="752"/>
      <c r="AD235" s="744"/>
      <c r="AE235" s="751"/>
      <c r="AF235" s="752"/>
      <c r="AG235" s="744"/>
      <c r="AH235" s="751"/>
      <c r="AI235" s="752"/>
      <c r="AJ235" s="744"/>
      <c r="AK235" s="751"/>
      <c r="AL235" s="752"/>
      <c r="AM235" s="744"/>
      <c r="AN235" s="751"/>
      <c r="AO235" s="752"/>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42"/>
        <v>ServicePROFIT DÉPARTEMENTAL</v>
      </c>
      <c r="B236" s="1168" t="s">
        <v>151</v>
      </c>
      <c r="C236" s="1168"/>
      <c r="D236" s="1196">
        <f>E236/D197</f>
        <v>0.12912491479910071</v>
      </c>
      <c r="E236" s="1171">
        <f>E197-E234</f>
        <v>554943.60687981173</v>
      </c>
      <c r="F236" s="1168"/>
      <c r="G236" s="1179"/>
      <c r="H236" s="1171">
        <f>H197-H234</f>
        <v>5394.6363949774823</v>
      </c>
      <c r="I236" s="1168"/>
      <c r="J236" s="1179"/>
      <c r="K236" s="1171">
        <f>K197-K234</f>
        <v>18462.847664238216</v>
      </c>
      <c r="L236" s="1168"/>
      <c r="M236" s="1179"/>
      <c r="N236" s="1171">
        <f>N197-N234</f>
        <v>27018.057511190011</v>
      </c>
      <c r="O236" s="1168"/>
      <c r="P236" s="1179"/>
      <c r="Q236" s="1171">
        <f>Q197-Q234</f>
        <v>50263.993741671758</v>
      </c>
      <c r="R236" s="1168"/>
      <c r="S236" s="1179"/>
      <c r="T236" s="1171">
        <f>T197-T234</f>
        <v>79245.77358270681</v>
      </c>
      <c r="U236" s="1168"/>
      <c r="V236" s="1179"/>
      <c r="W236" s="1171">
        <f>W197-W234</f>
        <v>52620.800574413122</v>
      </c>
      <c r="X236" s="1168"/>
      <c r="Y236" s="1179"/>
      <c r="Z236" s="1171">
        <f>Z197-Z234</f>
        <v>41888.391074442217</v>
      </c>
      <c r="AA236" s="1168"/>
      <c r="AB236" s="1179"/>
      <c r="AC236" s="1171">
        <f>AC197-AC234</f>
        <v>65909.576932824333</v>
      </c>
      <c r="AD236" s="1168"/>
      <c r="AE236" s="1179"/>
      <c r="AF236" s="1171">
        <f>AF197-AF234</f>
        <v>76976.556276701391</v>
      </c>
      <c r="AG236" s="1168"/>
      <c r="AH236" s="1179"/>
      <c r="AI236" s="1171">
        <f>AI197-AI234</f>
        <v>37840.930012028024</v>
      </c>
      <c r="AJ236" s="1168"/>
      <c r="AK236" s="1179"/>
      <c r="AL236" s="1171">
        <f>AL197-AL234</f>
        <v>97622.453877559572</v>
      </c>
      <c r="AM236" s="1168"/>
      <c r="AN236" s="1179"/>
      <c r="AO236" s="1171">
        <f>AO197-AO234</f>
        <v>1699.5892370585061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751"/>
      <c r="C237" s="751"/>
      <c r="D237" s="751"/>
      <c r="E237" s="764"/>
      <c r="F237" s="751"/>
      <c r="G237" s="751"/>
      <c r="H237" s="764"/>
      <c r="I237" s="751"/>
      <c r="J237" s="751"/>
      <c r="K237" s="764"/>
      <c r="L237" s="751"/>
      <c r="M237" s="751"/>
      <c r="N237" s="764"/>
      <c r="O237" s="751"/>
      <c r="P237" s="751"/>
      <c r="Q237" s="764"/>
      <c r="R237" s="751"/>
      <c r="S237" s="751"/>
      <c r="T237" s="764"/>
      <c r="U237" s="751"/>
      <c r="V237" s="751"/>
      <c r="W237" s="764"/>
      <c r="X237" s="751"/>
      <c r="Y237" s="751"/>
      <c r="Z237" s="764"/>
      <c r="AA237" s="751"/>
      <c r="AB237" s="751"/>
      <c r="AC237" s="764"/>
      <c r="AD237" s="751"/>
      <c r="AE237" s="751"/>
      <c r="AF237" s="764"/>
      <c r="AG237" s="751"/>
      <c r="AH237" s="751"/>
      <c r="AI237" s="764"/>
      <c r="AJ237" s="751"/>
      <c r="AK237" s="751"/>
      <c r="AL237" s="764"/>
      <c r="AM237" s="751"/>
      <c r="AN237" s="751"/>
      <c r="AO237" s="764"/>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783"/>
      <c r="C238" s="783"/>
      <c r="D238" s="783"/>
      <c r="E238" s="796"/>
      <c r="F238" s="783"/>
      <c r="G238" s="783"/>
      <c r="H238" s="796"/>
      <c r="I238" s="783"/>
      <c r="J238" s="783"/>
      <c r="K238" s="796"/>
      <c r="L238" s="783"/>
      <c r="M238" s="783"/>
      <c r="N238" s="796"/>
      <c r="O238" s="783"/>
      <c r="P238" s="783"/>
      <c r="Q238" s="796"/>
      <c r="R238" s="783"/>
      <c r="S238" s="783"/>
      <c r="T238" s="796"/>
      <c r="U238" s="783"/>
      <c r="V238" s="783"/>
      <c r="W238" s="796"/>
      <c r="X238" s="783"/>
      <c r="Y238" s="783"/>
      <c r="Z238" s="796"/>
      <c r="AA238" s="783"/>
      <c r="AB238" s="783"/>
      <c r="AC238" s="796"/>
      <c r="AD238" s="783"/>
      <c r="AE238" s="783"/>
      <c r="AF238" s="796"/>
      <c r="AG238" s="783"/>
      <c r="AH238" s="783"/>
      <c r="AI238" s="796"/>
      <c r="AJ238" s="783"/>
      <c r="AK238" s="783"/>
      <c r="AL238" s="796"/>
      <c r="AM238" s="783"/>
      <c r="AN238" s="783"/>
      <c r="AO238" s="796"/>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1173" t="str">
        <f>B4</f>
        <v>Budget 2025</v>
      </c>
      <c r="C239" s="784" t="s">
        <v>176</v>
      </c>
      <c r="D239" s="784"/>
      <c r="E239" s="784"/>
      <c r="F239" s="784"/>
      <c r="G239" s="784"/>
      <c r="H239" s="784"/>
      <c r="I239" s="784"/>
      <c r="J239" s="784"/>
      <c r="K239" s="784"/>
      <c r="L239" s="784"/>
      <c r="M239" s="784"/>
      <c r="N239" s="784"/>
      <c r="O239" s="784"/>
      <c r="P239" s="784"/>
      <c r="Q239" s="784"/>
      <c r="R239" s="784"/>
      <c r="S239" s="784"/>
      <c r="T239" s="784"/>
      <c r="U239" s="784"/>
      <c r="V239" s="784"/>
      <c r="W239" s="784"/>
      <c r="X239" s="784"/>
      <c r="Y239" s="784"/>
      <c r="Z239" s="784"/>
      <c r="AA239" s="784"/>
      <c r="AB239" s="784"/>
      <c r="AC239" s="784"/>
      <c r="AD239" s="784"/>
      <c r="AE239" s="784"/>
      <c r="AF239" s="784"/>
      <c r="AG239" s="784"/>
      <c r="AH239" s="784"/>
      <c r="AI239" s="784"/>
      <c r="AJ239" s="784"/>
      <c r="AK239" s="784"/>
      <c r="AL239" s="784"/>
      <c r="AM239" s="784"/>
      <c r="AN239" s="784"/>
      <c r="AO239" s="784"/>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1174"/>
      <c r="C240" s="783"/>
      <c r="D240" s="783"/>
      <c r="E240" s="783"/>
      <c r="F240" s="783"/>
      <c r="G240" s="783"/>
      <c r="H240" s="783"/>
      <c r="I240" s="783"/>
      <c r="J240" s="783"/>
      <c r="K240" s="783"/>
      <c r="L240" s="783"/>
      <c r="M240" s="783"/>
      <c r="N240" s="783"/>
      <c r="O240" s="783"/>
      <c r="P240" s="783"/>
      <c r="Q240" s="783"/>
      <c r="R240" s="783"/>
      <c r="S240" s="783"/>
      <c r="T240" s="783"/>
      <c r="U240" s="783"/>
      <c r="V240" s="783"/>
      <c r="W240" s="783"/>
      <c r="X240" s="783"/>
      <c r="Y240" s="783"/>
      <c r="Z240" s="783"/>
      <c r="AA240" s="783"/>
      <c r="AB240" s="783"/>
      <c r="AC240" s="783"/>
      <c r="AD240" s="783"/>
      <c r="AE240" s="783"/>
      <c r="AF240" s="783"/>
      <c r="AG240" s="783"/>
      <c r="AH240" s="783"/>
      <c r="AI240" s="783"/>
      <c r="AJ240" s="783"/>
      <c r="AK240" s="783"/>
      <c r="AL240" s="783"/>
      <c r="AM240" s="783"/>
      <c r="AN240" s="783"/>
      <c r="AO240" s="783"/>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912" t="s">
        <v>3</v>
      </c>
      <c r="C241" s="1287">
        <v>2021</v>
      </c>
      <c r="D241" s="1288"/>
      <c r="E241" s="1289"/>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3">+$C$239&amp;B242</f>
        <v>Carrosserie</v>
      </c>
      <c r="B242" s="744"/>
      <c r="C242" s="785" t="s">
        <v>162</v>
      </c>
      <c r="D242" s="762" t="s">
        <v>163</v>
      </c>
      <c r="E242" s="786" t="s">
        <v>95</v>
      </c>
      <c r="F242" s="785" t="s">
        <v>162</v>
      </c>
      <c r="G242" s="762" t="s">
        <v>163</v>
      </c>
      <c r="H242" s="786" t="s">
        <v>95</v>
      </c>
      <c r="I242" s="785" t="s">
        <v>162</v>
      </c>
      <c r="J242" s="762" t="s">
        <v>163</v>
      </c>
      <c r="K242" s="786" t="s">
        <v>95</v>
      </c>
      <c r="L242" s="785" t="s">
        <v>162</v>
      </c>
      <c r="M242" s="762" t="s">
        <v>163</v>
      </c>
      <c r="N242" s="786" t="s">
        <v>95</v>
      </c>
      <c r="O242" s="785" t="s">
        <v>162</v>
      </c>
      <c r="P242" s="762" t="s">
        <v>163</v>
      </c>
      <c r="Q242" s="786" t="s">
        <v>95</v>
      </c>
      <c r="R242" s="785" t="s">
        <v>162</v>
      </c>
      <c r="S242" s="762" t="s">
        <v>163</v>
      </c>
      <c r="T242" s="786" t="s">
        <v>95</v>
      </c>
      <c r="U242" s="785" t="s">
        <v>162</v>
      </c>
      <c r="V242" s="762" t="s">
        <v>163</v>
      </c>
      <c r="W242" s="786" t="s">
        <v>95</v>
      </c>
      <c r="X242" s="785" t="s">
        <v>162</v>
      </c>
      <c r="Y242" s="762" t="s">
        <v>163</v>
      </c>
      <c r="Z242" s="786" t="s">
        <v>95</v>
      </c>
      <c r="AA242" s="785" t="s">
        <v>162</v>
      </c>
      <c r="AB242" s="762" t="s">
        <v>163</v>
      </c>
      <c r="AC242" s="786" t="s">
        <v>95</v>
      </c>
      <c r="AD242" s="785" t="s">
        <v>162</v>
      </c>
      <c r="AE242" s="762" t="s">
        <v>163</v>
      </c>
      <c r="AF242" s="786" t="s">
        <v>95</v>
      </c>
      <c r="AG242" s="785" t="s">
        <v>162</v>
      </c>
      <c r="AH242" s="762" t="s">
        <v>163</v>
      </c>
      <c r="AI242" s="786" t="s">
        <v>95</v>
      </c>
      <c r="AJ242" s="785" t="s">
        <v>162</v>
      </c>
      <c r="AK242" s="762" t="s">
        <v>163</v>
      </c>
      <c r="AL242" s="786" t="s">
        <v>95</v>
      </c>
      <c r="AM242" s="785" t="s">
        <v>162</v>
      </c>
      <c r="AN242" s="762" t="s">
        <v>163</v>
      </c>
      <c r="AO242" s="786"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3"/>
        <v>Carrosserie</v>
      </c>
      <c r="B243" s="744"/>
      <c r="C243" s="785"/>
      <c r="D243" s="762"/>
      <c r="E243" s="786"/>
      <c r="F243" s="785"/>
      <c r="G243" s="762"/>
      <c r="H243" s="786"/>
      <c r="I243" s="785"/>
      <c r="J243" s="762"/>
      <c r="K243" s="786"/>
      <c r="L243" s="785"/>
      <c r="M243" s="762"/>
      <c r="N243" s="786"/>
      <c r="O243" s="785"/>
      <c r="P243" s="762"/>
      <c r="Q243" s="786"/>
      <c r="R243" s="785"/>
      <c r="S243" s="762"/>
      <c r="T243" s="786"/>
      <c r="U243" s="785"/>
      <c r="V243" s="762"/>
      <c r="W243" s="786"/>
      <c r="X243" s="785"/>
      <c r="Y243" s="762"/>
      <c r="Z243" s="786"/>
      <c r="AA243" s="785"/>
      <c r="AB243" s="762"/>
      <c r="AC243" s="786"/>
      <c r="AD243" s="785"/>
      <c r="AE243" s="762"/>
      <c r="AF243" s="786"/>
      <c r="AG243" s="785"/>
      <c r="AH243" s="762"/>
      <c r="AI243" s="786"/>
      <c r="AJ243" s="785"/>
      <c r="AK243" s="762"/>
      <c r="AL243" s="786"/>
      <c r="AM243" s="785"/>
      <c r="AN243" s="762"/>
      <c r="AO243" s="786"/>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3"/>
        <v>CarrosserieM/O Sous-traitement</v>
      </c>
      <c r="B244" s="744" t="s">
        <v>177</v>
      </c>
      <c r="C244" s="797">
        <f>+SUM(F244,I244,L244,O244,R244,U244,X244,AA244,AD244,AG244,AJ244,AM244)</f>
        <v>0</v>
      </c>
      <c r="D244" s="764">
        <f>+SUM(G244,J244,M244,P244,S244,V244,Y244,AB244,AE244,AH244,AK244,AN244)</f>
        <v>1080000</v>
      </c>
      <c r="E244" s="752">
        <f>+SUM(H244,K244,N244,Q244,T244,W244,Z244,AC244,AF244,AI244,AL244,AO244)</f>
        <v>172800</v>
      </c>
      <c r="F244" s="798"/>
      <c r="G244" s="799">
        <f>'[1]Bud men fixes'!$E$34</f>
        <v>43200</v>
      </c>
      <c r="H244" s="765">
        <f>'[1]Bud men fixes'!$E$33</f>
        <v>6912</v>
      </c>
      <c r="I244" s="798"/>
      <c r="J244" s="799">
        <f>'[1]Bud men fixes'!$F$34</f>
        <v>75600</v>
      </c>
      <c r="K244" s="765">
        <f>'[1]Bud men fixes'!$F$33</f>
        <v>12096</v>
      </c>
      <c r="L244" s="798"/>
      <c r="M244" s="799">
        <f>'[1]Bud men fixes'!$G$34</f>
        <v>108000</v>
      </c>
      <c r="N244" s="765">
        <f>'[1]Bud men fixes'!$G$33</f>
        <v>17280</v>
      </c>
      <c r="O244" s="798"/>
      <c r="P244" s="799">
        <f>'[1]Bud men fixes'!$H$34</f>
        <v>108000</v>
      </c>
      <c r="Q244" s="765">
        <f>'[1]Bud men fixes'!$H$33</f>
        <v>17280</v>
      </c>
      <c r="R244" s="798"/>
      <c r="S244" s="799">
        <f>'[1]Bud men fixes'!$I$34</f>
        <v>108000</v>
      </c>
      <c r="T244" s="765">
        <f>'[1]Bud men fixes'!$I$33</f>
        <v>17280</v>
      </c>
      <c r="U244" s="798"/>
      <c r="V244" s="799">
        <f>'[1]Bud men fixes'!$J$34</f>
        <v>118800</v>
      </c>
      <c r="W244" s="765">
        <f>'[1]Bud men fixes'!$J$33</f>
        <v>19008</v>
      </c>
      <c r="X244" s="798"/>
      <c r="Y244" s="799">
        <f>'[1]Bud men fixes'!$K$34</f>
        <v>86400</v>
      </c>
      <c r="Z244" s="765">
        <f>'[1]Bud men fixes'!$K$33</f>
        <v>13824</v>
      </c>
      <c r="AA244" s="798"/>
      <c r="AB244" s="799">
        <f>'[1]Bud men fixes'!$L$34</f>
        <v>97200</v>
      </c>
      <c r="AC244" s="765">
        <f>'[1]Bud men fixes'!$L$33</f>
        <v>15552</v>
      </c>
      <c r="AD244" s="798"/>
      <c r="AE244" s="799">
        <f>'[1]Bud men fixes'!$M$34</f>
        <v>97200</v>
      </c>
      <c r="AF244" s="765">
        <f>'[1]Bud men fixes'!$M$33</f>
        <v>15552</v>
      </c>
      <c r="AG244" s="798"/>
      <c r="AH244" s="799">
        <f>'[1]Bud men fixes'!$N$34</f>
        <v>97200</v>
      </c>
      <c r="AI244" s="765">
        <f>'[1]Bud men fixes'!$N$33</f>
        <v>15552</v>
      </c>
      <c r="AJ244" s="798"/>
      <c r="AK244" s="799">
        <f>'[1]Bud men fixes'!$O$34</f>
        <v>86400</v>
      </c>
      <c r="AL244" s="765">
        <f>'[1]Bud men fixes'!$O$33</f>
        <v>13824</v>
      </c>
      <c r="AM244" s="798"/>
      <c r="AN244" s="799">
        <f>'[1]Bud men fixes'!$P$34</f>
        <v>54000</v>
      </c>
      <c r="AO244" s="765">
        <f>'[1]Bud men fixes'!$P$33</f>
        <v>8640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3"/>
        <v>Carrosserie% profit / ventes</v>
      </c>
      <c r="B245" s="744" t="s">
        <v>165</v>
      </c>
      <c r="C245" s="797"/>
      <c r="D245" s="751"/>
      <c r="E245" s="800">
        <f>IFERROR(E244/D244,0)</f>
        <v>0.16</v>
      </c>
      <c r="F245" s="797"/>
      <c r="G245" s="751"/>
      <c r="H245" s="800">
        <f>IFERROR(H244/G244,0)</f>
        <v>0.16</v>
      </c>
      <c r="I245" s="797"/>
      <c r="J245" s="751"/>
      <c r="K245" s="800">
        <f>IFERROR(K244/J244,0)</f>
        <v>0.16</v>
      </c>
      <c r="L245" s="797"/>
      <c r="M245" s="751"/>
      <c r="N245" s="800">
        <f>IFERROR(N244/M244,0)</f>
        <v>0.16</v>
      </c>
      <c r="O245" s="797"/>
      <c r="P245" s="751"/>
      <c r="Q245" s="800">
        <f>IFERROR(Q244/P244,0)</f>
        <v>0.16</v>
      </c>
      <c r="R245" s="797"/>
      <c r="S245" s="751"/>
      <c r="T245" s="800">
        <f>IFERROR(T244/S244,0)</f>
        <v>0.16</v>
      </c>
      <c r="U245" s="797"/>
      <c r="V245" s="751"/>
      <c r="W245" s="800">
        <f>IFERROR(W244/V244,0)</f>
        <v>0.16</v>
      </c>
      <c r="X245" s="797"/>
      <c r="Y245" s="751"/>
      <c r="Z245" s="800">
        <f>IFERROR(Z244/Y244,0)</f>
        <v>0.16</v>
      </c>
      <c r="AA245" s="797"/>
      <c r="AB245" s="751"/>
      <c r="AC245" s="800">
        <f>IFERROR(AC244/AB244,0)</f>
        <v>0.16</v>
      </c>
      <c r="AD245" s="797"/>
      <c r="AE245" s="751"/>
      <c r="AF245" s="800">
        <f>IFERROR(AF244/AE244,0)</f>
        <v>0.16</v>
      </c>
      <c r="AG245" s="797"/>
      <c r="AH245" s="751"/>
      <c r="AI245" s="800">
        <f>IFERROR(AI244/AH244,0)</f>
        <v>0.16</v>
      </c>
      <c r="AJ245" s="797"/>
      <c r="AK245" s="751"/>
      <c r="AL245" s="800">
        <f>IFERROR(AL244/AK244,0)</f>
        <v>0.16</v>
      </c>
      <c r="AM245" s="797"/>
      <c r="AN245" s="751"/>
      <c r="AO245" s="800">
        <f>IFERROR(AO244/AN244,0)</f>
        <v>0.16</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3"/>
        <v>Carrosserie</v>
      </c>
      <c r="B246" s="744"/>
      <c r="C246" s="785"/>
      <c r="D246" s="762"/>
      <c r="E246" s="786"/>
      <c r="F246" s="785"/>
      <c r="G246" s="762"/>
      <c r="H246" s="786"/>
      <c r="I246" s="785"/>
      <c r="J246" s="762"/>
      <c r="K246" s="786"/>
      <c r="L246" s="785"/>
      <c r="M246" s="762"/>
      <c r="N246" s="786"/>
      <c r="O246" s="785"/>
      <c r="P246" s="762"/>
      <c r="Q246" s="786"/>
      <c r="R246" s="785"/>
      <c r="S246" s="762"/>
      <c r="T246" s="786"/>
      <c r="U246" s="785"/>
      <c r="V246" s="762"/>
      <c r="W246" s="786"/>
      <c r="X246" s="785"/>
      <c r="Y246" s="762"/>
      <c r="Z246" s="786"/>
      <c r="AA246" s="785"/>
      <c r="AB246" s="762"/>
      <c r="AC246" s="786"/>
      <c r="AD246" s="785"/>
      <c r="AE246" s="762"/>
      <c r="AF246" s="786"/>
      <c r="AG246" s="785"/>
      <c r="AH246" s="762"/>
      <c r="AI246" s="786"/>
      <c r="AJ246" s="785"/>
      <c r="AK246" s="762"/>
      <c r="AL246" s="786"/>
      <c r="AM246" s="785"/>
      <c r="AN246" s="762"/>
      <c r="AO246" s="786"/>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3"/>
        <v>CarrosserieM/O Carrosserie</v>
      </c>
      <c r="B247" s="1142" t="s">
        <v>178</v>
      </c>
      <c r="C247" s="1180">
        <f>+SUM(F247,I247,L247,O247,R247,U247,X247,AA247,AD247,AG247,AJ247,AM247)</f>
        <v>0</v>
      </c>
      <c r="D247" s="1181">
        <f>+SUM(G247,J247,M247,P247,S247,V247,Y247,AB247,AE247,AH247,AK247,AN247)</f>
        <v>0</v>
      </c>
      <c r="E247" s="1161">
        <f>+SUM(H247,K247,N247,Q247,T247,W247,Z247,AC247,AF247,AI247,AL247,AO247)</f>
        <v>0</v>
      </c>
      <c r="F247" s="1182"/>
      <c r="G247" s="1183"/>
      <c r="H247" s="1162"/>
      <c r="I247" s="1182"/>
      <c r="J247" s="1183"/>
      <c r="K247" s="1162"/>
      <c r="L247" s="1182"/>
      <c r="M247" s="1183"/>
      <c r="N247" s="1162"/>
      <c r="O247" s="1182"/>
      <c r="P247" s="1183"/>
      <c r="Q247" s="1162"/>
      <c r="R247" s="1182"/>
      <c r="S247" s="1183"/>
      <c r="T247" s="1162"/>
      <c r="U247" s="1182"/>
      <c r="V247" s="1183"/>
      <c r="W247" s="1162"/>
      <c r="X247" s="1182"/>
      <c r="Y247" s="1183"/>
      <c r="Z247" s="1162"/>
      <c r="AA247" s="1182"/>
      <c r="AB247" s="1183"/>
      <c r="AC247" s="1162"/>
      <c r="AD247" s="1182"/>
      <c r="AE247" s="1183"/>
      <c r="AF247" s="1162"/>
      <c r="AG247" s="1182"/>
      <c r="AH247" s="1183"/>
      <c r="AI247" s="1162"/>
      <c r="AJ247" s="1182"/>
      <c r="AK247" s="1183"/>
      <c r="AL247" s="1162"/>
      <c r="AM247" s="1182"/>
      <c r="AN247" s="1183"/>
      <c r="AO247" s="1162"/>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3"/>
        <v>Carrosserie% profit / ventes</v>
      </c>
      <c r="B248" s="744" t="s">
        <v>165</v>
      </c>
      <c r="C248" s="797"/>
      <c r="D248" s="751"/>
      <c r="E248" s="800">
        <f>IFERROR(E247/D247,0)</f>
        <v>0</v>
      </c>
      <c r="F248" s="797"/>
      <c r="G248" s="751"/>
      <c r="H248" s="800">
        <f>IFERROR(H247/G247,0)</f>
        <v>0</v>
      </c>
      <c r="I248" s="797"/>
      <c r="J248" s="751"/>
      <c r="K248" s="800">
        <f>IFERROR(K247/J247,0)</f>
        <v>0</v>
      </c>
      <c r="L248" s="797"/>
      <c r="M248" s="751"/>
      <c r="N248" s="800">
        <f>IFERROR(N247/M247,0)</f>
        <v>0</v>
      </c>
      <c r="O248" s="797"/>
      <c r="P248" s="751"/>
      <c r="Q248" s="800">
        <f>IFERROR(Q247/P247,0)</f>
        <v>0</v>
      </c>
      <c r="R248" s="797"/>
      <c r="S248" s="751"/>
      <c r="T248" s="800">
        <f>IFERROR(T247/S247,0)</f>
        <v>0</v>
      </c>
      <c r="U248" s="797"/>
      <c r="V248" s="751"/>
      <c r="W248" s="800">
        <f>IFERROR(W247/V247,0)</f>
        <v>0</v>
      </c>
      <c r="X248" s="797"/>
      <c r="Y248" s="751"/>
      <c r="Z248" s="800">
        <f>IFERROR(Z247/Y247,0)</f>
        <v>0</v>
      </c>
      <c r="AA248" s="797"/>
      <c r="AB248" s="751"/>
      <c r="AC248" s="800">
        <f>IFERROR(AC247/AB247,0)</f>
        <v>0</v>
      </c>
      <c r="AD248" s="797"/>
      <c r="AE248" s="751"/>
      <c r="AF248" s="800">
        <f>IFERROR(AF247/AE247,0)</f>
        <v>0</v>
      </c>
      <c r="AG248" s="797"/>
      <c r="AH248" s="751"/>
      <c r="AI248" s="800">
        <f>IFERROR(AI247/AH247,0)</f>
        <v>0</v>
      </c>
      <c r="AJ248" s="797"/>
      <c r="AK248" s="751"/>
      <c r="AL248" s="800">
        <f>IFERROR(AL247/AK247,0)</f>
        <v>0</v>
      </c>
      <c r="AM248" s="797"/>
      <c r="AN248" s="751"/>
      <c r="AO248" s="800">
        <f>IFERROR(AO247/AN247,0)</f>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3"/>
        <v>Carrosserie</v>
      </c>
      <c r="B249" s="770"/>
      <c r="C249" s="801"/>
      <c r="D249" s="802"/>
      <c r="E249" s="803"/>
      <c r="F249" s="801"/>
      <c r="G249" s="802"/>
      <c r="H249" s="803"/>
      <c r="I249" s="801"/>
      <c r="J249" s="802"/>
      <c r="K249" s="803"/>
      <c r="L249" s="801"/>
      <c r="M249" s="802"/>
      <c r="N249" s="803"/>
      <c r="O249" s="801"/>
      <c r="P249" s="802"/>
      <c r="Q249" s="803"/>
      <c r="R249" s="801"/>
      <c r="S249" s="802"/>
      <c r="T249" s="803"/>
      <c r="U249" s="801"/>
      <c r="V249" s="802"/>
      <c r="W249" s="803"/>
      <c r="X249" s="801"/>
      <c r="Y249" s="802"/>
      <c r="Z249" s="803"/>
      <c r="AA249" s="801"/>
      <c r="AB249" s="802"/>
      <c r="AC249" s="803"/>
      <c r="AD249" s="801"/>
      <c r="AE249" s="802"/>
      <c r="AF249" s="803"/>
      <c r="AG249" s="801"/>
      <c r="AH249" s="802"/>
      <c r="AI249" s="803"/>
      <c r="AJ249" s="801"/>
      <c r="AK249" s="802"/>
      <c r="AL249" s="803"/>
      <c r="AM249" s="801"/>
      <c r="AN249" s="802"/>
      <c r="AO249" s="803"/>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3"/>
        <v>CarrosserieM/O Esthétique Carr.</v>
      </c>
      <c r="B250" s="1142" t="s">
        <v>179</v>
      </c>
      <c r="C250" s="1180">
        <f>+SUM(F250,I250,L250,O250,R250,U250,X250,AA250,AD250,AG250,AJ250,AM250)</f>
        <v>0</v>
      </c>
      <c r="D250" s="1181">
        <f>+SUM(G250,J250,M250,P250,S250,V250,Y250,AB250,AE250,AH250,AK250,AN250)</f>
        <v>0</v>
      </c>
      <c r="E250" s="1161">
        <f>+SUM(H250,K250,N250,Q250,T250,W250,Z250,AC250,AF250,AI250,AL250,AO250)</f>
        <v>0</v>
      </c>
      <c r="F250" s="1182"/>
      <c r="G250" s="1183"/>
      <c r="H250" s="1162"/>
      <c r="I250" s="1182"/>
      <c r="J250" s="1183"/>
      <c r="K250" s="1162"/>
      <c r="L250" s="1182"/>
      <c r="M250" s="1183"/>
      <c r="N250" s="1162"/>
      <c r="O250" s="1182"/>
      <c r="P250" s="1183"/>
      <c r="Q250" s="1162"/>
      <c r="R250" s="1182"/>
      <c r="S250" s="1183"/>
      <c r="T250" s="1162"/>
      <c r="U250" s="1182"/>
      <c r="V250" s="1183"/>
      <c r="W250" s="1162"/>
      <c r="X250" s="1182"/>
      <c r="Y250" s="1183"/>
      <c r="Z250" s="1162"/>
      <c r="AA250" s="1182"/>
      <c r="AB250" s="1183"/>
      <c r="AC250" s="1162"/>
      <c r="AD250" s="1182"/>
      <c r="AE250" s="1183"/>
      <c r="AF250" s="1162"/>
      <c r="AG250" s="1182"/>
      <c r="AH250" s="1183"/>
      <c r="AI250" s="1162"/>
      <c r="AJ250" s="1182"/>
      <c r="AK250" s="1183"/>
      <c r="AL250" s="1162"/>
      <c r="AM250" s="1182"/>
      <c r="AN250" s="1183"/>
      <c r="AO250" s="1162"/>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3"/>
        <v>Carrosserie% profit / ventes</v>
      </c>
      <c r="B251" s="744" t="s">
        <v>165</v>
      </c>
      <c r="C251" s="744"/>
      <c r="D251" s="751"/>
      <c r="E251" s="800">
        <f>IFERROR(E250/D250,0)</f>
        <v>0</v>
      </c>
      <c r="F251" s="744"/>
      <c r="G251" s="751"/>
      <c r="H251" s="800">
        <f>IFERROR(H250/G250,0)</f>
        <v>0</v>
      </c>
      <c r="I251" s="744"/>
      <c r="J251" s="751"/>
      <c r="K251" s="800">
        <f>IFERROR(K250/J250,0)</f>
        <v>0</v>
      </c>
      <c r="L251" s="744"/>
      <c r="M251" s="751"/>
      <c r="N251" s="800">
        <f>IFERROR(N250/M250,0)</f>
        <v>0</v>
      </c>
      <c r="O251" s="744"/>
      <c r="P251" s="751"/>
      <c r="Q251" s="800">
        <f>IFERROR(Q250/P250,0)</f>
        <v>0</v>
      </c>
      <c r="R251" s="744"/>
      <c r="S251" s="751"/>
      <c r="T251" s="800">
        <f>IFERROR(T250/S250,0)</f>
        <v>0</v>
      </c>
      <c r="U251" s="744"/>
      <c r="V251" s="751"/>
      <c r="W251" s="800">
        <f>IFERROR(W250/V250,0)</f>
        <v>0</v>
      </c>
      <c r="X251" s="744"/>
      <c r="Y251" s="751"/>
      <c r="Z251" s="800">
        <f>IFERROR(Z250/Y250,0)</f>
        <v>0</v>
      </c>
      <c r="AA251" s="744"/>
      <c r="AB251" s="751"/>
      <c r="AC251" s="800">
        <f>IFERROR(AC250/AB250,0)</f>
        <v>0</v>
      </c>
      <c r="AD251" s="744"/>
      <c r="AE251" s="751"/>
      <c r="AF251" s="800">
        <f>IFERROR(AF250/AE250,0)</f>
        <v>0</v>
      </c>
      <c r="AG251" s="744"/>
      <c r="AH251" s="751"/>
      <c r="AI251" s="800">
        <f>IFERROR(AI250/AH250,0)</f>
        <v>0</v>
      </c>
      <c r="AJ251" s="744"/>
      <c r="AK251" s="751"/>
      <c r="AL251" s="800">
        <f>IFERROR(AL250/AK250,0)</f>
        <v>0</v>
      </c>
      <c r="AM251" s="744"/>
      <c r="AN251" s="751"/>
      <c r="AO251" s="800">
        <f>IFERROR(AO250/AN250,0)</f>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3"/>
        <v>Carrosserie</v>
      </c>
      <c r="B252" s="744"/>
      <c r="C252" s="744"/>
      <c r="D252" s="751"/>
      <c r="E252" s="800"/>
      <c r="F252" s="744"/>
      <c r="G252" s="751"/>
      <c r="H252" s="800"/>
      <c r="I252" s="744"/>
      <c r="J252" s="751"/>
      <c r="K252" s="800"/>
      <c r="L252" s="744"/>
      <c r="M252" s="751"/>
      <c r="N252" s="800"/>
      <c r="O252" s="744"/>
      <c r="P252" s="751"/>
      <c r="Q252" s="800"/>
      <c r="R252" s="744"/>
      <c r="S252" s="751"/>
      <c r="T252" s="800"/>
      <c r="U252" s="744"/>
      <c r="V252" s="751"/>
      <c r="W252" s="800"/>
      <c r="X252" s="744"/>
      <c r="Y252" s="751"/>
      <c r="Z252" s="800"/>
      <c r="AA252" s="744"/>
      <c r="AB252" s="751"/>
      <c r="AC252" s="800"/>
      <c r="AD252" s="744"/>
      <c r="AE252" s="751"/>
      <c r="AF252" s="800"/>
      <c r="AG252" s="744"/>
      <c r="AH252" s="751"/>
      <c r="AI252" s="800"/>
      <c r="AJ252" s="744"/>
      <c r="AK252" s="751"/>
      <c r="AL252" s="800"/>
      <c r="AM252" s="744"/>
      <c r="AN252" s="751"/>
      <c r="AO252" s="800"/>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3"/>
        <v>CarrosserieTotal Mécanique</v>
      </c>
      <c r="B253" s="1152" t="s">
        <v>174</v>
      </c>
      <c r="C253" s="753"/>
      <c r="D253" s="818">
        <f>D247+D250+D244</f>
        <v>1080000</v>
      </c>
      <c r="E253" s="755">
        <f>E247+E250+E244</f>
        <v>172800</v>
      </c>
      <c r="F253" s="753"/>
      <c r="G253" s="818">
        <f>G247+G250+G244</f>
        <v>43200</v>
      </c>
      <c r="H253" s="755">
        <f>H247+H250+H244</f>
        <v>6912</v>
      </c>
      <c r="I253" s="753"/>
      <c r="J253" s="818">
        <f>J247+J250+J244</f>
        <v>75600</v>
      </c>
      <c r="K253" s="755">
        <f>K247+K250+K244</f>
        <v>12096</v>
      </c>
      <c r="L253" s="753"/>
      <c r="M253" s="818">
        <f>M247+M250+M244</f>
        <v>108000</v>
      </c>
      <c r="N253" s="755">
        <f>N247+N250+N244</f>
        <v>17280</v>
      </c>
      <c r="O253" s="753"/>
      <c r="P253" s="818">
        <f>P247+P250+P244</f>
        <v>108000</v>
      </c>
      <c r="Q253" s="755">
        <f>Q247+Q250+Q244</f>
        <v>17280</v>
      </c>
      <c r="R253" s="753"/>
      <c r="S253" s="818">
        <f>S247+S250+S244</f>
        <v>108000</v>
      </c>
      <c r="T253" s="755">
        <f>T247+T250+T244</f>
        <v>17280</v>
      </c>
      <c r="U253" s="753"/>
      <c r="V253" s="818">
        <f>V247+V250+V244</f>
        <v>118800</v>
      </c>
      <c r="W253" s="755">
        <f>W247+W250+W244</f>
        <v>19008</v>
      </c>
      <c r="X253" s="753"/>
      <c r="Y253" s="818">
        <f>Y247+Y250+Y244</f>
        <v>86400</v>
      </c>
      <c r="Z253" s="755">
        <f>Z247+Z250+Z244</f>
        <v>13824</v>
      </c>
      <c r="AA253" s="753"/>
      <c r="AB253" s="818">
        <f>AB247+AB250+AB244</f>
        <v>97200</v>
      </c>
      <c r="AC253" s="755">
        <f>AC247+AC250+AC244</f>
        <v>15552</v>
      </c>
      <c r="AD253" s="753"/>
      <c r="AE253" s="818">
        <f>AE247+AE250+AE244</f>
        <v>97200</v>
      </c>
      <c r="AF253" s="755">
        <f>AF247+AF250+AF244</f>
        <v>15552</v>
      </c>
      <c r="AG253" s="753"/>
      <c r="AH253" s="818">
        <f>AH247+AH250+AH244</f>
        <v>97200</v>
      </c>
      <c r="AI253" s="755">
        <f>AI247+AI250+AI244</f>
        <v>15552</v>
      </c>
      <c r="AJ253" s="753"/>
      <c r="AK253" s="818">
        <f>AK247+AK250+AK244</f>
        <v>86400</v>
      </c>
      <c r="AL253" s="755">
        <f>AL247+AL250+AL244</f>
        <v>13824</v>
      </c>
      <c r="AM253" s="753"/>
      <c r="AN253" s="818">
        <f>AN247+AN250+AN244</f>
        <v>54000</v>
      </c>
      <c r="AO253" s="755">
        <f>AO247+AO250+AO244</f>
        <v>8640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3"/>
        <v>Carrosserie</v>
      </c>
      <c r="B254" s="756"/>
      <c r="C254" s="756"/>
      <c r="D254" s="757"/>
      <c r="E254" s="819">
        <f>IFERROR(E253/D253,0)</f>
        <v>0.16</v>
      </c>
      <c r="F254" s="756"/>
      <c r="G254" s="757"/>
      <c r="H254" s="819">
        <f>IFERROR(H253/G253,0)</f>
        <v>0.16</v>
      </c>
      <c r="I254" s="756"/>
      <c r="J254" s="757"/>
      <c r="K254" s="819">
        <f>IFERROR(K253/J253,0)</f>
        <v>0.16</v>
      </c>
      <c r="L254" s="756"/>
      <c r="M254" s="757"/>
      <c r="N254" s="819">
        <f>IFERROR(N253/M253,0)</f>
        <v>0.16</v>
      </c>
      <c r="O254" s="756"/>
      <c r="P254" s="757"/>
      <c r="Q254" s="819">
        <f>IFERROR(Q253/P253,0)</f>
        <v>0.16</v>
      </c>
      <c r="R254" s="756"/>
      <c r="S254" s="757"/>
      <c r="T254" s="819">
        <f>IFERROR(T253/S253,0)</f>
        <v>0.16</v>
      </c>
      <c r="U254" s="756"/>
      <c r="V254" s="757"/>
      <c r="W254" s="819">
        <f>IFERROR(W253/V253,0)</f>
        <v>0.16</v>
      </c>
      <c r="X254" s="756"/>
      <c r="Y254" s="757"/>
      <c r="Z254" s="819">
        <f>IFERROR(Z253/Y253,0)</f>
        <v>0.16</v>
      </c>
      <c r="AA254" s="756"/>
      <c r="AB254" s="757"/>
      <c r="AC254" s="819">
        <f>IFERROR(AC253/AB253,0)</f>
        <v>0.16</v>
      </c>
      <c r="AD254" s="756"/>
      <c r="AE254" s="757"/>
      <c r="AF254" s="819">
        <f>IFERROR(AF253/AE253,0)</f>
        <v>0.16</v>
      </c>
      <c r="AG254" s="756"/>
      <c r="AH254" s="757"/>
      <c r="AI254" s="819">
        <f>IFERROR(AI253/AH253,0)</f>
        <v>0.16</v>
      </c>
      <c r="AJ254" s="756"/>
      <c r="AK254" s="757"/>
      <c r="AL254" s="819">
        <f>IFERROR(AL253/AK253,0)</f>
        <v>0.16</v>
      </c>
      <c r="AM254" s="756"/>
      <c r="AN254" s="757"/>
      <c r="AO254" s="819">
        <f>IFERROR(AO253/AN253,0)</f>
        <v>0.16</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3"/>
        <v>Carrosserie</v>
      </c>
      <c r="B255" s="744"/>
      <c r="C255" s="744"/>
      <c r="D255" s="751"/>
      <c r="E255" s="745"/>
      <c r="F255" s="744"/>
      <c r="G255" s="751"/>
      <c r="H255" s="745"/>
      <c r="I255" s="744"/>
      <c r="J255" s="751"/>
      <c r="K255" s="745"/>
      <c r="L255" s="744"/>
      <c r="M255" s="751"/>
      <c r="N255" s="745"/>
      <c r="O255" s="744"/>
      <c r="P255" s="751"/>
      <c r="Q255" s="745"/>
      <c r="R255" s="744"/>
      <c r="S255" s="751"/>
      <c r="T255" s="745"/>
      <c r="U255" s="744"/>
      <c r="V255" s="751"/>
      <c r="W255" s="745"/>
      <c r="X255" s="744"/>
      <c r="Y255" s="751"/>
      <c r="Z255" s="745"/>
      <c r="AA255" s="744"/>
      <c r="AB255" s="751"/>
      <c r="AC255" s="745"/>
      <c r="AD255" s="744"/>
      <c r="AE255" s="751"/>
      <c r="AF255" s="745"/>
      <c r="AG255" s="744"/>
      <c r="AH255" s="751"/>
      <c r="AI255" s="745"/>
      <c r="AJ255" s="744"/>
      <c r="AK255" s="751"/>
      <c r="AL255" s="745"/>
      <c r="AM255" s="744"/>
      <c r="AN255" s="751"/>
      <c r="AO255" s="745"/>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3"/>
        <v>CarrosserieDEPENSES</v>
      </c>
      <c r="B256" s="1153" t="s">
        <v>110</v>
      </c>
      <c r="C256" s="744"/>
      <c r="D256" s="751"/>
      <c r="E256" s="745"/>
      <c r="F256" s="744"/>
      <c r="G256" s="751"/>
      <c r="H256" s="745"/>
      <c r="I256" s="744"/>
      <c r="J256" s="751"/>
      <c r="K256" s="745"/>
      <c r="L256" s="744"/>
      <c r="M256" s="751"/>
      <c r="N256" s="745"/>
      <c r="O256" s="744"/>
      <c r="P256" s="751"/>
      <c r="Q256" s="745"/>
      <c r="R256" s="744"/>
      <c r="S256" s="751"/>
      <c r="T256" s="745"/>
      <c r="U256" s="744"/>
      <c r="V256" s="751"/>
      <c r="W256" s="745"/>
      <c r="X256" s="744"/>
      <c r="Y256" s="751"/>
      <c r="Z256" s="745"/>
      <c r="AA256" s="744"/>
      <c r="AB256" s="751"/>
      <c r="AC256" s="745"/>
      <c r="AD256" s="744"/>
      <c r="AE256" s="751"/>
      <c r="AF256" s="745"/>
      <c r="AG256" s="744"/>
      <c r="AH256" s="751"/>
      <c r="AI256" s="745"/>
      <c r="AJ256" s="744"/>
      <c r="AK256" s="751"/>
      <c r="AL256" s="745"/>
      <c r="AM256" s="744"/>
      <c r="AN256" s="751"/>
      <c r="AO256" s="745"/>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3"/>
        <v>CarrosserieSalaires cadres</v>
      </c>
      <c r="B257" s="1158" t="s">
        <v>120</v>
      </c>
      <c r="C257" s="744"/>
      <c r="D257" s="751"/>
      <c r="E257" s="752">
        <f t="shared" ref="E257:E268" si="44">+SUM(H257,K257,N257,Q257,T257,W257,Z257,AC257,AF257,AI257,AL257,AO257)</f>
        <v>322.10208333333338</v>
      </c>
      <c r="F257" s="744"/>
      <c r="G257" s="751"/>
      <c r="H257" s="765">
        <f>[1]Salaire!$E$50</f>
        <v>322.10208333333338</v>
      </c>
      <c r="I257" s="744"/>
      <c r="J257" s="751"/>
      <c r="K257" s="765">
        <f>[1]Salaire!$F$50</f>
        <v>0</v>
      </c>
      <c r="L257" s="744"/>
      <c r="M257" s="751"/>
      <c r="N257" s="765">
        <f>[1]Salaire!$G$50</f>
        <v>0</v>
      </c>
      <c r="O257" s="744"/>
      <c r="P257" s="751"/>
      <c r="Q257" s="765">
        <f>[1]Salaire!$H$50</f>
        <v>0</v>
      </c>
      <c r="R257" s="744"/>
      <c r="S257" s="751"/>
      <c r="T257" s="765">
        <f>[1]Salaire!$I$50</f>
        <v>0</v>
      </c>
      <c r="U257" s="744"/>
      <c r="V257" s="751"/>
      <c r="W257" s="765">
        <f>[1]Salaire!$J$50</f>
        <v>0</v>
      </c>
      <c r="X257" s="744"/>
      <c r="Y257" s="751"/>
      <c r="Z257" s="765">
        <f>[1]Salaire!$K$50</f>
        <v>0</v>
      </c>
      <c r="AA257" s="744"/>
      <c r="AB257" s="751"/>
      <c r="AC257" s="765">
        <f>[1]Salaire!$L$50</f>
        <v>0</v>
      </c>
      <c r="AD257" s="744"/>
      <c r="AE257" s="751"/>
      <c r="AF257" s="765">
        <f>[1]Salaire!$M$50</f>
        <v>0</v>
      </c>
      <c r="AG257" s="744"/>
      <c r="AH257" s="751"/>
      <c r="AI257" s="765">
        <f>[1]Salaire!$N$50</f>
        <v>0</v>
      </c>
      <c r="AJ257" s="744"/>
      <c r="AK257" s="751"/>
      <c r="AL257" s="765">
        <f>[1]Salaire!$O$50</f>
        <v>0</v>
      </c>
      <c r="AM257" s="744"/>
      <c r="AN257" s="751"/>
      <c r="AO257" s="765">
        <f>[1]Salaire!$P$50</f>
        <v>0</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3"/>
        <v>CarrosserieSalaires commis</v>
      </c>
      <c r="B258" s="1159" t="s">
        <v>121</v>
      </c>
      <c r="C258" s="744"/>
      <c r="D258" s="751"/>
      <c r="E258" s="752">
        <f t="shared" si="44"/>
        <v>74260.777408373324</v>
      </c>
      <c r="F258" s="744"/>
      <c r="G258" s="751"/>
      <c r="H258" s="765">
        <f>[1]Salaire!$E$126</f>
        <v>5615.7540314133321</v>
      </c>
      <c r="I258" s="744"/>
      <c r="J258" s="751"/>
      <c r="K258" s="765">
        <f>[1]Salaire!$F$126</f>
        <v>5804.7936147466653</v>
      </c>
      <c r="L258" s="744"/>
      <c r="M258" s="751"/>
      <c r="N258" s="765">
        <f>[1]Salaire!$G$126</f>
        <v>5804.7936147466653</v>
      </c>
      <c r="O258" s="744"/>
      <c r="P258" s="751"/>
      <c r="Q258" s="765">
        <f>[1]Salaire!$H$126</f>
        <v>5804.7936147466653</v>
      </c>
      <c r="R258" s="744"/>
      <c r="S258" s="751"/>
      <c r="T258" s="765">
        <f>[1]Salaire!$I$126</f>
        <v>7002.8670184333323</v>
      </c>
      <c r="U258" s="744"/>
      <c r="V258" s="751"/>
      <c r="W258" s="765">
        <f>[1]Salaire!$J$126</f>
        <v>5804.7936147466653</v>
      </c>
      <c r="X258" s="744"/>
      <c r="Y258" s="751"/>
      <c r="Z258" s="765">
        <f>[1]Salaire!$K$126</f>
        <v>7002.8670184333323</v>
      </c>
      <c r="AA258" s="744"/>
      <c r="AB258" s="751"/>
      <c r="AC258" s="765">
        <f>[1]Salaire!$L$126</f>
        <v>5804.7936147466653</v>
      </c>
      <c r="AD258" s="744"/>
      <c r="AE258" s="751"/>
      <c r="AF258" s="765">
        <f>[1]Salaire!$M$126</f>
        <v>5804.7936147466653</v>
      </c>
      <c r="AG258" s="744"/>
      <c r="AH258" s="751"/>
      <c r="AI258" s="765">
        <f>[1]Salaire!$N$126</f>
        <v>7002.8670184333323</v>
      </c>
      <c r="AJ258" s="744"/>
      <c r="AK258" s="751"/>
      <c r="AL258" s="765">
        <f>[1]Salaire!$O$126</f>
        <v>5804.7936147466653</v>
      </c>
      <c r="AM258" s="744"/>
      <c r="AN258" s="751"/>
      <c r="AO258" s="765">
        <f>[1]Salaire!$P$126</f>
        <v>7002.8670184333323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3"/>
        <v>CarrosserieSalaires autres</v>
      </c>
      <c r="B259" s="1158" t="s">
        <v>122</v>
      </c>
      <c r="C259" s="1142"/>
      <c r="D259" s="1160"/>
      <c r="E259" s="1161">
        <f t="shared" si="44"/>
        <v>18.991666666666667</v>
      </c>
      <c r="F259" s="1142"/>
      <c r="G259" s="1160"/>
      <c r="H259" s="1162">
        <f>[1]Salaire!$E$181</f>
        <v>18.991666666666667</v>
      </c>
      <c r="I259" s="1142"/>
      <c r="J259" s="1160"/>
      <c r="K259" s="1162">
        <f>[1]Salaire!$F$181</f>
        <v>0</v>
      </c>
      <c r="L259" s="1142"/>
      <c r="M259" s="1160"/>
      <c r="N259" s="1162">
        <f>[1]Salaire!$G$181</f>
        <v>0</v>
      </c>
      <c r="O259" s="1142"/>
      <c r="P259" s="1160"/>
      <c r="Q259" s="1162">
        <f>[1]Salaire!$H$181</f>
        <v>0</v>
      </c>
      <c r="R259" s="1142"/>
      <c r="S259" s="1160"/>
      <c r="T259" s="1162">
        <f>[1]Salaire!$I$181</f>
        <v>0</v>
      </c>
      <c r="U259" s="1142"/>
      <c r="V259" s="1160"/>
      <c r="W259" s="1162">
        <f>[1]Salaire!$J$181</f>
        <v>0</v>
      </c>
      <c r="X259" s="1142"/>
      <c r="Y259" s="1160"/>
      <c r="Z259" s="1162">
        <f>[1]Salaire!$K$181</f>
        <v>0</v>
      </c>
      <c r="AA259" s="1142"/>
      <c r="AB259" s="1160"/>
      <c r="AC259" s="1162">
        <f>[1]Salaire!$L$181</f>
        <v>0</v>
      </c>
      <c r="AD259" s="1142"/>
      <c r="AE259" s="1160"/>
      <c r="AF259" s="1162">
        <f>[1]Salaire!$M$181</f>
        <v>0</v>
      </c>
      <c r="AG259" s="1142"/>
      <c r="AH259" s="1160"/>
      <c r="AI259" s="1162">
        <f>[1]Salaire!$N$181</f>
        <v>0</v>
      </c>
      <c r="AJ259" s="1142"/>
      <c r="AK259" s="1160"/>
      <c r="AL259" s="1162">
        <f>[1]Salaire!$O$181</f>
        <v>0</v>
      </c>
      <c r="AM259" s="1142"/>
      <c r="AN259" s="1160"/>
      <c r="AO259" s="1162">
        <f>[1]Salaire!$P$181</f>
        <v>0</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3"/>
        <v>CarrosserieSalaires spécialistes</v>
      </c>
      <c r="B260" s="1158" t="s">
        <v>123</v>
      </c>
      <c r="C260" s="744"/>
      <c r="D260" s="751"/>
      <c r="E260" s="752">
        <f t="shared" si="44"/>
        <v>0</v>
      </c>
      <c r="F260" s="744"/>
      <c r="G260" s="751"/>
      <c r="H260" s="765">
        <f>[1]Salaire!$E$209</f>
        <v>0</v>
      </c>
      <c r="I260" s="744"/>
      <c r="J260" s="751"/>
      <c r="K260" s="765">
        <f>[1]Salaire!$F$209</f>
        <v>0</v>
      </c>
      <c r="L260" s="744"/>
      <c r="M260" s="751"/>
      <c r="N260" s="765">
        <f>[1]Salaire!$G$209</f>
        <v>0</v>
      </c>
      <c r="O260" s="744"/>
      <c r="P260" s="751"/>
      <c r="Q260" s="765">
        <f>[1]Salaire!$H209</f>
        <v>0</v>
      </c>
      <c r="R260" s="744"/>
      <c r="S260" s="751"/>
      <c r="T260" s="765">
        <f>[1]Salaire!$I$209</f>
        <v>0</v>
      </c>
      <c r="U260" s="744"/>
      <c r="V260" s="751"/>
      <c r="W260" s="765">
        <f>[1]Salaire!$J$209</f>
        <v>0</v>
      </c>
      <c r="X260" s="744"/>
      <c r="Y260" s="751"/>
      <c r="Z260" s="765">
        <f>[1]Salaire!$K$209</f>
        <v>0</v>
      </c>
      <c r="AA260" s="744"/>
      <c r="AB260" s="751"/>
      <c r="AC260" s="765">
        <f>[1]Salaire!$L$209</f>
        <v>0</v>
      </c>
      <c r="AD260" s="744"/>
      <c r="AE260" s="751"/>
      <c r="AF260" s="765">
        <f>[1]Salaire!$M$209</f>
        <v>0</v>
      </c>
      <c r="AG260" s="744"/>
      <c r="AH260" s="751"/>
      <c r="AI260" s="765">
        <f>[1]Salaire!$N$209</f>
        <v>0</v>
      </c>
      <c r="AJ260" s="744"/>
      <c r="AK260" s="751"/>
      <c r="AL260" s="765">
        <f>[1]Salaire!$O$209</f>
        <v>0</v>
      </c>
      <c r="AM260" s="744"/>
      <c r="AN260" s="751"/>
      <c r="AO260" s="765">
        <f>[1]Salaire!$P$209</f>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3"/>
        <v>Carrosserie[...]</v>
      </c>
      <c r="B261" s="744" t="s">
        <v>59</v>
      </c>
      <c r="C261" s="744"/>
      <c r="D261" s="751"/>
      <c r="E261" s="752">
        <f t="shared" si="44"/>
        <v>0</v>
      </c>
      <c r="F261" s="744"/>
      <c r="G261" s="751"/>
      <c r="H261" s="765"/>
      <c r="I261" s="744"/>
      <c r="J261" s="751"/>
      <c r="K261" s="765"/>
      <c r="L261" s="744"/>
      <c r="M261" s="751"/>
      <c r="N261" s="765"/>
      <c r="O261" s="744"/>
      <c r="P261" s="751"/>
      <c r="Q261" s="765"/>
      <c r="R261" s="744"/>
      <c r="S261" s="751"/>
      <c r="T261" s="765"/>
      <c r="U261" s="744"/>
      <c r="V261" s="751"/>
      <c r="W261" s="765"/>
      <c r="X261" s="744"/>
      <c r="Y261" s="751"/>
      <c r="Z261" s="765"/>
      <c r="AA261" s="744"/>
      <c r="AB261" s="751"/>
      <c r="AC261" s="765"/>
      <c r="AD261" s="744"/>
      <c r="AE261" s="751"/>
      <c r="AF261" s="765"/>
      <c r="AG261" s="744"/>
      <c r="AH261" s="751"/>
      <c r="AI261" s="765"/>
      <c r="AJ261" s="744"/>
      <c r="AK261" s="751"/>
      <c r="AL261" s="765"/>
      <c r="AM261" s="744"/>
      <c r="AN261" s="751"/>
      <c r="AO261" s="765"/>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3"/>
        <v>Carrosserie[...]</v>
      </c>
      <c r="B262" s="744" t="s">
        <v>59</v>
      </c>
      <c r="C262" s="744"/>
      <c r="D262" s="751"/>
      <c r="E262" s="752">
        <f t="shared" si="44"/>
        <v>0</v>
      </c>
      <c r="F262" s="744"/>
      <c r="G262" s="751"/>
      <c r="H262" s="765"/>
      <c r="I262" s="744"/>
      <c r="J262" s="751"/>
      <c r="K262" s="765"/>
      <c r="L262" s="744"/>
      <c r="M262" s="751"/>
      <c r="N262" s="765"/>
      <c r="O262" s="744"/>
      <c r="P262" s="751"/>
      <c r="Q262" s="765"/>
      <c r="R262" s="744"/>
      <c r="S262" s="751"/>
      <c r="T262" s="765"/>
      <c r="U262" s="744"/>
      <c r="V262" s="751"/>
      <c r="W262" s="765"/>
      <c r="X262" s="744"/>
      <c r="Y262" s="751"/>
      <c r="Z262" s="765"/>
      <c r="AA262" s="744"/>
      <c r="AB262" s="751"/>
      <c r="AC262" s="765"/>
      <c r="AD262" s="744"/>
      <c r="AE262" s="751"/>
      <c r="AF262" s="765"/>
      <c r="AG262" s="744"/>
      <c r="AH262" s="751"/>
      <c r="AI262" s="765"/>
      <c r="AJ262" s="744"/>
      <c r="AK262" s="751"/>
      <c r="AL262" s="765"/>
      <c r="AM262" s="744"/>
      <c r="AN262" s="751"/>
      <c r="AO262" s="765"/>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3"/>
        <v>Carrosserie[...]</v>
      </c>
      <c r="B263" s="744" t="s">
        <v>59</v>
      </c>
      <c r="C263" s="744"/>
      <c r="D263" s="751"/>
      <c r="E263" s="752">
        <f t="shared" si="44"/>
        <v>0</v>
      </c>
      <c r="F263" s="744"/>
      <c r="G263" s="751"/>
      <c r="H263" s="765"/>
      <c r="I263" s="744"/>
      <c r="J263" s="751"/>
      <c r="K263" s="765"/>
      <c r="L263" s="744"/>
      <c r="M263" s="751"/>
      <c r="N263" s="765"/>
      <c r="O263" s="744"/>
      <c r="P263" s="751"/>
      <c r="Q263" s="765"/>
      <c r="R263" s="744"/>
      <c r="S263" s="751"/>
      <c r="T263" s="765"/>
      <c r="U263" s="744"/>
      <c r="V263" s="751"/>
      <c r="W263" s="765"/>
      <c r="X263" s="744"/>
      <c r="Y263" s="751"/>
      <c r="Z263" s="765"/>
      <c r="AA263" s="744"/>
      <c r="AB263" s="751"/>
      <c r="AC263" s="765"/>
      <c r="AD263" s="744"/>
      <c r="AE263" s="751"/>
      <c r="AF263" s="765"/>
      <c r="AG263" s="744"/>
      <c r="AH263" s="751"/>
      <c r="AI263" s="765"/>
      <c r="AJ263" s="744"/>
      <c r="AK263" s="751"/>
      <c r="AL263" s="765"/>
      <c r="AM263" s="744"/>
      <c r="AN263" s="751"/>
      <c r="AO263" s="765"/>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3"/>
        <v>CarrosserieSalaires en absences</v>
      </c>
      <c r="B264" s="1159" t="s">
        <v>124</v>
      </c>
      <c r="C264" s="744"/>
      <c r="D264" s="751"/>
      <c r="E264" s="752">
        <f t="shared" si="44"/>
        <v>8948.814249350371</v>
      </c>
      <c r="F264" s="744"/>
      <c r="G264" s="751"/>
      <c r="H264" s="765">
        <f>'[1]DAS-VAC'!$F$46</f>
        <v>713.1408287961824</v>
      </c>
      <c r="I264" s="744"/>
      <c r="J264" s="751"/>
      <c r="K264" s="765">
        <f>'[1]DAS-VAC'!$G$46</f>
        <v>695.88268087951576</v>
      </c>
      <c r="L264" s="744"/>
      <c r="M264" s="751"/>
      <c r="N264" s="765">
        <f>'[1]DAS-VAC'!$H$46</f>
        <v>695.88268087951576</v>
      </c>
      <c r="O264" s="744"/>
      <c r="P264" s="751"/>
      <c r="Q264" s="765">
        <f>'[1]DAS-VAC'!$I$46</f>
        <v>695.88268087951576</v>
      </c>
      <c r="R264" s="744"/>
      <c r="S264" s="751"/>
      <c r="T264" s="765">
        <f>'[1]DAS-VAC'!$J$46</f>
        <v>841.12366359939483</v>
      </c>
      <c r="U264" s="744"/>
      <c r="V264" s="751"/>
      <c r="W264" s="765">
        <f>'[1]DAS-VAC'!$K$46</f>
        <v>695.88268087951576</v>
      </c>
      <c r="X264" s="744"/>
      <c r="Y264" s="751"/>
      <c r="Z264" s="765">
        <f>'[1]DAS-VAC'!$L$46</f>
        <v>841.12366359939483</v>
      </c>
      <c r="AA264" s="744"/>
      <c r="AB264" s="751"/>
      <c r="AC264" s="765">
        <f>'[1]DAS-VAC'!$M$46</f>
        <v>695.88268087951576</v>
      </c>
      <c r="AD264" s="744"/>
      <c r="AE264" s="751"/>
      <c r="AF264" s="765">
        <f>'[1]DAS-VAC'!$N$46</f>
        <v>695.88268087951576</v>
      </c>
      <c r="AG264" s="744"/>
      <c r="AH264" s="751"/>
      <c r="AI264" s="765">
        <f>'[1]DAS-VAC'!$O$46</f>
        <v>841.12366359939483</v>
      </c>
      <c r="AJ264" s="744"/>
      <c r="AK264" s="751"/>
      <c r="AL264" s="765">
        <f>'[1]DAS-VAC'!$P$46</f>
        <v>695.88268087951576</v>
      </c>
      <c r="AM264" s="744"/>
      <c r="AN264" s="751"/>
      <c r="AO264" s="765">
        <f>'[1]DAS-VAC'!$Q$46</f>
        <v>841.12366359939483</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3"/>
        <v>CarrosserieDéduction à la source</v>
      </c>
      <c r="B265" s="1158" t="s">
        <v>125</v>
      </c>
      <c r="C265" s="1142"/>
      <c r="D265" s="1160"/>
      <c r="E265" s="1161">
        <f t="shared" si="44"/>
        <v>10880.496620355521</v>
      </c>
      <c r="F265" s="1142"/>
      <c r="G265" s="1160"/>
      <c r="H265" s="1162">
        <f>'[1]DAS-VAC'!$F$54</f>
        <v>867.07871695042445</v>
      </c>
      <c r="I265" s="1142"/>
      <c r="J265" s="1160"/>
      <c r="K265" s="1162">
        <f>'[1]DAS-VAC'!$G$54</f>
        <v>846.09524195042445</v>
      </c>
      <c r="L265" s="1142"/>
      <c r="M265" s="1160"/>
      <c r="N265" s="1162">
        <f>'[1]DAS-VAC'!$H$54</f>
        <v>846.09524195042445</v>
      </c>
      <c r="O265" s="1142"/>
      <c r="P265" s="1160"/>
      <c r="Q265" s="1162">
        <f>'[1]DAS-VAC'!$I$54</f>
        <v>846.09524195042445</v>
      </c>
      <c r="R265" s="1142"/>
      <c r="S265" s="1160"/>
      <c r="T265" s="1162">
        <f>'[1]DAS-VAC'!$J$54</f>
        <v>1022.6878024380308</v>
      </c>
      <c r="U265" s="1142"/>
      <c r="V265" s="1160"/>
      <c r="W265" s="1162">
        <f>'[1]DAS-VAC'!$K$54</f>
        <v>846.09524195042445</v>
      </c>
      <c r="X265" s="1142"/>
      <c r="Y265" s="1160"/>
      <c r="Z265" s="1162">
        <f>'[1]DAS-VAC'!$L$54</f>
        <v>1022.6878024380308</v>
      </c>
      <c r="AA265" s="1142"/>
      <c r="AB265" s="1160"/>
      <c r="AC265" s="1162">
        <f>'[1]DAS-VAC'!$M$54</f>
        <v>846.09524195042445</v>
      </c>
      <c r="AD265" s="1142"/>
      <c r="AE265" s="1160"/>
      <c r="AF265" s="1162">
        <f>'[1]DAS-VAC'!$N$54</f>
        <v>846.09524195042445</v>
      </c>
      <c r="AG265" s="1142"/>
      <c r="AH265" s="1160"/>
      <c r="AI265" s="1162">
        <f>'[1]DAS-VAC'!$O$54</f>
        <v>1022.6878024380308</v>
      </c>
      <c r="AJ265" s="1142"/>
      <c r="AK265" s="1160"/>
      <c r="AL265" s="1162">
        <f>'[1]DAS-VAC'!$P$54</f>
        <v>846.09524195042445</v>
      </c>
      <c r="AM265" s="1142"/>
      <c r="AN265" s="1160"/>
      <c r="AO265" s="1162">
        <f>'[1]DAS-VAC'!$Q$54</f>
        <v>1022.6878024380308</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3"/>
        <v>CarrosserieBénéfices marginaux</v>
      </c>
      <c r="B266" s="1163" t="s">
        <v>126</v>
      </c>
      <c r="C266" s="744"/>
      <c r="D266" s="751"/>
      <c r="E266" s="752">
        <f t="shared" si="44"/>
        <v>5605.8210848353428</v>
      </c>
      <c r="F266" s="744"/>
      <c r="G266" s="751"/>
      <c r="H266" s="765">
        <f>'[1]DAS-VAC'!$F$62</f>
        <v>446.73403460271862</v>
      </c>
      <c r="I266" s="744"/>
      <c r="J266" s="751"/>
      <c r="K266" s="765">
        <f>'[1]DAS-VAC'!$G$62</f>
        <v>435.92298335271863</v>
      </c>
      <c r="L266" s="744"/>
      <c r="M266" s="751"/>
      <c r="N266" s="765">
        <f>'[1]DAS-VAC'!$H$62</f>
        <v>435.92298335271863</v>
      </c>
      <c r="O266" s="744"/>
      <c r="P266" s="751"/>
      <c r="Q266" s="765">
        <f>'[1]DAS-VAC'!$I$62</f>
        <v>435.92298335271863</v>
      </c>
      <c r="R266" s="744"/>
      <c r="S266" s="751"/>
      <c r="T266" s="765">
        <f>'[1]DAS-VAC'!$J$62</f>
        <v>526.90654169089839</v>
      </c>
      <c r="U266" s="744"/>
      <c r="V266" s="751"/>
      <c r="W266" s="765">
        <f>'[1]DAS-VAC'!$K$62</f>
        <v>435.92298335271863</v>
      </c>
      <c r="X266" s="744"/>
      <c r="Y266" s="751"/>
      <c r="Z266" s="765">
        <f>'[1]DAS-VAC'!$L$62</f>
        <v>526.90654169089839</v>
      </c>
      <c r="AA266" s="744"/>
      <c r="AB266" s="751"/>
      <c r="AC266" s="765">
        <f>'[1]DAS-VAC'!$M$62</f>
        <v>435.92298335271863</v>
      </c>
      <c r="AD266" s="744"/>
      <c r="AE266" s="751"/>
      <c r="AF266" s="765">
        <f>'[1]DAS-VAC'!$N$62</f>
        <v>435.92298335271863</v>
      </c>
      <c r="AG266" s="744"/>
      <c r="AH266" s="751"/>
      <c r="AI266" s="765">
        <f>'[1]DAS-VAC'!$O$62</f>
        <v>526.90654169089839</v>
      </c>
      <c r="AJ266" s="744"/>
      <c r="AK266" s="751"/>
      <c r="AL266" s="765">
        <f>'[1]DAS-VAC'!$P$62</f>
        <v>435.92298335271863</v>
      </c>
      <c r="AM266" s="744"/>
      <c r="AN266" s="751"/>
      <c r="AO266" s="765">
        <f>'[1]DAS-VAC'!$Q$62</f>
        <v>526.90654169089839</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3"/>
        <v>CarrosserieCsst</v>
      </c>
      <c r="B267" s="1158" t="s">
        <v>127</v>
      </c>
      <c r="C267" s="744"/>
      <c r="D267" s="751"/>
      <c r="E267" s="752">
        <f t="shared" si="44"/>
        <v>2444.169530659573</v>
      </c>
      <c r="F267" s="744"/>
      <c r="G267" s="751"/>
      <c r="H267" s="765">
        <f>'[1]DAS-VAC'!$F$70</f>
        <v>194.77855235842867</v>
      </c>
      <c r="I267" s="744"/>
      <c r="J267" s="751"/>
      <c r="K267" s="765">
        <f>'[1]DAS-VAC'!$G$70</f>
        <v>190.06487319176199</v>
      </c>
      <c r="L267" s="744"/>
      <c r="M267" s="751"/>
      <c r="N267" s="765">
        <f>'[1]DAS-VAC'!$H$70</f>
        <v>190.06487319176199</v>
      </c>
      <c r="O267" s="744"/>
      <c r="P267" s="751"/>
      <c r="Q267" s="765">
        <f>'[1]DAS-VAC'!$I$70</f>
        <v>190.06487319176199</v>
      </c>
      <c r="R267" s="744"/>
      <c r="S267" s="751"/>
      <c r="T267" s="765">
        <f>'[1]DAS-VAC'!$J$70</f>
        <v>229.73421648970253</v>
      </c>
      <c r="U267" s="744"/>
      <c r="V267" s="751"/>
      <c r="W267" s="765">
        <f>'[1]DAS-VAC'!$K$70</f>
        <v>190.06487319176199</v>
      </c>
      <c r="X267" s="744"/>
      <c r="Y267" s="751"/>
      <c r="Z267" s="765">
        <f>'[1]DAS-VAC'!$L$70</f>
        <v>229.73421648970253</v>
      </c>
      <c r="AA267" s="744"/>
      <c r="AB267" s="751"/>
      <c r="AC267" s="765">
        <f>'[1]DAS-VAC'!$M$70</f>
        <v>190.06487319176199</v>
      </c>
      <c r="AD267" s="744"/>
      <c r="AE267" s="751"/>
      <c r="AF267" s="765">
        <f>'[1]DAS-VAC'!$N$70</f>
        <v>190.06487319176199</v>
      </c>
      <c r="AG267" s="744"/>
      <c r="AH267" s="751"/>
      <c r="AI267" s="765">
        <f>'[1]DAS-VAC'!$O$70</f>
        <v>229.73421648970253</v>
      </c>
      <c r="AJ267" s="744"/>
      <c r="AK267" s="751"/>
      <c r="AL267" s="765">
        <f>'[1]DAS-VAC'!$P$70</f>
        <v>190.06487319176199</v>
      </c>
      <c r="AM267" s="744"/>
      <c r="AN267" s="751"/>
      <c r="AO267" s="765">
        <f>'[1]DAS-VAC'!$Q$70</f>
        <v>229.73421648970253</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3"/>
        <v>Carrosserie[...]</v>
      </c>
      <c r="B268" s="744" t="s">
        <v>59</v>
      </c>
      <c r="C268" s="770"/>
      <c r="D268" s="771"/>
      <c r="E268" s="768">
        <f t="shared" si="44"/>
        <v>0</v>
      </c>
      <c r="F268" s="770"/>
      <c r="G268" s="771"/>
      <c r="H268" s="768"/>
      <c r="I268" s="770"/>
      <c r="J268" s="771"/>
      <c r="K268" s="768"/>
      <c r="L268" s="770"/>
      <c r="M268" s="771"/>
      <c r="N268" s="768"/>
      <c r="O268" s="770"/>
      <c r="P268" s="771"/>
      <c r="Q268" s="768"/>
      <c r="R268" s="770"/>
      <c r="S268" s="771"/>
      <c r="T268" s="768"/>
      <c r="U268" s="770"/>
      <c r="V268" s="771"/>
      <c r="W268" s="768"/>
      <c r="X268" s="770"/>
      <c r="Y268" s="771"/>
      <c r="Z268" s="768"/>
      <c r="AA268" s="770"/>
      <c r="AB268" s="771"/>
      <c r="AC268" s="768"/>
      <c r="AD268" s="770"/>
      <c r="AE268" s="771"/>
      <c r="AF268" s="768"/>
      <c r="AG268" s="770"/>
      <c r="AH268" s="771"/>
      <c r="AI268" s="768"/>
      <c r="AJ268" s="770"/>
      <c r="AK268" s="771"/>
      <c r="AL268" s="768"/>
      <c r="AM268" s="770"/>
      <c r="AN268" s="771"/>
      <c r="AO268" s="768"/>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3"/>
        <v>CarrosserieTOTAL PERSONNEL</v>
      </c>
      <c r="B269" s="1154" t="s">
        <v>128</v>
      </c>
      <c r="C269" s="1155" t="s">
        <v>119</v>
      </c>
      <c r="D269" s="1156">
        <f>IFERROR(E269/E$253,0)</f>
        <v>0.59306234168735039</v>
      </c>
      <c r="E269" s="1157">
        <f>+SUM(E257:E268)</f>
        <v>102481.17264357414</v>
      </c>
      <c r="F269" s="1155" t="s">
        <v>119</v>
      </c>
      <c r="G269" s="1156">
        <f>IFERROR(H269/H$247,0)</f>
        <v>0</v>
      </c>
      <c r="H269" s="1157">
        <f>+SUM(H257:H268)</f>
        <v>8178.5799141210864</v>
      </c>
      <c r="I269" s="1155" t="s">
        <v>119</v>
      </c>
      <c r="J269" s="1156">
        <f>IFERROR(K269/K$247,0)</f>
        <v>0</v>
      </c>
      <c r="K269" s="1157">
        <f>+SUM(K257:K268)</f>
        <v>7972.7593941210862</v>
      </c>
      <c r="L269" s="1155" t="s">
        <v>119</v>
      </c>
      <c r="M269" s="1156">
        <f>IFERROR(N269/N$247,0)</f>
        <v>0</v>
      </c>
      <c r="N269" s="1157">
        <f>+SUM(N257:N268)</f>
        <v>7972.7593941210862</v>
      </c>
      <c r="O269" s="1155" t="s">
        <v>119</v>
      </c>
      <c r="P269" s="1156">
        <f>IFERROR(Q269/Q$247,0)</f>
        <v>0</v>
      </c>
      <c r="Q269" s="1157">
        <f>+SUM(Q257:Q268)</f>
        <v>7972.7593941210862</v>
      </c>
      <c r="R269" s="1155" t="s">
        <v>119</v>
      </c>
      <c r="S269" s="1156">
        <f>IFERROR(T269/T$247,0)</f>
        <v>0</v>
      </c>
      <c r="T269" s="1157">
        <f>+SUM(T257:T268)</f>
        <v>9623.3192426513579</v>
      </c>
      <c r="U269" s="1155" t="s">
        <v>119</v>
      </c>
      <c r="V269" s="1156">
        <f>IFERROR(W269/W$247,0)</f>
        <v>0</v>
      </c>
      <c r="W269" s="1157">
        <f>+SUM(W257:W268)</f>
        <v>7972.7593941210862</v>
      </c>
      <c r="X269" s="1155" t="s">
        <v>119</v>
      </c>
      <c r="Y269" s="1156">
        <f>IFERROR(Z269/Z$247,0)</f>
        <v>0</v>
      </c>
      <c r="Z269" s="1157">
        <f>+SUM(Z257:Z268)</f>
        <v>9623.3192426513579</v>
      </c>
      <c r="AA269" s="1155" t="s">
        <v>119</v>
      </c>
      <c r="AB269" s="1156">
        <f>IFERROR(AC269/AC$247,0)</f>
        <v>0</v>
      </c>
      <c r="AC269" s="1157">
        <f>+SUM(AC257:AC268)</f>
        <v>7972.7593941210862</v>
      </c>
      <c r="AD269" s="1155" t="s">
        <v>119</v>
      </c>
      <c r="AE269" s="1156">
        <f>IFERROR(AF269/AF$247,0)</f>
        <v>0</v>
      </c>
      <c r="AF269" s="1157">
        <f>+SUM(AF257:AF268)</f>
        <v>7972.7593941210862</v>
      </c>
      <c r="AG269" s="1155" t="s">
        <v>119</v>
      </c>
      <c r="AH269" s="1156">
        <f>IFERROR(AI269/AI$247,0)</f>
        <v>0</v>
      </c>
      <c r="AI269" s="1157">
        <f>+SUM(AI257:AI268)</f>
        <v>9623.3192426513579</v>
      </c>
      <c r="AJ269" s="1155" t="s">
        <v>119</v>
      </c>
      <c r="AK269" s="1156">
        <f>IFERROR(AL269/AL$247,0)</f>
        <v>0</v>
      </c>
      <c r="AL269" s="1157">
        <f>+SUM(AL257:AL268)</f>
        <v>7972.7593941210862</v>
      </c>
      <c r="AM269" s="1155" t="s">
        <v>119</v>
      </c>
      <c r="AN269" s="1156">
        <f>IFERROR(AO269/AO$247,0)</f>
        <v>0</v>
      </c>
      <c r="AO269" s="1157">
        <f>+SUM(AO257:AO268)</f>
        <v>9623.3192426513579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3"/>
        <v>CarrosseriePublicité 2</v>
      </c>
      <c r="B270" s="1197" t="s">
        <v>129</v>
      </c>
      <c r="C270" s="744"/>
      <c r="D270" s="751"/>
      <c r="E270" s="752">
        <f t="shared" ref="E270:E287" si="45">+SUM(H270,K270,N270,Q270,T270,W270,Z270,AC270,AF270,AI270,AL270,AO270)</f>
        <v>0</v>
      </c>
      <c r="F270" s="744"/>
      <c r="G270" s="751"/>
      <c r="H270" s="765">
        <f>[1]DEPA!$C$9</f>
        <v>0</v>
      </c>
      <c r="I270" s="744"/>
      <c r="J270" s="751"/>
      <c r="K270" s="765">
        <f>[1]DEPA!$D$9</f>
        <v>0</v>
      </c>
      <c r="L270" s="744"/>
      <c r="M270" s="751"/>
      <c r="N270" s="765">
        <f>[1]DEPA!$E$9</f>
        <v>0</v>
      </c>
      <c r="O270" s="744"/>
      <c r="P270" s="751"/>
      <c r="Q270" s="765">
        <f>[1]DEPA!$F$9</f>
        <v>0</v>
      </c>
      <c r="R270" s="744"/>
      <c r="S270" s="751"/>
      <c r="T270" s="765">
        <f>[1]DEPA!$G$9</f>
        <v>0</v>
      </c>
      <c r="U270" s="744"/>
      <c r="V270" s="751"/>
      <c r="W270" s="765">
        <f>[1]DEPA!$H$9</f>
        <v>0</v>
      </c>
      <c r="X270" s="744"/>
      <c r="Y270" s="751"/>
      <c r="Z270" s="765">
        <f>[1]DEPA!$I$9</f>
        <v>0</v>
      </c>
      <c r="AA270" s="744"/>
      <c r="AB270" s="751"/>
      <c r="AC270" s="765">
        <f>[1]DEPA!$J$9</f>
        <v>0</v>
      </c>
      <c r="AD270" s="744"/>
      <c r="AE270" s="751"/>
      <c r="AF270" s="765">
        <f>[1]DEPA!$K$9</f>
        <v>0</v>
      </c>
      <c r="AG270" s="744"/>
      <c r="AH270" s="751"/>
      <c r="AI270" s="765">
        <f>[1]DEPA!$L$9</f>
        <v>0</v>
      </c>
      <c r="AJ270" s="744"/>
      <c r="AK270" s="751"/>
      <c r="AL270" s="765">
        <f>[1]DEPA!$M$9</f>
        <v>0</v>
      </c>
      <c r="AM270" s="744"/>
      <c r="AN270" s="751"/>
      <c r="AO270" s="765">
        <f>[1]DEPA!$N$9</f>
        <v>0</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3"/>
        <v>CarrosserieService gratuit 2</v>
      </c>
      <c r="B271" s="1158" t="s">
        <v>130</v>
      </c>
      <c r="C271" s="744"/>
      <c r="D271" s="751"/>
      <c r="E271" s="752">
        <f t="shared" si="45"/>
        <v>6740.1357753668517</v>
      </c>
      <c r="F271" s="744"/>
      <c r="G271" s="751"/>
      <c r="H271" s="765">
        <f>[1]DEPA!$C$35</f>
        <v>561.67798128057109</v>
      </c>
      <c r="I271" s="744"/>
      <c r="J271" s="751"/>
      <c r="K271" s="765">
        <f>[1]DEPA!$D$35</f>
        <v>561.67798128057109</v>
      </c>
      <c r="L271" s="744"/>
      <c r="M271" s="751"/>
      <c r="N271" s="765">
        <f>[1]DEPA!$E$35</f>
        <v>561.67798128057109</v>
      </c>
      <c r="O271" s="744"/>
      <c r="P271" s="751"/>
      <c r="Q271" s="765">
        <f>[1]DEPA!$F$35</f>
        <v>561.67798128057109</v>
      </c>
      <c r="R271" s="744"/>
      <c r="S271" s="751"/>
      <c r="T271" s="765">
        <f>[1]DEPA!$G$35</f>
        <v>561.67798128057109</v>
      </c>
      <c r="U271" s="744"/>
      <c r="V271" s="751"/>
      <c r="W271" s="765">
        <f>[1]DEPA!$H$35</f>
        <v>561.67798128057109</v>
      </c>
      <c r="X271" s="744"/>
      <c r="Y271" s="751"/>
      <c r="Z271" s="765">
        <f>[1]DEPA!$I$35</f>
        <v>561.67798128057109</v>
      </c>
      <c r="AA271" s="744"/>
      <c r="AB271" s="751"/>
      <c r="AC271" s="765">
        <f>[1]DEPA!$J$35</f>
        <v>561.67798128057109</v>
      </c>
      <c r="AD271" s="744"/>
      <c r="AE271" s="751"/>
      <c r="AF271" s="765">
        <f>[1]DEPA!$K$35</f>
        <v>561.67798128057109</v>
      </c>
      <c r="AG271" s="744"/>
      <c r="AH271" s="751"/>
      <c r="AI271" s="765">
        <f>[1]DEPA!$L$35</f>
        <v>561.67798128057109</v>
      </c>
      <c r="AJ271" s="744"/>
      <c r="AK271" s="751"/>
      <c r="AL271" s="765">
        <f>[1]DEPA!$M$35</f>
        <v>561.67798128057109</v>
      </c>
      <c r="AM271" s="744"/>
      <c r="AN271" s="751"/>
      <c r="AO271" s="765">
        <f>[1]DEPA!$N$35</f>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3"/>
        <v>CarrosserieFrais véhicules de cie</v>
      </c>
      <c r="B272" s="1159" t="s">
        <v>131</v>
      </c>
      <c r="C272" s="770"/>
      <c r="D272" s="771"/>
      <c r="E272" s="768">
        <f t="shared" si="45"/>
        <v>1494.0432000000001</v>
      </c>
      <c r="F272" s="770"/>
      <c r="G272" s="771"/>
      <c r="H272" s="769">
        <f>[1]DEPA!$C$44</f>
        <v>124.50360000000001</v>
      </c>
      <c r="I272" s="770"/>
      <c r="J272" s="771"/>
      <c r="K272" s="769">
        <f>[1]DEPA!$D$44</f>
        <v>124.50360000000001</v>
      </c>
      <c r="L272" s="770"/>
      <c r="M272" s="771"/>
      <c r="N272" s="769">
        <f>[1]DEPA!$E$44</f>
        <v>124.50360000000001</v>
      </c>
      <c r="O272" s="770"/>
      <c r="P272" s="771"/>
      <c r="Q272" s="769">
        <f>[1]DEPA!$F$44</f>
        <v>124.50360000000001</v>
      </c>
      <c r="R272" s="770"/>
      <c r="S272" s="771"/>
      <c r="T272" s="769">
        <f>[1]DEPA!$G$44</f>
        <v>124.50360000000001</v>
      </c>
      <c r="U272" s="770"/>
      <c r="V272" s="771"/>
      <c r="W272" s="769">
        <f>[1]DEPA!$H$44</f>
        <v>124.50360000000001</v>
      </c>
      <c r="X272" s="770"/>
      <c r="Y272" s="771"/>
      <c r="Z272" s="769">
        <f>[1]DEPA!$I$44</f>
        <v>124.50360000000001</v>
      </c>
      <c r="AA272" s="770"/>
      <c r="AB272" s="771"/>
      <c r="AC272" s="769">
        <f>[1]DEPA!$J$44</f>
        <v>124.50360000000001</v>
      </c>
      <c r="AD272" s="770"/>
      <c r="AE272" s="771"/>
      <c r="AF272" s="769">
        <f>[1]DEPA!$K$44</f>
        <v>124.50360000000001</v>
      </c>
      <c r="AG272" s="770"/>
      <c r="AH272" s="771"/>
      <c r="AI272" s="769">
        <f>[1]DEPA!$L$44</f>
        <v>124.50360000000001</v>
      </c>
      <c r="AJ272" s="770"/>
      <c r="AK272" s="771"/>
      <c r="AL272" s="769">
        <f>[1]DEPA!$M$44</f>
        <v>124.50360000000001</v>
      </c>
      <c r="AM272" s="770"/>
      <c r="AN272" s="771"/>
      <c r="AO272" s="769">
        <f>[1]DEPA!$N$44</f>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3"/>
        <v>CarrosserieInformatique</v>
      </c>
      <c r="B273" s="1158" t="s">
        <v>132</v>
      </c>
      <c r="C273" s="744"/>
      <c r="D273" s="751"/>
      <c r="E273" s="752">
        <f t="shared" si="45"/>
        <v>21046.5</v>
      </c>
      <c r="F273" s="744"/>
      <c r="G273" s="751"/>
      <c r="H273" s="765">
        <f>[1]DEPA!$C$58</f>
        <v>2456.5</v>
      </c>
      <c r="I273" s="744"/>
      <c r="J273" s="751"/>
      <c r="K273" s="765">
        <f>[1]DEPA!$D$58</f>
        <v>1690</v>
      </c>
      <c r="L273" s="744"/>
      <c r="M273" s="751"/>
      <c r="N273" s="765">
        <f>[1]DEPA!$E$58</f>
        <v>1690</v>
      </c>
      <c r="O273" s="744"/>
      <c r="P273" s="751"/>
      <c r="Q273" s="765">
        <f>[1]DEPA!$F$58</f>
        <v>1690</v>
      </c>
      <c r="R273" s="744"/>
      <c r="S273" s="751"/>
      <c r="T273" s="765">
        <f>[1]DEPA!$G$58</f>
        <v>1690</v>
      </c>
      <c r="U273" s="744"/>
      <c r="V273" s="751"/>
      <c r="W273" s="765">
        <f>[1]DEPA!$H$58</f>
        <v>1690</v>
      </c>
      <c r="X273" s="744"/>
      <c r="Y273" s="751"/>
      <c r="Z273" s="765">
        <f>[1]DEPA!$I$58</f>
        <v>1690</v>
      </c>
      <c r="AA273" s="744"/>
      <c r="AB273" s="751"/>
      <c r="AC273" s="765">
        <f>[1]DEPA!$J$58</f>
        <v>1690</v>
      </c>
      <c r="AD273" s="744"/>
      <c r="AE273" s="751"/>
      <c r="AF273" s="765">
        <f>[1]DEPA!$K$58</f>
        <v>1690</v>
      </c>
      <c r="AG273" s="744"/>
      <c r="AH273" s="751"/>
      <c r="AI273" s="765">
        <f>[1]DEPA!$L$58</f>
        <v>1690</v>
      </c>
      <c r="AJ273" s="744"/>
      <c r="AK273" s="751"/>
      <c r="AL273" s="765">
        <f>[1]DEPA!$M$58</f>
        <v>1690</v>
      </c>
      <c r="AM273" s="744"/>
      <c r="AN273" s="751"/>
      <c r="AO273" s="765">
        <f>[1]DEPA!$N$58</f>
        <v>1690</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3"/>
        <v>CarrosserieFrais de déplacement</v>
      </c>
      <c r="B274" s="1158" t="s">
        <v>133</v>
      </c>
      <c r="C274" s="744"/>
      <c r="D274" s="751"/>
      <c r="E274" s="752">
        <f t="shared" si="45"/>
        <v>3000</v>
      </c>
      <c r="F274" s="744"/>
      <c r="G274" s="751"/>
      <c r="H274" s="765">
        <f>[1]DEPA!$C$78</f>
        <v>250</v>
      </c>
      <c r="I274" s="744"/>
      <c r="J274" s="751"/>
      <c r="K274" s="765">
        <f>[1]DEPA!$D$78</f>
        <v>250</v>
      </c>
      <c r="L274" s="744"/>
      <c r="M274" s="751"/>
      <c r="N274" s="765">
        <f>[1]DEPA!$E$78</f>
        <v>250</v>
      </c>
      <c r="O274" s="744"/>
      <c r="P274" s="751"/>
      <c r="Q274" s="765">
        <f>[1]DEPA!$F$78</f>
        <v>250</v>
      </c>
      <c r="R274" s="744"/>
      <c r="S274" s="751"/>
      <c r="T274" s="765">
        <f>[1]DEPA!$G$78</f>
        <v>250</v>
      </c>
      <c r="U274" s="744"/>
      <c r="V274" s="751"/>
      <c r="W274" s="765">
        <f>[1]DEPA!$H$78</f>
        <v>250</v>
      </c>
      <c r="X274" s="744"/>
      <c r="Y274" s="751"/>
      <c r="Z274" s="765">
        <f>[1]DEPA!$I$78</f>
        <v>250</v>
      </c>
      <c r="AA274" s="744"/>
      <c r="AB274" s="751"/>
      <c r="AC274" s="765">
        <f>[1]DEPA!$J$78</f>
        <v>250</v>
      </c>
      <c r="AD274" s="744"/>
      <c r="AE274" s="751"/>
      <c r="AF274" s="765">
        <f>[1]DEPA!$K$78</f>
        <v>250</v>
      </c>
      <c r="AG274" s="744"/>
      <c r="AH274" s="751"/>
      <c r="AI274" s="765">
        <f>[1]DEPA!$L$78</f>
        <v>250</v>
      </c>
      <c r="AJ274" s="744"/>
      <c r="AK274" s="751"/>
      <c r="AL274" s="765">
        <f>[1]DEPA!$M$78</f>
        <v>250</v>
      </c>
      <c r="AM274" s="744"/>
      <c r="AN274" s="751"/>
      <c r="AO274" s="765">
        <f>[1]DEPA!$N$78</f>
        <v>250</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3"/>
        <v>CarrosserieServices extérieurs</v>
      </c>
      <c r="B275" s="1159" t="s">
        <v>134</v>
      </c>
      <c r="C275" s="770"/>
      <c r="D275" s="771"/>
      <c r="E275" s="768">
        <f t="shared" si="45"/>
        <v>12116.440000000002</v>
      </c>
      <c r="F275" s="770"/>
      <c r="G275" s="771"/>
      <c r="H275" s="769">
        <f>[1]DEPA!$C$87</f>
        <v>1213.8700000000001</v>
      </c>
      <c r="I275" s="770"/>
      <c r="J275" s="771"/>
      <c r="K275" s="769">
        <f>[1]DEPA!$D$87</f>
        <v>898.87000000000012</v>
      </c>
      <c r="L275" s="770"/>
      <c r="M275" s="771"/>
      <c r="N275" s="769">
        <f>[1]DEPA!$E$87</f>
        <v>793.87000000000012</v>
      </c>
      <c r="O275" s="770"/>
      <c r="P275" s="771"/>
      <c r="Q275" s="769">
        <f>[1]DEPA!$F$87</f>
        <v>793.87000000000012</v>
      </c>
      <c r="R275" s="770"/>
      <c r="S275" s="771"/>
      <c r="T275" s="769">
        <f>[1]DEPA!$G$87</f>
        <v>793.87000000000012</v>
      </c>
      <c r="U275" s="770"/>
      <c r="V275" s="771"/>
      <c r="W275" s="769">
        <f>[1]DEPA!$H$87</f>
        <v>1073.8700000000001</v>
      </c>
      <c r="X275" s="770"/>
      <c r="Y275" s="771"/>
      <c r="Z275" s="769">
        <f>[1]DEPA!$I$87</f>
        <v>793.87000000000012</v>
      </c>
      <c r="AA275" s="770"/>
      <c r="AB275" s="771"/>
      <c r="AC275" s="769">
        <f>[1]DEPA!$J$87</f>
        <v>793.87000000000012</v>
      </c>
      <c r="AD275" s="770"/>
      <c r="AE275" s="771"/>
      <c r="AF275" s="769">
        <f>[1]DEPA!$K$87</f>
        <v>793.87000000000012</v>
      </c>
      <c r="AG275" s="770"/>
      <c r="AH275" s="771"/>
      <c r="AI275" s="769">
        <f>[1]DEPA!$L$87</f>
        <v>1003.8700000000001</v>
      </c>
      <c r="AJ275" s="770"/>
      <c r="AK275" s="771"/>
      <c r="AL275" s="769">
        <f>[1]DEPA!$M$87</f>
        <v>1213.8700000000001</v>
      </c>
      <c r="AM275" s="770"/>
      <c r="AN275" s="771"/>
      <c r="AO275" s="769">
        <f>[1]DEPA!$N$87</f>
        <v>1948.8700000000001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3"/>
        <v>CarrosserieFournitures d'atelier</v>
      </c>
      <c r="B276" s="1158" t="s">
        <v>490</v>
      </c>
      <c r="C276" s="744"/>
      <c r="D276" s="751"/>
      <c r="E276" s="752"/>
      <c r="F276" s="744"/>
      <c r="G276" s="751"/>
      <c r="H276" s="765"/>
      <c r="I276" s="744"/>
      <c r="J276" s="751"/>
      <c r="K276" s="765"/>
      <c r="L276" s="744"/>
      <c r="M276" s="751"/>
      <c r="N276" s="765"/>
      <c r="O276" s="744"/>
      <c r="P276" s="751"/>
      <c r="Q276" s="765"/>
      <c r="R276" s="744"/>
      <c r="S276" s="751"/>
      <c r="T276" s="765"/>
      <c r="U276" s="744"/>
      <c r="V276" s="751"/>
      <c r="W276" s="765"/>
      <c r="X276" s="744"/>
      <c r="Y276" s="751"/>
      <c r="Z276" s="765"/>
      <c r="AA276" s="744"/>
      <c r="AB276" s="751"/>
      <c r="AC276" s="765"/>
      <c r="AD276" s="744"/>
      <c r="AE276" s="751"/>
      <c r="AF276" s="765"/>
      <c r="AG276" s="744"/>
      <c r="AH276" s="751"/>
      <c r="AI276" s="765"/>
      <c r="AJ276" s="744"/>
      <c r="AK276" s="751"/>
      <c r="AL276" s="765"/>
      <c r="AM276" s="744"/>
      <c r="AN276" s="751"/>
      <c r="AO276" s="765"/>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46">+$C$239&amp;B277</f>
        <v>CarrosserieFournitures autres</v>
      </c>
      <c r="B277" s="1158" t="s">
        <v>135</v>
      </c>
      <c r="C277" s="744"/>
      <c r="D277" s="751"/>
      <c r="E277" s="752">
        <f t="shared" si="45"/>
        <v>0</v>
      </c>
      <c r="F277" s="744"/>
      <c r="G277" s="751"/>
      <c r="H277" s="765">
        <f>[1]DEPA!$C$116</f>
        <v>0</v>
      </c>
      <c r="I277" s="744"/>
      <c r="J277" s="751"/>
      <c r="K277" s="765">
        <f>[1]DEPA!$D$116</f>
        <v>0</v>
      </c>
      <c r="L277" s="744"/>
      <c r="M277" s="751"/>
      <c r="N277" s="765">
        <f>[1]DEPA!$E$116</f>
        <v>0</v>
      </c>
      <c r="O277" s="744"/>
      <c r="P277" s="751"/>
      <c r="Q277" s="765">
        <f>[1]DEPA!$F$116</f>
        <v>0</v>
      </c>
      <c r="R277" s="744"/>
      <c r="S277" s="751"/>
      <c r="T277" s="765">
        <f>[1]DEPA!$G$116</f>
        <v>0</v>
      </c>
      <c r="U277" s="744"/>
      <c r="V277" s="751"/>
      <c r="W277" s="765">
        <f>[1]DEPA!$H$116</f>
        <v>0</v>
      </c>
      <c r="X277" s="744"/>
      <c r="Y277" s="751"/>
      <c r="Z277" s="765">
        <f>[1]DEPA!$I$116</f>
        <v>0</v>
      </c>
      <c r="AA277" s="744"/>
      <c r="AB277" s="751"/>
      <c r="AC277" s="765">
        <f>[1]DEPA!$J$116</f>
        <v>0</v>
      </c>
      <c r="AD277" s="744"/>
      <c r="AE277" s="751"/>
      <c r="AF277" s="765">
        <f>[1]DEPA!$K$116</f>
        <v>0</v>
      </c>
      <c r="AG277" s="744"/>
      <c r="AH277" s="751"/>
      <c r="AI277" s="765">
        <f>[1]DEPA!$L$116</f>
        <v>0</v>
      </c>
      <c r="AJ277" s="744"/>
      <c r="AK277" s="751"/>
      <c r="AL277" s="765">
        <f>[1]DEPA!$M$116</f>
        <v>0</v>
      </c>
      <c r="AM277" s="744"/>
      <c r="AN277" s="751"/>
      <c r="AO277" s="765">
        <f>[1]DEPA!$N$116</f>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46"/>
        <v>CarrosserieUniformes</v>
      </c>
      <c r="B278" s="1158" t="s">
        <v>136</v>
      </c>
      <c r="C278" s="744"/>
      <c r="D278" s="751"/>
      <c r="E278" s="752">
        <f t="shared" si="45"/>
        <v>0</v>
      </c>
      <c r="F278" s="744"/>
      <c r="G278" s="751"/>
      <c r="H278" s="765">
        <f>[1]DEPA!$C$125</f>
        <v>0</v>
      </c>
      <c r="I278" s="744"/>
      <c r="J278" s="751"/>
      <c r="K278" s="765">
        <f>[1]DEPA!$D$125</f>
        <v>0</v>
      </c>
      <c r="L278" s="744"/>
      <c r="M278" s="751"/>
      <c r="N278" s="765">
        <f>[1]DEPA!$E$125</f>
        <v>0</v>
      </c>
      <c r="O278" s="744"/>
      <c r="P278" s="751"/>
      <c r="Q278" s="765">
        <f>[1]DEPA!$F$125</f>
        <v>0</v>
      </c>
      <c r="R278" s="744"/>
      <c r="S278" s="751"/>
      <c r="T278" s="765">
        <f>[1]DEPA!$G$125</f>
        <v>0</v>
      </c>
      <c r="U278" s="744"/>
      <c r="V278" s="751"/>
      <c r="W278" s="765">
        <f>[1]DEPA!$H$125</f>
        <v>0</v>
      </c>
      <c r="X278" s="744"/>
      <c r="Y278" s="751"/>
      <c r="Z278" s="765">
        <f>[1]DEPA!$I$125</f>
        <v>0</v>
      </c>
      <c r="AA278" s="744"/>
      <c r="AB278" s="751"/>
      <c r="AC278" s="765">
        <f>[1]DEPA!$J$125</f>
        <v>0</v>
      </c>
      <c r="AD278" s="744"/>
      <c r="AE278" s="751"/>
      <c r="AF278" s="765">
        <f>[1]DEPA!$K$125</f>
        <v>0</v>
      </c>
      <c r="AG278" s="744"/>
      <c r="AH278" s="751"/>
      <c r="AI278" s="765">
        <f>[1]DEPA!$L$125</f>
        <v>0</v>
      </c>
      <c r="AJ278" s="744"/>
      <c r="AK278" s="751"/>
      <c r="AL278" s="765">
        <f>[1]DEPA!$M$125</f>
        <v>0</v>
      </c>
      <c r="AM278" s="744"/>
      <c r="AN278" s="751"/>
      <c r="AO278" s="765">
        <f>[1]DEPA!$N$125</f>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46"/>
        <v>CarrosseriePapeterie</v>
      </c>
      <c r="B279" s="1158" t="s">
        <v>137</v>
      </c>
      <c r="C279" s="744"/>
      <c r="D279" s="751"/>
      <c r="E279" s="752">
        <f t="shared" si="45"/>
        <v>1428</v>
      </c>
      <c r="F279" s="744"/>
      <c r="G279" s="751"/>
      <c r="H279" s="765">
        <f>[1]DEPA!$C$134</f>
        <v>119</v>
      </c>
      <c r="I279" s="744"/>
      <c r="J279" s="751"/>
      <c r="K279" s="765">
        <f>[1]DEPA!$D$134</f>
        <v>119</v>
      </c>
      <c r="L279" s="744"/>
      <c r="M279" s="751"/>
      <c r="N279" s="765">
        <f>[1]DEPA!$E$134</f>
        <v>119</v>
      </c>
      <c r="O279" s="744"/>
      <c r="P279" s="751"/>
      <c r="Q279" s="765">
        <f>[1]DEPA!$F$134</f>
        <v>119</v>
      </c>
      <c r="R279" s="744"/>
      <c r="S279" s="751"/>
      <c r="T279" s="765">
        <f>[1]DEPA!$G$134</f>
        <v>119</v>
      </c>
      <c r="U279" s="744"/>
      <c r="V279" s="751"/>
      <c r="W279" s="765">
        <f>[1]DEPA!$H$134</f>
        <v>119</v>
      </c>
      <c r="X279" s="744"/>
      <c r="Y279" s="751"/>
      <c r="Z279" s="765">
        <f>[1]DEPA!$I$134</f>
        <v>119</v>
      </c>
      <c r="AA279" s="744"/>
      <c r="AB279" s="751"/>
      <c r="AC279" s="765">
        <f>[1]DEPA!$J$134</f>
        <v>119</v>
      </c>
      <c r="AD279" s="744"/>
      <c r="AE279" s="751"/>
      <c r="AF279" s="765">
        <f>[1]DEPA!$K$134</f>
        <v>119</v>
      </c>
      <c r="AG279" s="744"/>
      <c r="AH279" s="751"/>
      <c r="AI279" s="765">
        <f>[1]DEPA!$L$134</f>
        <v>119</v>
      </c>
      <c r="AJ279" s="744"/>
      <c r="AK279" s="751"/>
      <c r="AL279" s="765">
        <f>[1]DEPA!$M$134</f>
        <v>119</v>
      </c>
      <c r="AM279" s="744"/>
      <c r="AN279" s="751"/>
      <c r="AO279" s="765">
        <f>[1]DEPA!$N$134</f>
        <v>119</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46"/>
        <v>CarrosserieTéléphone</v>
      </c>
      <c r="B280" s="1158" t="s">
        <v>138</v>
      </c>
      <c r="C280" s="744"/>
      <c r="D280" s="751"/>
      <c r="E280" s="752">
        <f t="shared" si="45"/>
        <v>367.5</v>
      </c>
      <c r="F280" s="744"/>
      <c r="G280" s="751"/>
      <c r="H280" s="765">
        <f>[1]DEPA!$C$143</f>
        <v>30.625</v>
      </c>
      <c r="I280" s="744"/>
      <c r="J280" s="751"/>
      <c r="K280" s="765">
        <f>[1]DEPA!$D$143</f>
        <v>30.625</v>
      </c>
      <c r="L280" s="744"/>
      <c r="M280" s="751"/>
      <c r="N280" s="765">
        <f>[1]DEPA!$E$143</f>
        <v>30.625</v>
      </c>
      <c r="O280" s="744"/>
      <c r="P280" s="751"/>
      <c r="Q280" s="765">
        <f>[1]DEPA!$F$143</f>
        <v>30.625</v>
      </c>
      <c r="R280" s="744"/>
      <c r="S280" s="751"/>
      <c r="T280" s="765">
        <f>[1]DEPA!$G$143</f>
        <v>30.625</v>
      </c>
      <c r="U280" s="744"/>
      <c r="V280" s="751"/>
      <c r="W280" s="765">
        <f>[1]DEPA!$H$143</f>
        <v>30.625</v>
      </c>
      <c r="X280" s="744"/>
      <c r="Y280" s="751"/>
      <c r="Z280" s="765">
        <f>[1]DEPA!$I$143</f>
        <v>30.625</v>
      </c>
      <c r="AA280" s="744"/>
      <c r="AB280" s="751"/>
      <c r="AC280" s="765">
        <f>[1]DEPA!$J$143</f>
        <v>30.625</v>
      </c>
      <c r="AD280" s="744"/>
      <c r="AE280" s="751"/>
      <c r="AF280" s="765">
        <f>[1]DEPA!$K$143</f>
        <v>30.625</v>
      </c>
      <c r="AG280" s="744"/>
      <c r="AH280" s="751"/>
      <c r="AI280" s="765">
        <f>[1]DEPA!$L$143</f>
        <v>30.625</v>
      </c>
      <c r="AJ280" s="744"/>
      <c r="AK280" s="751"/>
      <c r="AL280" s="765">
        <f>[1]DEPA!$M$143</f>
        <v>30.625</v>
      </c>
      <c r="AM280" s="744"/>
      <c r="AN280" s="751"/>
      <c r="AO280" s="765">
        <f>[1]DEPA!$N$143</f>
        <v>30.625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46"/>
        <v>CarrosserieFrais postaux</v>
      </c>
      <c r="B281" s="1158" t="s">
        <v>139</v>
      </c>
      <c r="C281" s="744"/>
      <c r="D281" s="751"/>
      <c r="E281" s="752">
        <f t="shared" si="45"/>
        <v>598.29000000000008</v>
      </c>
      <c r="F281" s="744"/>
      <c r="G281" s="751"/>
      <c r="H281" s="765">
        <f>[1]DEPA!$C$152</f>
        <v>49.857500000000009</v>
      </c>
      <c r="I281" s="744"/>
      <c r="J281" s="751"/>
      <c r="K281" s="765">
        <f>[1]DEPA!$D$152</f>
        <v>49.857500000000009</v>
      </c>
      <c r="L281" s="744"/>
      <c r="M281" s="751"/>
      <c r="N281" s="765">
        <f>[1]DEPA!$E$152</f>
        <v>49.857500000000009</v>
      </c>
      <c r="O281" s="744"/>
      <c r="P281" s="751"/>
      <c r="Q281" s="765">
        <f>[1]DEPA!$F$152</f>
        <v>49.857500000000009</v>
      </c>
      <c r="R281" s="744"/>
      <c r="S281" s="751"/>
      <c r="T281" s="765">
        <f>[1]DEPA!$G$152</f>
        <v>49.857500000000009</v>
      </c>
      <c r="U281" s="744"/>
      <c r="V281" s="751"/>
      <c r="W281" s="765">
        <f>[1]DEPA!$H$152</f>
        <v>49.857500000000009</v>
      </c>
      <c r="X281" s="744"/>
      <c r="Y281" s="751"/>
      <c r="Z281" s="765">
        <f>[1]DEPA!$I$152</f>
        <v>49.857500000000009</v>
      </c>
      <c r="AA281" s="744"/>
      <c r="AB281" s="751"/>
      <c r="AC281" s="765">
        <f>[1]DEPA!$J$152</f>
        <v>49.857500000000009</v>
      </c>
      <c r="AD281" s="744"/>
      <c r="AE281" s="751"/>
      <c r="AF281" s="765">
        <f>[1]DEPA!$K$152</f>
        <v>49.857500000000009</v>
      </c>
      <c r="AG281" s="744"/>
      <c r="AH281" s="751"/>
      <c r="AI281" s="765">
        <f>[1]DEPA!$L$152</f>
        <v>49.857500000000009</v>
      </c>
      <c r="AJ281" s="744"/>
      <c r="AK281" s="751"/>
      <c r="AL281" s="765">
        <f>[1]DEPA!$M$152</f>
        <v>49.857500000000009</v>
      </c>
      <c r="AM281" s="744"/>
      <c r="AN281" s="751"/>
      <c r="AO281" s="765">
        <f>[1]DEPA!$N$152</f>
        <v>49.857500000000009</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46"/>
        <v>CarrosserieDivers</v>
      </c>
      <c r="B282" s="1158" t="s">
        <v>140</v>
      </c>
      <c r="C282" s="744"/>
      <c r="D282" s="751"/>
      <c r="E282" s="752">
        <f t="shared" si="45"/>
        <v>315.00000000000006</v>
      </c>
      <c r="F282" s="744"/>
      <c r="G282" s="751"/>
      <c r="H282" s="765">
        <f>[1]DEPA!$C$161</f>
        <v>26.250000000000004</v>
      </c>
      <c r="I282" s="744"/>
      <c r="J282" s="751"/>
      <c r="K282" s="765">
        <f>[1]DEPA!$D$161</f>
        <v>26.250000000000004</v>
      </c>
      <c r="L282" s="744"/>
      <c r="M282" s="751"/>
      <c r="N282" s="765">
        <f>[1]DEPA!$E$161</f>
        <v>26.250000000000004</v>
      </c>
      <c r="O282" s="744"/>
      <c r="P282" s="751"/>
      <c r="Q282" s="765">
        <f>[1]DEPA!$F$161</f>
        <v>26.250000000000004</v>
      </c>
      <c r="R282" s="744"/>
      <c r="S282" s="751"/>
      <c r="T282" s="765">
        <f>[1]DEPA!$G$161</f>
        <v>26.250000000000004</v>
      </c>
      <c r="U282" s="744"/>
      <c r="V282" s="751"/>
      <c r="W282" s="765">
        <f>[1]DEPA!$H$161</f>
        <v>26.250000000000004</v>
      </c>
      <c r="X282" s="744"/>
      <c r="Y282" s="751"/>
      <c r="Z282" s="765">
        <f>[1]DEPA!$I$161</f>
        <v>26.250000000000004</v>
      </c>
      <c r="AA282" s="744"/>
      <c r="AB282" s="751"/>
      <c r="AC282" s="765">
        <f>[1]DEPA!$J$161</f>
        <v>26.250000000000004</v>
      </c>
      <c r="AD282" s="744"/>
      <c r="AE282" s="751"/>
      <c r="AF282" s="765">
        <f>[1]DEPA!$K$161</f>
        <v>26.250000000000004</v>
      </c>
      <c r="AG282" s="744"/>
      <c r="AH282" s="751"/>
      <c r="AI282" s="765">
        <f>[1]DEPA!$L$161</f>
        <v>26.250000000000004</v>
      </c>
      <c r="AJ282" s="744"/>
      <c r="AK282" s="751"/>
      <c r="AL282" s="765">
        <f>[1]DEPA!$M$161</f>
        <v>26.250000000000004</v>
      </c>
      <c r="AM282" s="744"/>
      <c r="AN282" s="751"/>
      <c r="AO282" s="765">
        <f>[1]DEPA!$N$161</f>
        <v>26.250000000000004</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46"/>
        <v>CarrosserieFormation</v>
      </c>
      <c r="B283" s="1158" t="s">
        <v>141</v>
      </c>
      <c r="C283" s="744"/>
      <c r="D283" s="751"/>
      <c r="E283" s="752">
        <f t="shared" si="45"/>
        <v>2000.0000000000002</v>
      </c>
      <c r="F283" s="744"/>
      <c r="G283" s="751"/>
      <c r="H283" s="765">
        <f>[1]DEPA!$C$172</f>
        <v>166.66666666666666</v>
      </c>
      <c r="I283" s="744"/>
      <c r="J283" s="751"/>
      <c r="K283" s="765">
        <f>[1]DEPA!$D$172</f>
        <v>166.66666666666666</v>
      </c>
      <c r="L283" s="744"/>
      <c r="M283" s="751"/>
      <c r="N283" s="765">
        <f>[1]DEPA!$E$172</f>
        <v>166.66666666666666</v>
      </c>
      <c r="O283" s="744"/>
      <c r="P283" s="751"/>
      <c r="Q283" s="765">
        <f>[1]DEPA!$F$172</f>
        <v>166.66666666666666</v>
      </c>
      <c r="R283" s="744"/>
      <c r="S283" s="751"/>
      <c r="T283" s="765">
        <f>[1]DEPA!$G$172</f>
        <v>166.66666666666666</v>
      </c>
      <c r="U283" s="744"/>
      <c r="V283" s="751"/>
      <c r="W283" s="765">
        <f>[1]DEPA!$H$172</f>
        <v>166.66666666666666</v>
      </c>
      <c r="X283" s="744"/>
      <c r="Y283" s="751"/>
      <c r="Z283" s="765">
        <f>[1]DEPA!$I$172</f>
        <v>166.66666666666666</v>
      </c>
      <c r="AA283" s="744"/>
      <c r="AB283" s="751"/>
      <c r="AC283" s="765">
        <f>[1]DEPA!$J$172</f>
        <v>166.66666666666666</v>
      </c>
      <c r="AD283" s="744"/>
      <c r="AE283" s="751"/>
      <c r="AF283" s="765">
        <f>[1]DEPA!$K$172</f>
        <v>166.66666666666666</v>
      </c>
      <c r="AG283" s="744"/>
      <c r="AH283" s="751"/>
      <c r="AI283" s="765">
        <f>[1]DEPA!$L$172</f>
        <v>166.66666666666666</v>
      </c>
      <c r="AJ283" s="744"/>
      <c r="AK283" s="751"/>
      <c r="AL283" s="765">
        <f>[1]DEPA!$M$172</f>
        <v>166.66666666666666</v>
      </c>
      <c r="AM283" s="744"/>
      <c r="AN283" s="751"/>
      <c r="AO283" s="765">
        <f>[1]DEPA!$N$172</f>
        <v>166.66666666666666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46"/>
        <v>CarrosserieFrais bancaires</v>
      </c>
      <c r="B284" s="1158" t="s">
        <v>142</v>
      </c>
      <c r="C284" s="744"/>
      <c r="D284" s="751"/>
      <c r="E284" s="752">
        <f t="shared" si="45"/>
        <v>2520.0904631579028</v>
      </c>
      <c r="F284" s="744"/>
      <c r="G284" s="751"/>
      <c r="H284" s="765">
        <f>[1]DEPA!$C$184</f>
        <v>161.34198666220036</v>
      </c>
      <c r="I284" s="744"/>
      <c r="J284" s="751"/>
      <c r="K284" s="765">
        <f>[1]DEPA!$D$184</f>
        <v>163.26887824751336</v>
      </c>
      <c r="L284" s="744"/>
      <c r="M284" s="751"/>
      <c r="N284" s="765">
        <f>[1]DEPA!$E$184</f>
        <v>222.75930903184553</v>
      </c>
      <c r="O284" s="744"/>
      <c r="P284" s="751"/>
      <c r="Q284" s="765">
        <f>[1]DEPA!$F$184</f>
        <v>236.5452211385186</v>
      </c>
      <c r="R284" s="744"/>
      <c r="S284" s="751"/>
      <c r="T284" s="765">
        <f>[1]DEPA!$G$184</f>
        <v>251.80967442186946</v>
      </c>
      <c r="U284" s="744"/>
      <c r="V284" s="751"/>
      <c r="W284" s="765">
        <f>[1]DEPA!$H$184</f>
        <v>227.5571123612439</v>
      </c>
      <c r="X284" s="744"/>
      <c r="Y284" s="751"/>
      <c r="Z284" s="765">
        <f>[1]DEPA!$I$184</f>
        <v>215.75700630747684</v>
      </c>
      <c r="AA284" s="744"/>
      <c r="AB284" s="751"/>
      <c r="AC284" s="765">
        <f>[1]DEPA!$J$184</f>
        <v>209.16801696907714</v>
      </c>
      <c r="AD284" s="744"/>
      <c r="AE284" s="751"/>
      <c r="AF284" s="765">
        <f>[1]DEPA!$K$184</f>
        <v>218.14088948703917</v>
      </c>
      <c r="AG284" s="744"/>
      <c r="AH284" s="751"/>
      <c r="AI284" s="765">
        <f>[1]DEPA!$L$184</f>
        <v>218.67907649258444</v>
      </c>
      <c r="AJ284" s="744"/>
      <c r="AK284" s="751"/>
      <c r="AL284" s="765">
        <f>[1]DEPA!$M$184</f>
        <v>226.03327017549344</v>
      </c>
      <c r="AM284" s="744"/>
      <c r="AN284" s="751"/>
      <c r="AO284" s="765">
        <f>[1]DEPA!$N$184</f>
        <v>169.03002186304082</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46"/>
        <v>Carrosserie[...]</v>
      </c>
      <c r="B285" s="1158" t="s">
        <v>59</v>
      </c>
      <c r="C285" s="744"/>
      <c r="D285" s="751"/>
      <c r="E285" s="752">
        <f t="shared" si="45"/>
        <v>0</v>
      </c>
      <c r="F285" s="744"/>
      <c r="G285" s="751"/>
      <c r="H285" s="752"/>
      <c r="I285" s="744"/>
      <c r="J285" s="751"/>
      <c r="K285" s="752"/>
      <c r="L285" s="744"/>
      <c r="M285" s="751"/>
      <c r="N285" s="752"/>
      <c r="O285" s="744"/>
      <c r="P285" s="751"/>
      <c r="Q285" s="752"/>
      <c r="R285" s="744"/>
      <c r="S285" s="751"/>
      <c r="T285" s="752"/>
      <c r="U285" s="744"/>
      <c r="V285" s="751"/>
      <c r="W285" s="752"/>
      <c r="X285" s="744"/>
      <c r="Y285" s="751"/>
      <c r="Z285" s="752"/>
      <c r="AA285" s="744"/>
      <c r="AB285" s="751"/>
      <c r="AC285" s="752"/>
      <c r="AD285" s="744"/>
      <c r="AE285" s="751"/>
      <c r="AF285" s="752"/>
      <c r="AG285" s="744"/>
      <c r="AH285" s="751"/>
      <c r="AI285" s="752"/>
      <c r="AJ285" s="744"/>
      <c r="AK285" s="751"/>
      <c r="AL285" s="752"/>
      <c r="AM285" s="744"/>
      <c r="AN285" s="751"/>
      <c r="AO285" s="752"/>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46"/>
        <v>Carrosserie[...]</v>
      </c>
      <c r="B286" s="1158" t="s">
        <v>59</v>
      </c>
      <c r="C286" s="744"/>
      <c r="D286" s="751"/>
      <c r="E286" s="752">
        <f t="shared" si="45"/>
        <v>0</v>
      </c>
      <c r="F286" s="744"/>
      <c r="G286" s="751"/>
      <c r="H286" s="752"/>
      <c r="I286" s="744"/>
      <c r="J286" s="751"/>
      <c r="K286" s="752"/>
      <c r="L286" s="744"/>
      <c r="M286" s="751"/>
      <c r="N286" s="752"/>
      <c r="O286" s="744"/>
      <c r="P286" s="751"/>
      <c r="Q286" s="752"/>
      <c r="R286" s="744"/>
      <c r="S286" s="751"/>
      <c r="T286" s="752"/>
      <c r="U286" s="744"/>
      <c r="V286" s="751"/>
      <c r="W286" s="752"/>
      <c r="X286" s="744"/>
      <c r="Y286" s="751"/>
      <c r="Z286" s="752"/>
      <c r="AA286" s="744"/>
      <c r="AB286" s="751"/>
      <c r="AC286" s="752"/>
      <c r="AD286" s="744"/>
      <c r="AE286" s="751"/>
      <c r="AF286" s="752"/>
      <c r="AG286" s="744"/>
      <c r="AH286" s="751"/>
      <c r="AI286" s="752"/>
      <c r="AJ286" s="744"/>
      <c r="AK286" s="751"/>
      <c r="AL286" s="752"/>
      <c r="AM286" s="744"/>
      <c r="AN286" s="751"/>
      <c r="AO286" s="752"/>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46"/>
        <v>Carrosserie[...]</v>
      </c>
      <c r="B287" s="1158" t="s">
        <v>59</v>
      </c>
      <c r="C287" s="744"/>
      <c r="D287" s="751"/>
      <c r="E287" s="752">
        <f t="shared" si="45"/>
        <v>0</v>
      </c>
      <c r="F287" s="744"/>
      <c r="G287" s="751"/>
      <c r="H287" s="752"/>
      <c r="I287" s="744"/>
      <c r="J287" s="751"/>
      <c r="K287" s="752"/>
      <c r="L287" s="744"/>
      <c r="M287" s="751"/>
      <c r="N287" s="752"/>
      <c r="O287" s="744"/>
      <c r="P287" s="751"/>
      <c r="Q287" s="752"/>
      <c r="R287" s="744"/>
      <c r="S287" s="751"/>
      <c r="T287" s="752"/>
      <c r="U287" s="744"/>
      <c r="V287" s="751"/>
      <c r="W287" s="752"/>
      <c r="X287" s="744"/>
      <c r="Y287" s="751"/>
      <c r="Z287" s="752"/>
      <c r="AA287" s="744"/>
      <c r="AB287" s="751"/>
      <c r="AC287" s="752"/>
      <c r="AD287" s="744"/>
      <c r="AE287" s="751"/>
      <c r="AF287" s="752"/>
      <c r="AG287" s="744"/>
      <c r="AH287" s="751"/>
      <c r="AI287" s="752"/>
      <c r="AJ287" s="744"/>
      <c r="AK287" s="751"/>
      <c r="AL287" s="752"/>
      <c r="AM287" s="744"/>
      <c r="AN287" s="751"/>
      <c r="AO287" s="752"/>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46"/>
        <v>CarrosserieTOTAL SEMI-FIXES</v>
      </c>
      <c r="B288" s="1198" t="s">
        <v>143</v>
      </c>
      <c r="C288" s="776" t="s">
        <v>119</v>
      </c>
      <c r="D288" s="1167">
        <f>IFERROR(E288/E$247,0)</f>
        <v>0</v>
      </c>
      <c r="E288" s="777">
        <f>+SUM(E270:E287)</f>
        <v>51625.999438524763</v>
      </c>
      <c r="F288" s="776" t="s">
        <v>119</v>
      </c>
      <c r="G288" s="1167">
        <f>IFERROR(H288/H$247,0)</f>
        <v>0</v>
      </c>
      <c r="H288" s="777">
        <f>+SUM(H270:H287)</f>
        <v>5160.2927346094393</v>
      </c>
      <c r="I288" s="776" t="s">
        <v>119</v>
      </c>
      <c r="J288" s="1167">
        <f>IFERROR(K288/K$247,0)</f>
        <v>0</v>
      </c>
      <c r="K288" s="777">
        <f>+SUM(K270:K287)</f>
        <v>4080.7196261947515</v>
      </c>
      <c r="L288" s="776" t="s">
        <v>119</v>
      </c>
      <c r="M288" s="1167">
        <f>IFERROR(N288/N$247,0)</f>
        <v>0</v>
      </c>
      <c r="N288" s="777">
        <f>+SUM(N270:N287)</f>
        <v>4035.2100569790837</v>
      </c>
      <c r="O288" s="776" t="s">
        <v>119</v>
      </c>
      <c r="P288" s="1167">
        <f>IFERROR(Q288/Q$247,0)</f>
        <v>0</v>
      </c>
      <c r="Q288" s="777">
        <f>+SUM(Q270:Q287)</f>
        <v>4048.9959690857568</v>
      </c>
      <c r="R288" s="776" t="s">
        <v>119</v>
      </c>
      <c r="S288" s="1167">
        <f>IFERROR(T288/T$247,0)</f>
        <v>0</v>
      </c>
      <c r="T288" s="777">
        <f>+SUM(T270:T287)</f>
        <v>4064.2604223691078</v>
      </c>
      <c r="U288" s="776" t="s">
        <v>119</v>
      </c>
      <c r="V288" s="1167">
        <f>IFERROR(W288/W$247,0)</f>
        <v>0</v>
      </c>
      <c r="W288" s="777">
        <f>+SUM(W270:W287)</f>
        <v>4320.0078603084821</v>
      </c>
      <c r="X288" s="776" t="s">
        <v>119</v>
      </c>
      <c r="Y288" s="1167">
        <f>IFERROR(Z288/Z$247,0)</f>
        <v>0</v>
      </c>
      <c r="Z288" s="777">
        <f>+SUM(Z270:Z287)</f>
        <v>4028.2077542547149</v>
      </c>
      <c r="AA288" s="776" t="s">
        <v>119</v>
      </c>
      <c r="AB288" s="1167">
        <f>IFERROR(AC288/AC$247,0)</f>
        <v>0</v>
      </c>
      <c r="AC288" s="777">
        <f>+SUM(AC270:AC287)</f>
        <v>4021.6187649163153</v>
      </c>
      <c r="AD288" s="776" t="s">
        <v>119</v>
      </c>
      <c r="AE288" s="1167">
        <f>IFERROR(AF288/AF$247,0)</f>
        <v>0</v>
      </c>
      <c r="AF288" s="777">
        <f>+SUM(AF270:AF287)</f>
        <v>4030.5916374342773</v>
      </c>
      <c r="AG288" s="776" t="s">
        <v>119</v>
      </c>
      <c r="AH288" s="1167">
        <f>IFERROR(AI288/AI$247,0)</f>
        <v>0</v>
      </c>
      <c r="AI288" s="777">
        <f>+SUM(AI270:AI287)</f>
        <v>4241.1298244398222</v>
      </c>
      <c r="AJ288" s="776" t="s">
        <v>119</v>
      </c>
      <c r="AK288" s="1167">
        <f>IFERROR(AL288/AL$247,0)</f>
        <v>0</v>
      </c>
      <c r="AL288" s="777">
        <f>+SUM(AL270:AL287)</f>
        <v>4458.4840181227319</v>
      </c>
      <c r="AM288" s="776" t="s">
        <v>119</v>
      </c>
      <c r="AN288" s="1167">
        <f>IFERROR(AO288/AO$247,0)</f>
        <v>0</v>
      </c>
      <c r="AO288" s="777">
        <f>+SUM(AO270:AO287)</f>
        <v>5136.4807698102795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46"/>
        <v>Carrosserie</v>
      </c>
      <c r="B289" s="770"/>
      <c r="C289" s="770"/>
      <c r="D289" s="771"/>
      <c r="E289" s="768"/>
      <c r="F289" s="770"/>
      <c r="G289" s="771"/>
      <c r="H289" s="768"/>
      <c r="I289" s="770"/>
      <c r="J289" s="771"/>
      <c r="K289" s="768"/>
      <c r="L289" s="770"/>
      <c r="M289" s="771"/>
      <c r="N289" s="768"/>
      <c r="O289" s="770"/>
      <c r="P289" s="771"/>
      <c r="Q289" s="768"/>
      <c r="R289" s="770"/>
      <c r="S289" s="771"/>
      <c r="T289" s="768"/>
      <c r="U289" s="770"/>
      <c r="V289" s="771"/>
      <c r="W289" s="768"/>
      <c r="X289" s="770"/>
      <c r="Y289" s="771"/>
      <c r="Z289" s="768"/>
      <c r="AA289" s="770"/>
      <c r="AB289" s="771"/>
      <c r="AC289" s="768"/>
      <c r="AD289" s="770"/>
      <c r="AE289" s="771"/>
      <c r="AF289" s="768"/>
      <c r="AG289" s="770"/>
      <c r="AH289" s="771"/>
      <c r="AI289" s="768"/>
      <c r="AJ289" s="770"/>
      <c r="AK289" s="771"/>
      <c r="AL289" s="768"/>
      <c r="AM289" s="770"/>
      <c r="AN289" s="771"/>
      <c r="AO289" s="768"/>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46"/>
        <v>CarrosserieTOTAL DES DÉPENSES</v>
      </c>
      <c r="B290" s="1164" t="s">
        <v>144</v>
      </c>
      <c r="C290" s="1155" t="s">
        <v>119</v>
      </c>
      <c r="D290" s="1177">
        <f>IFERROR(E290/E$247,0)</f>
        <v>0</v>
      </c>
      <c r="E290" s="1165">
        <f>E269+E288</f>
        <v>154107.1720820989</v>
      </c>
      <c r="F290" s="1155" t="s">
        <v>119</v>
      </c>
      <c r="G290" s="1177">
        <f>IFERROR(H290/H$247,0)</f>
        <v>0</v>
      </c>
      <c r="H290" s="1165">
        <f>H269+H288</f>
        <v>13338.872648730525</v>
      </c>
      <c r="I290" s="1155" t="s">
        <v>119</v>
      </c>
      <c r="J290" s="1177">
        <f>IFERROR(K290/K$247,0)</f>
        <v>0</v>
      </c>
      <c r="K290" s="1165">
        <f>K269+K288</f>
        <v>12053.479020315837</v>
      </c>
      <c r="L290" s="1155" t="s">
        <v>119</v>
      </c>
      <c r="M290" s="1177">
        <f>IFERROR(N290/N$247,0)</f>
        <v>0</v>
      </c>
      <c r="N290" s="1165">
        <f>N269+N288</f>
        <v>12007.969451100169</v>
      </c>
      <c r="O290" s="1155" t="s">
        <v>119</v>
      </c>
      <c r="P290" s="1177">
        <f>IFERROR(Q290/Q$247,0)</f>
        <v>0</v>
      </c>
      <c r="Q290" s="1165">
        <f>Q269+Q288</f>
        <v>12021.755363206843</v>
      </c>
      <c r="R290" s="1155" t="s">
        <v>119</v>
      </c>
      <c r="S290" s="1177">
        <f>IFERROR(T290/T$247,0)</f>
        <v>0</v>
      </c>
      <c r="T290" s="1165">
        <f>T269+T288</f>
        <v>13687.579665020465</v>
      </c>
      <c r="U290" s="1155" t="s">
        <v>119</v>
      </c>
      <c r="V290" s="1177">
        <f>IFERROR(W290/W$247,0)</f>
        <v>0</v>
      </c>
      <c r="W290" s="1165">
        <f>W269+W288</f>
        <v>12292.767254429567</v>
      </c>
      <c r="X290" s="1155" t="s">
        <v>119</v>
      </c>
      <c r="Y290" s="1177">
        <f>IFERROR(Z290/Z$247,0)</f>
        <v>0</v>
      </c>
      <c r="Z290" s="1165">
        <f>Z269+Z288</f>
        <v>13651.526996906072</v>
      </c>
      <c r="AA290" s="1155" t="s">
        <v>119</v>
      </c>
      <c r="AB290" s="1177">
        <f>IFERROR(AC290/AC$247,0)</f>
        <v>0</v>
      </c>
      <c r="AC290" s="1165">
        <f>AC269+AC288</f>
        <v>11994.378159037402</v>
      </c>
      <c r="AD290" s="1155" t="s">
        <v>119</v>
      </c>
      <c r="AE290" s="1177">
        <f>IFERROR(AF290/AF$247,0)</f>
        <v>0</v>
      </c>
      <c r="AF290" s="1165">
        <f>AF269+AF288</f>
        <v>12003.351031555363</v>
      </c>
      <c r="AG290" s="1155" t="s">
        <v>119</v>
      </c>
      <c r="AH290" s="1177">
        <f>IFERROR(AI290/AI$247,0)</f>
        <v>0</v>
      </c>
      <c r="AI290" s="1165">
        <f>AI269+AI288</f>
        <v>13864.44906709118</v>
      </c>
      <c r="AJ290" s="1155" t="s">
        <v>119</v>
      </c>
      <c r="AK290" s="1177">
        <f>IFERROR(AL290/AL$247,0)</f>
        <v>0</v>
      </c>
      <c r="AL290" s="1165">
        <f>AL269+AL288</f>
        <v>12431.243412243817</v>
      </c>
      <c r="AM290" s="1155" t="s">
        <v>119</v>
      </c>
      <c r="AN290" s="1177">
        <f>IFERROR(AO290/AO$247,0)</f>
        <v>0</v>
      </c>
      <c r="AO290" s="1165">
        <f>AO269+AO288</f>
        <v>14759.800012461637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46"/>
        <v>Carrosserie</v>
      </c>
      <c r="B291" s="744"/>
      <c r="C291" s="744"/>
      <c r="D291" s="751"/>
      <c r="E291" s="752"/>
      <c r="F291" s="744"/>
      <c r="G291" s="751"/>
      <c r="H291" s="752"/>
      <c r="I291" s="744"/>
      <c r="J291" s="751"/>
      <c r="K291" s="752"/>
      <c r="L291" s="744"/>
      <c r="M291" s="751"/>
      <c r="N291" s="752"/>
      <c r="O291" s="744"/>
      <c r="P291" s="751"/>
      <c r="Q291" s="752"/>
      <c r="R291" s="744"/>
      <c r="S291" s="751"/>
      <c r="T291" s="752"/>
      <c r="U291" s="744"/>
      <c r="V291" s="751"/>
      <c r="W291" s="752"/>
      <c r="X291" s="744"/>
      <c r="Y291" s="751"/>
      <c r="Z291" s="752"/>
      <c r="AA291" s="744"/>
      <c r="AB291" s="751"/>
      <c r="AC291" s="752"/>
      <c r="AD291" s="744"/>
      <c r="AE291" s="751"/>
      <c r="AF291" s="752"/>
      <c r="AG291" s="744"/>
      <c r="AH291" s="751"/>
      <c r="AI291" s="752"/>
      <c r="AJ291" s="744"/>
      <c r="AK291" s="751"/>
      <c r="AL291" s="752"/>
      <c r="AM291" s="744"/>
      <c r="AN291" s="751"/>
      <c r="AO291" s="752"/>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46"/>
        <v>CarrosseriePROFIT DÉPARTEMENTAL</v>
      </c>
      <c r="B292" s="1168" t="s">
        <v>151</v>
      </c>
      <c r="C292" s="1168"/>
      <c r="D292" s="1179"/>
      <c r="E292" s="1171">
        <f>E253-E290</f>
        <v>18692.827917901101</v>
      </c>
      <c r="F292" s="1168"/>
      <c r="G292" s="1179"/>
      <c r="H292" s="1171">
        <f>H253-H290</f>
        <v>-6426.8726487305248</v>
      </c>
      <c r="I292" s="1168"/>
      <c r="J292" s="1179"/>
      <c r="K292" s="1171">
        <f>K253-K290</f>
        <v>42.520979684162739</v>
      </c>
      <c r="L292" s="1168"/>
      <c r="M292" s="1179"/>
      <c r="N292" s="1171">
        <f>N253-N290</f>
        <v>5272.030548899831</v>
      </c>
      <c r="O292" s="1168"/>
      <c r="P292" s="1179"/>
      <c r="Q292" s="1171">
        <f>Q253-Q290</f>
        <v>5258.244636793157</v>
      </c>
      <c r="R292" s="1168"/>
      <c r="S292" s="1179"/>
      <c r="T292" s="1171">
        <f>T253-T290</f>
        <v>3592.4203349795353</v>
      </c>
      <c r="U292" s="1168"/>
      <c r="V292" s="1179"/>
      <c r="W292" s="1171">
        <f>W253-W290</f>
        <v>6715.2327455704326</v>
      </c>
      <c r="X292" s="1168"/>
      <c r="Y292" s="1179"/>
      <c r="Z292" s="1171">
        <f>Z253-Z290</f>
        <v>172.47300309392813</v>
      </c>
      <c r="AA292" s="1168"/>
      <c r="AB292" s="1179"/>
      <c r="AC292" s="1171">
        <f>AC253-AC290</f>
        <v>3557.6218409625981</v>
      </c>
      <c r="AD292" s="1168"/>
      <c r="AE292" s="1179"/>
      <c r="AF292" s="1171">
        <f>AF253-AF290</f>
        <v>3548.6489684446369</v>
      </c>
      <c r="AG292" s="1168"/>
      <c r="AH292" s="1179"/>
      <c r="AI292" s="1171">
        <f>AI253-AI290</f>
        <v>1687.55093290882</v>
      </c>
      <c r="AJ292" s="1168"/>
      <c r="AK292" s="1179"/>
      <c r="AL292" s="1171">
        <f>AL253-AL290</f>
        <v>1392.7565877561829</v>
      </c>
      <c r="AM292" s="1168"/>
      <c r="AN292" s="1179"/>
      <c r="AO292" s="1171">
        <f>AO253-AO290</f>
        <v>-6119.8000124616374</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751"/>
      <c r="C293" s="751"/>
      <c r="D293" s="751"/>
      <c r="E293" s="764"/>
      <c r="F293" s="751"/>
      <c r="G293" s="751"/>
      <c r="H293" s="764"/>
      <c r="I293" s="751"/>
      <c r="J293" s="751"/>
      <c r="K293" s="764"/>
      <c r="L293" s="751"/>
      <c r="M293" s="751"/>
      <c r="N293" s="764"/>
      <c r="O293" s="751"/>
      <c r="P293" s="751"/>
      <c r="Q293" s="764"/>
      <c r="R293" s="751"/>
      <c r="S293" s="751"/>
      <c r="T293" s="764"/>
      <c r="U293" s="751"/>
      <c r="V293" s="751"/>
      <c r="W293" s="764"/>
      <c r="X293" s="751"/>
      <c r="Y293" s="751"/>
      <c r="Z293" s="764"/>
      <c r="AA293" s="751"/>
      <c r="AB293" s="751"/>
      <c r="AC293" s="764"/>
      <c r="AD293" s="751"/>
      <c r="AE293" s="751"/>
      <c r="AF293" s="764"/>
      <c r="AG293" s="751"/>
      <c r="AH293" s="751"/>
      <c r="AI293" s="764"/>
      <c r="AJ293" s="751"/>
      <c r="AK293" s="751"/>
      <c r="AL293" s="764"/>
      <c r="AM293" s="751"/>
      <c r="AN293" s="751"/>
      <c r="AO293" s="764"/>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1173" t="str">
        <f>B4</f>
        <v>Budget 2025</v>
      </c>
      <c r="C294" s="784" t="s">
        <v>180</v>
      </c>
      <c r="D294" s="784"/>
      <c r="E294" s="784"/>
      <c r="F294" s="784"/>
      <c r="G294" s="784"/>
      <c r="H294" s="784"/>
      <c r="I294" s="784"/>
      <c r="J294" s="784"/>
      <c r="K294" s="784"/>
      <c r="L294" s="784"/>
      <c r="M294" s="784"/>
      <c r="N294" s="784"/>
      <c r="O294" s="784"/>
      <c r="P294" s="784"/>
      <c r="Q294" s="784"/>
      <c r="R294" s="784"/>
      <c r="S294" s="784"/>
      <c r="T294" s="784"/>
      <c r="U294" s="784"/>
      <c r="V294" s="784"/>
      <c r="W294" s="784"/>
      <c r="X294" s="784"/>
      <c r="Y294" s="784"/>
      <c r="Z294" s="784"/>
      <c r="AA294" s="784"/>
      <c r="AB294" s="784"/>
      <c r="AC294" s="784"/>
      <c r="AD294" s="784"/>
      <c r="AE294" s="784"/>
      <c r="AF294" s="784"/>
      <c r="AG294" s="784"/>
      <c r="AH294" s="784"/>
      <c r="AI294" s="784"/>
      <c r="AJ294" s="784"/>
      <c r="AK294" s="784"/>
      <c r="AL294" s="784"/>
      <c r="AM294" s="784"/>
      <c r="AN294" s="784"/>
      <c r="AO294" s="784"/>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1174"/>
      <c r="C295" s="783"/>
      <c r="D295" s="783"/>
      <c r="E295" s="783"/>
      <c r="F295" s="783"/>
      <c r="G295" s="783"/>
      <c r="H295" s="783"/>
      <c r="I295" s="783"/>
      <c r="J295" s="783"/>
      <c r="K295" s="783"/>
      <c r="L295" s="783"/>
      <c r="M295" s="783"/>
      <c r="N295" s="783"/>
      <c r="O295" s="783"/>
      <c r="P295" s="783"/>
      <c r="Q295" s="783"/>
      <c r="R295" s="783"/>
      <c r="S295" s="783"/>
      <c r="T295" s="783"/>
      <c r="U295" s="783"/>
      <c r="V295" s="783"/>
      <c r="W295" s="783"/>
      <c r="X295" s="783"/>
      <c r="Y295" s="783"/>
      <c r="Z295" s="783"/>
      <c r="AA295" s="783"/>
      <c r="AB295" s="783"/>
      <c r="AC295" s="783"/>
      <c r="AD295" s="783"/>
      <c r="AE295" s="783"/>
      <c r="AF295" s="783"/>
      <c r="AG295" s="783"/>
      <c r="AH295" s="783"/>
      <c r="AI295" s="783"/>
      <c r="AJ295" s="783"/>
      <c r="AK295" s="783"/>
      <c r="AL295" s="783"/>
      <c r="AM295" s="783"/>
      <c r="AN295" s="783"/>
      <c r="AO295" s="783"/>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912" t="s">
        <v>3</v>
      </c>
      <c r="C296" s="1287">
        <v>2022</v>
      </c>
      <c r="D296" s="1288"/>
      <c r="E296" s="1289"/>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47">+$C$294&amp;B297</f>
        <v>Pièces</v>
      </c>
      <c r="B297" s="744"/>
      <c r="C297" s="785" t="s">
        <v>163</v>
      </c>
      <c r="D297" s="762" t="s">
        <v>181</v>
      </c>
      <c r="E297" s="786" t="s">
        <v>95</v>
      </c>
      <c r="F297" s="785" t="s">
        <v>163</v>
      </c>
      <c r="G297" s="762" t="s">
        <v>181</v>
      </c>
      <c r="H297" s="786" t="s">
        <v>95</v>
      </c>
      <c r="I297" s="785" t="s">
        <v>163</v>
      </c>
      <c r="J297" s="762" t="s">
        <v>181</v>
      </c>
      <c r="K297" s="786" t="s">
        <v>95</v>
      </c>
      <c r="L297" s="785" t="s">
        <v>163</v>
      </c>
      <c r="M297" s="762" t="s">
        <v>181</v>
      </c>
      <c r="N297" s="786" t="s">
        <v>95</v>
      </c>
      <c r="O297" s="785" t="s">
        <v>163</v>
      </c>
      <c r="P297" s="762" t="s">
        <v>181</v>
      </c>
      <c r="Q297" s="786" t="s">
        <v>95</v>
      </c>
      <c r="R297" s="785" t="s">
        <v>163</v>
      </c>
      <c r="S297" s="762" t="s">
        <v>181</v>
      </c>
      <c r="T297" s="786" t="s">
        <v>95</v>
      </c>
      <c r="U297" s="785" t="s">
        <v>163</v>
      </c>
      <c r="V297" s="762" t="s">
        <v>181</v>
      </c>
      <c r="W297" s="786" t="s">
        <v>95</v>
      </c>
      <c r="X297" s="785" t="s">
        <v>163</v>
      </c>
      <c r="Y297" s="762" t="s">
        <v>181</v>
      </c>
      <c r="Z297" s="786" t="s">
        <v>95</v>
      </c>
      <c r="AA297" s="785" t="s">
        <v>163</v>
      </c>
      <c r="AB297" s="762" t="s">
        <v>181</v>
      </c>
      <c r="AC297" s="786" t="s">
        <v>95</v>
      </c>
      <c r="AD297" s="785" t="s">
        <v>163</v>
      </c>
      <c r="AE297" s="762" t="s">
        <v>181</v>
      </c>
      <c r="AF297" s="786" t="s">
        <v>95</v>
      </c>
      <c r="AG297" s="785" t="s">
        <v>163</v>
      </c>
      <c r="AH297" s="762" t="s">
        <v>181</v>
      </c>
      <c r="AI297" s="786" t="s">
        <v>95</v>
      </c>
      <c r="AJ297" s="785" t="s">
        <v>163</v>
      </c>
      <c r="AK297" s="762" t="s">
        <v>181</v>
      </c>
      <c r="AL297" s="786" t="s">
        <v>95</v>
      </c>
      <c r="AM297" s="785" t="s">
        <v>163</v>
      </c>
      <c r="AN297" s="762" t="s">
        <v>181</v>
      </c>
      <c r="AO297" s="786"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7"/>
        <v>PiècesPièces Ro Clients</v>
      </c>
      <c r="B298" s="744" t="s">
        <v>182</v>
      </c>
      <c r="C298" s="797">
        <f t="shared" ref="C298:C306" si="48">+SUM(F298,I298,L298,O298,R298,U298,X298,AA298,AD298,AG298,AJ298,AM298)</f>
        <v>1190955.4873859996</v>
      </c>
      <c r="D298" s="795">
        <f>IF(C298&lt;=0,0,E298/C298)</f>
        <v>0.35000000000000003</v>
      </c>
      <c r="E298" s="752">
        <f t="shared" ref="E298:E306" si="49">+SUM(H298,K298,N298,Q298,T298,W298,Z298,AC298,AF298,AI298,AL298,AO298)</f>
        <v>416834.4205850999</v>
      </c>
      <c r="F298" s="798">
        <f>'[1]Bud men fixes'!$E$40</f>
        <v>74011.26653147045</v>
      </c>
      <c r="G298" s="795">
        <f t="shared" ref="G298:G307" si="50">IF(F298&lt;=0,0,H298/F298)</f>
        <v>0.35</v>
      </c>
      <c r="H298" s="765">
        <f>'[1]Bud men fixes'!$E$39</f>
        <v>25903.943286014655</v>
      </c>
      <c r="I298" s="798">
        <f>'[1]Bud men fixes'!$F$40</f>
        <v>66847.808400036345</v>
      </c>
      <c r="J298" s="795">
        <f t="shared" ref="J298:J307" si="51">IF(I298&lt;=0,0,K298/I298)</f>
        <v>0.35</v>
      </c>
      <c r="K298" s="765">
        <f>'[1]Bud men fixes'!$F$39</f>
        <v>23396.73294001272</v>
      </c>
      <c r="L298" s="798">
        <f>'[1]Bud men fixes'!$G$40</f>
        <v>84563.812897634314</v>
      </c>
      <c r="M298" s="795">
        <f t="shared" ref="M298:M307" si="52">IF(L298&lt;=0,0,N298/L298)</f>
        <v>0.35</v>
      </c>
      <c r="N298" s="765">
        <f>'[1]Bud men fixes'!$G$39</f>
        <v>29597.334514172009</v>
      </c>
      <c r="O298" s="798">
        <f>'[1]Bud men fixes'!$H$40</f>
        <v>87853.013702772441</v>
      </c>
      <c r="P298" s="795">
        <f t="shared" ref="P298:P307" si="53">IF(O298&lt;=0,0,Q298/O298)</f>
        <v>0.35</v>
      </c>
      <c r="Q298" s="765">
        <f>'[1]Bud men fixes'!$H$39</f>
        <v>30748.554795970351</v>
      </c>
      <c r="R298" s="798">
        <f>'[1]Bud men fixes'!$I$40</f>
        <v>130234.83516829726</v>
      </c>
      <c r="S298" s="795">
        <f t="shared" ref="S298:S307" si="54">IF(R298&lt;=0,0,T298/R298)</f>
        <v>0.35</v>
      </c>
      <c r="T298" s="765">
        <f>'[1]Bud men fixes'!$I$39</f>
        <v>45582.192308904036</v>
      </c>
      <c r="U298" s="798">
        <f>'[1]Bud men fixes'!$J$40</f>
        <v>95130.384553569646</v>
      </c>
      <c r="V298" s="795">
        <f t="shared" ref="V298:V307" si="55">IF(U298&lt;=0,0,W298/U298)</f>
        <v>0.35</v>
      </c>
      <c r="W298" s="765">
        <f>'[1]Bud men fixes'!$J$39</f>
        <v>33295.634593749375</v>
      </c>
      <c r="X298" s="798">
        <f>'[1]Bud men fixes'!$K$40</f>
        <v>96068.004417132979</v>
      </c>
      <c r="Y298" s="795">
        <f t="shared" ref="Y298:Y307" si="56">IF(X298&lt;=0,0,Z298/X298)</f>
        <v>0.35</v>
      </c>
      <c r="Z298" s="765">
        <f>'[1]Bud men fixes'!$K$39</f>
        <v>33623.801545996539</v>
      </c>
      <c r="AA298" s="798">
        <f>'[1]Bud men fixes'!$L$40</f>
        <v>95776.17686930018</v>
      </c>
      <c r="AB298" s="795">
        <f t="shared" ref="AB298:AB307" si="57">IF(AA298&lt;=0,0,AC298/AA298)</f>
        <v>0.35</v>
      </c>
      <c r="AC298" s="765">
        <f>'[1]Bud men fixes'!$L$39</f>
        <v>33521.661904255059</v>
      </c>
      <c r="AD298" s="798">
        <f>'[1]Bud men fixes'!$M$40</f>
        <v>95204.295954741217</v>
      </c>
      <c r="AE298" s="795">
        <f t="shared" ref="AE298:AE307" si="58">IF(AD298&lt;=0,0,AF298/AD298)</f>
        <v>0.35</v>
      </c>
      <c r="AF298" s="765">
        <f>'[1]Bud men fixes'!$M$39</f>
        <v>33321.503584159422</v>
      </c>
      <c r="AG298" s="798">
        <f>'[1]Bud men fixes'!$N$40</f>
        <v>125494.22101647407</v>
      </c>
      <c r="AH298" s="795">
        <f t="shared" ref="AH298:AH307" si="59">IF(AG298&lt;=0,0,AI298/AG298)</f>
        <v>0.35</v>
      </c>
      <c r="AI298" s="765">
        <f>'[1]Bud men fixes'!$N$39</f>
        <v>43922.977355765921</v>
      </c>
      <c r="AJ298" s="798">
        <f>'[1]Bud men fixes'!$O$40</f>
        <v>143887.75404804241</v>
      </c>
      <c r="AK298" s="795">
        <f t="shared" ref="AK298:AK307" si="60">IF(AJ298&lt;=0,0,AL298/AJ298)</f>
        <v>0.35</v>
      </c>
      <c r="AL298" s="765">
        <f>'[1]Bud men fixes'!$O$39</f>
        <v>50360.713916814842</v>
      </c>
      <c r="AM298" s="798">
        <f>'[1]Bud men fixes'!$P$40</f>
        <v>95883.913826528486</v>
      </c>
      <c r="AN298" s="795">
        <f t="shared" ref="AN298:AN307" si="61">IF(AM298&lt;=0,0,AO298/AM298)</f>
        <v>0.35</v>
      </c>
      <c r="AO298" s="765">
        <f>'[1]Bud men fixes'!$P$39</f>
        <v>33559.369839284969</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7"/>
        <v>PiècesPièces Ro Carrosserie</v>
      </c>
      <c r="B299" s="744" t="s">
        <v>183</v>
      </c>
      <c r="C299" s="797">
        <f t="shared" si="48"/>
        <v>600000</v>
      </c>
      <c r="D299" s="795">
        <f t="shared" ref="D299:D304" si="62">IF(C299&lt;=0,0,E299/C299)</f>
        <v>0.23400000000000001</v>
      </c>
      <c r="E299" s="752">
        <f t="shared" si="49"/>
        <v>140400</v>
      </c>
      <c r="F299" s="798">
        <f>'[1]Bud men fixes'!$E$43</f>
        <v>24000</v>
      </c>
      <c r="G299" s="795">
        <f t="shared" si="50"/>
        <v>0.23400000000000001</v>
      </c>
      <c r="H299" s="765">
        <f>'[1]Bud men fixes'!$E$42</f>
        <v>5616</v>
      </c>
      <c r="I299" s="798">
        <f>'[1]Bud men fixes'!$F$43</f>
        <v>42000.000000000007</v>
      </c>
      <c r="J299" s="795">
        <f t="shared" si="51"/>
        <v>0.23400000000000001</v>
      </c>
      <c r="K299" s="765">
        <f>'[1]Bud men fixes'!$F$42</f>
        <v>9828.0000000000018</v>
      </c>
      <c r="L299" s="798">
        <f>'[1]Bud men fixes'!$G$43</f>
        <v>60000</v>
      </c>
      <c r="M299" s="795">
        <f t="shared" si="52"/>
        <v>0.23400000000000001</v>
      </c>
      <c r="N299" s="765">
        <f>'[1]Bud men fixes'!$G$42</f>
        <v>14040</v>
      </c>
      <c r="O299" s="798">
        <f>'[1]Bud men fixes'!$H$43</f>
        <v>60000</v>
      </c>
      <c r="P299" s="795">
        <f t="shared" si="53"/>
        <v>0.23400000000000001</v>
      </c>
      <c r="Q299" s="765">
        <f>'[1]Bud men fixes'!$H$42</f>
        <v>14040</v>
      </c>
      <c r="R299" s="798">
        <f>'[1]Bud men fixes'!$I$43</f>
        <v>60000</v>
      </c>
      <c r="S299" s="795">
        <f t="shared" si="54"/>
        <v>0.23400000000000001</v>
      </c>
      <c r="T299" s="765">
        <f>'[1]Bud men fixes'!$I$42</f>
        <v>14040</v>
      </c>
      <c r="U299" s="798">
        <f>'[1]Bud men fixes'!$J$43</f>
        <v>66000</v>
      </c>
      <c r="V299" s="795">
        <f t="shared" si="55"/>
        <v>0.23400000000000001</v>
      </c>
      <c r="W299" s="765">
        <f>'[1]Bud men fixes'!$J$42</f>
        <v>15444</v>
      </c>
      <c r="X299" s="798">
        <f>'[1]Bud men fixes'!$K$43</f>
        <v>48000</v>
      </c>
      <c r="Y299" s="795">
        <f t="shared" si="56"/>
        <v>0.23400000000000001</v>
      </c>
      <c r="Z299" s="765">
        <f>'[1]Bud men fixes'!$K$42</f>
        <v>11232</v>
      </c>
      <c r="AA299" s="798">
        <f>'[1]Bud men fixes'!$L$43</f>
        <v>54000</v>
      </c>
      <c r="AB299" s="795">
        <f t="shared" si="57"/>
        <v>0.23400000000000001</v>
      </c>
      <c r="AC299" s="765">
        <f>'[1]Bud men fixes'!$L$42</f>
        <v>12636</v>
      </c>
      <c r="AD299" s="798">
        <f>'[1]Bud men fixes'!$M$43</f>
        <v>54000</v>
      </c>
      <c r="AE299" s="795">
        <f t="shared" si="58"/>
        <v>0.23400000000000001</v>
      </c>
      <c r="AF299" s="765">
        <f>'[1]Bud men fixes'!$M$42</f>
        <v>12636</v>
      </c>
      <c r="AG299" s="798">
        <f>'[1]Bud men fixes'!$N$43</f>
        <v>54000</v>
      </c>
      <c r="AH299" s="795">
        <f t="shared" si="59"/>
        <v>0.23400000000000001</v>
      </c>
      <c r="AI299" s="765">
        <f>'[1]Bud men fixes'!$N$42</f>
        <v>12636</v>
      </c>
      <c r="AJ299" s="798">
        <f>'[1]Bud men fixes'!$O$43</f>
        <v>48000</v>
      </c>
      <c r="AK299" s="795">
        <f t="shared" si="60"/>
        <v>0.23400000000000001</v>
      </c>
      <c r="AL299" s="765">
        <f>'[1]Bud men fixes'!$O$42</f>
        <v>11232</v>
      </c>
      <c r="AM299" s="798">
        <f>'[1]Bud men fixes'!$P$43</f>
        <v>30000</v>
      </c>
      <c r="AN299" s="795">
        <f t="shared" si="61"/>
        <v>0.23400000000000001</v>
      </c>
      <c r="AO299" s="765">
        <f>'[1]Bud men fixes'!$P$42</f>
        <v>7020</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7"/>
        <v>PiècesP/A Garantie</v>
      </c>
      <c r="B300" s="744" t="s">
        <v>184</v>
      </c>
      <c r="C300" s="797">
        <f t="shared" si="48"/>
        <v>699999.99999999988</v>
      </c>
      <c r="D300" s="795">
        <f t="shared" si="62"/>
        <v>0.23299999999999998</v>
      </c>
      <c r="E300" s="752">
        <f t="shared" si="49"/>
        <v>163099.99999999997</v>
      </c>
      <c r="F300" s="798">
        <f>'[1]Bud men fixes'!$E$46</f>
        <v>68024.574376139877</v>
      </c>
      <c r="G300" s="795">
        <f t="shared" si="50"/>
        <v>0.23300000000000001</v>
      </c>
      <c r="H300" s="765">
        <f>'[1]Bud men fixes'!$E$45</f>
        <v>15849.725829640593</v>
      </c>
      <c r="I300" s="798">
        <f>'[1]Bud men fixes'!$F$46</f>
        <v>59281.819703000736</v>
      </c>
      <c r="J300" s="795">
        <f t="shared" si="51"/>
        <v>0.23300000000000001</v>
      </c>
      <c r="K300" s="765">
        <f>'[1]Bud men fixes'!$F$45</f>
        <v>13812.663990799172</v>
      </c>
      <c r="L300" s="798">
        <f>'[1]Bud men fixes'!$G$46</f>
        <v>99102.372013531742</v>
      </c>
      <c r="M300" s="795">
        <f t="shared" si="52"/>
        <v>0.23300000000000001</v>
      </c>
      <c r="N300" s="765">
        <f>'[1]Bud men fixes'!$G$45</f>
        <v>23090.852679152897</v>
      </c>
      <c r="O300" s="798">
        <f>'[1]Bud men fixes'!$H$46</f>
        <v>35970.34032981941</v>
      </c>
      <c r="P300" s="795">
        <f t="shared" si="53"/>
        <v>0.23300000000000004</v>
      </c>
      <c r="Q300" s="765">
        <f>'[1]Bud men fixes'!$H$45</f>
        <v>8381.0892968479238</v>
      </c>
      <c r="R300" s="798">
        <f>'[1]Bud men fixes'!$I$46</f>
        <v>62454.094134900406</v>
      </c>
      <c r="S300" s="795">
        <f t="shared" si="54"/>
        <v>0.23300000000000001</v>
      </c>
      <c r="T300" s="765">
        <f>'[1]Bud men fixes'!$I$45</f>
        <v>14551.803933431795</v>
      </c>
      <c r="U300" s="798">
        <f>'[1]Bud men fixes'!$J$46</f>
        <v>53728.038902494198</v>
      </c>
      <c r="V300" s="795">
        <f t="shared" si="55"/>
        <v>0.23300000000000001</v>
      </c>
      <c r="W300" s="765">
        <f>'[1]Bud men fixes'!$J$45</f>
        <v>12518.633064281148</v>
      </c>
      <c r="X300" s="798">
        <f>'[1]Bud men fixes'!$K$46</f>
        <v>69585.891939010864</v>
      </c>
      <c r="Y300" s="795">
        <f t="shared" si="56"/>
        <v>0.23300000000000001</v>
      </c>
      <c r="Z300" s="765">
        <f>'[1]Bud men fixes'!$K$45</f>
        <v>16213.512821789533</v>
      </c>
      <c r="AA300" s="798">
        <f>'[1]Bud men fixes'!$L$46</f>
        <v>74077.451332687619</v>
      </c>
      <c r="AB300" s="795">
        <f t="shared" si="57"/>
        <v>0.23300000000000001</v>
      </c>
      <c r="AC300" s="765">
        <f>'[1]Bud men fixes'!$L$45</f>
        <v>17260.046160516216</v>
      </c>
      <c r="AD300" s="798">
        <f>'[1]Bud men fixes'!$M$46</f>
        <v>71141.76688310894</v>
      </c>
      <c r="AE300" s="795">
        <f t="shared" si="58"/>
        <v>0.23300000000000001</v>
      </c>
      <c r="AF300" s="765">
        <f>'[1]Bud men fixes'!$M$45</f>
        <v>16576.031683764384</v>
      </c>
      <c r="AG300" s="798">
        <f>'[1]Bud men fixes'!$N$46</f>
        <v>69658.074032964229</v>
      </c>
      <c r="AH300" s="795">
        <f t="shared" si="59"/>
        <v>0.23300000000000001</v>
      </c>
      <c r="AI300" s="765">
        <f>'[1]Bud men fixes'!$N$45</f>
        <v>16230.331249680667</v>
      </c>
      <c r="AJ300" s="798">
        <f>'[1]Bud men fixes'!$O$46</f>
        <v>12978.714991618726</v>
      </c>
      <c r="AK300" s="795">
        <f t="shared" si="60"/>
        <v>0.23300000000000001</v>
      </c>
      <c r="AL300" s="765">
        <f>'[1]Bud men fixes'!$O$45</f>
        <v>3024.0405930471634</v>
      </c>
      <c r="AM300" s="798">
        <f>'[1]Bud men fixes'!$P$46</f>
        <v>23996.861360723124</v>
      </c>
      <c r="AN300" s="795">
        <f t="shared" si="61"/>
        <v>0.23300000000000001</v>
      </c>
      <c r="AO300" s="765">
        <f>'[1]Bud men fixes'!$P$45</f>
        <v>5591.2686970484883</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7"/>
        <v>PiècesVentes Internes</v>
      </c>
      <c r="B301" s="744" t="s">
        <v>185</v>
      </c>
      <c r="C301" s="797">
        <f t="shared" si="48"/>
        <v>847898.83640000003</v>
      </c>
      <c r="D301" s="795">
        <f t="shared" si="62"/>
        <v>0.28499999999999998</v>
      </c>
      <c r="E301" s="752">
        <f t="shared" si="49"/>
        <v>241651.168374</v>
      </c>
      <c r="F301" s="798">
        <f>'[1]Bud men fixes'!$E$49</f>
        <v>89507.055367521229</v>
      </c>
      <c r="G301" s="795">
        <f t="shared" si="50"/>
        <v>0.28499999999999998</v>
      </c>
      <c r="H301" s="765">
        <f>'[1]Bud men fixes'!$E$48</f>
        <v>25509.510779743548</v>
      </c>
      <c r="I301" s="798">
        <f>'[1]Bud men fixes'!$F$49</f>
        <v>70653.654628670047</v>
      </c>
      <c r="J301" s="795">
        <f t="shared" si="51"/>
        <v>0.28499999999999998</v>
      </c>
      <c r="K301" s="765">
        <f>'[1]Bud men fixes'!$F$48</f>
        <v>20136.29156917096</v>
      </c>
      <c r="L301" s="798">
        <f>'[1]Bud men fixes'!$G$49</f>
        <v>52781.755248144254</v>
      </c>
      <c r="M301" s="795">
        <f t="shared" si="52"/>
        <v>0.28499999999999998</v>
      </c>
      <c r="N301" s="765">
        <f>'[1]Bud men fixes'!$G$48</f>
        <v>15042.800245721111</v>
      </c>
      <c r="O301" s="798">
        <f>'[1]Bud men fixes'!$H$49</f>
        <v>57527.126877117953</v>
      </c>
      <c r="P301" s="795">
        <f t="shared" si="53"/>
        <v>0.28499999999999998</v>
      </c>
      <c r="Q301" s="765">
        <f>'[1]Bud men fixes'!$H$48</f>
        <v>16395.231159978615</v>
      </c>
      <c r="R301" s="798">
        <f>'[1]Bud men fixes'!$I$49</f>
        <v>63246.978569541316</v>
      </c>
      <c r="S301" s="795">
        <f t="shared" si="54"/>
        <v>0.28499999999999998</v>
      </c>
      <c r="T301" s="765">
        <f>'[1]Bud men fixes'!$I$48</f>
        <v>18025.388892319272</v>
      </c>
      <c r="U301" s="798">
        <f>'[1]Bud men fixes'!$J$49</f>
        <v>73710.71083941168</v>
      </c>
      <c r="V301" s="795">
        <f t="shared" si="55"/>
        <v>0.28499999999999998</v>
      </c>
      <c r="W301" s="765">
        <f>'[1]Bud men fixes'!$J$48</f>
        <v>21007.552589232328</v>
      </c>
      <c r="X301" s="798">
        <f>'[1]Bud men fixes'!$K$49</f>
        <v>81982.141147775255</v>
      </c>
      <c r="Y301" s="795">
        <f t="shared" si="56"/>
        <v>0.28499999999999998</v>
      </c>
      <c r="Z301" s="765">
        <f>'[1]Bud men fixes'!$K$48</f>
        <v>23364.910227115946</v>
      </c>
      <c r="AA301" s="798">
        <f>'[1]Bud men fixes'!$L$49</f>
        <v>78463.348562765474</v>
      </c>
      <c r="AB301" s="795">
        <f t="shared" si="57"/>
        <v>0.28499999999999998</v>
      </c>
      <c r="AC301" s="765">
        <f>'[1]Bud men fixes'!$L$48</f>
        <v>22362.054340388157</v>
      </c>
      <c r="AD301" s="798">
        <f>'[1]Bud men fixes'!$M$49</f>
        <v>91249.58274872406</v>
      </c>
      <c r="AE301" s="795">
        <f t="shared" si="58"/>
        <v>0.28499999999999998</v>
      </c>
      <c r="AF301" s="765">
        <f>'[1]Bud men fixes'!$M$48</f>
        <v>26006.131083386354</v>
      </c>
      <c r="AG301" s="798">
        <f>'[1]Bud men fixes'!$N$49</f>
        <v>53153.750349555434</v>
      </c>
      <c r="AH301" s="795">
        <f t="shared" si="59"/>
        <v>0.28499999999999998</v>
      </c>
      <c r="AI301" s="765">
        <f>'[1]Bud men fixes'!$N$48</f>
        <v>15148.818849623298</v>
      </c>
      <c r="AJ301" s="798">
        <f>'[1]Bud men fixes'!$O$49</f>
        <v>79066.078324308342</v>
      </c>
      <c r="AK301" s="795">
        <f t="shared" si="60"/>
        <v>0.28499999999999998</v>
      </c>
      <c r="AL301" s="765">
        <f>'[1]Bud men fixes'!$O$48</f>
        <v>22533.832322427876</v>
      </c>
      <c r="AM301" s="798">
        <f>'[1]Bud men fixes'!$P$49</f>
        <v>56556.653736465036</v>
      </c>
      <c r="AN301" s="795">
        <f t="shared" si="61"/>
        <v>0.28499999999999998</v>
      </c>
      <c r="AO301" s="765">
        <f>'[1]Bud men fixes'!$P$48</f>
        <v>16118.646314892534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7"/>
        <v>PiècesVentes Détails</v>
      </c>
      <c r="B302" s="744" t="s">
        <v>186</v>
      </c>
      <c r="C302" s="797">
        <f t="shared" si="48"/>
        <v>240194.59590000004</v>
      </c>
      <c r="D302" s="795">
        <f t="shared" si="62"/>
        <v>0.28499999999999992</v>
      </c>
      <c r="E302" s="752">
        <f t="shared" si="49"/>
        <v>68455.459831499989</v>
      </c>
      <c r="F302" s="798">
        <f>'[1]Bud men fixes'!$E$52</f>
        <v>12391.363940930109</v>
      </c>
      <c r="G302" s="795">
        <f t="shared" si="50"/>
        <v>0.28499999999999998</v>
      </c>
      <c r="H302" s="765">
        <f>'[1]Bud men fixes'!$E$51</f>
        <v>3531.5387231650807</v>
      </c>
      <c r="I302" s="798">
        <f>'[1]Bud men fixes'!$F$52</f>
        <v>20512.474226859587</v>
      </c>
      <c r="J302" s="795">
        <f t="shared" si="51"/>
        <v>0.28499999999999998</v>
      </c>
      <c r="K302" s="765">
        <f>'[1]Bud men fixes'!$F$51</f>
        <v>5846.0551546549823</v>
      </c>
      <c r="L302" s="798">
        <f>'[1]Bud men fixes'!$G$52</f>
        <v>14520.602905241512</v>
      </c>
      <c r="M302" s="795">
        <f t="shared" si="52"/>
        <v>0.28499999999999992</v>
      </c>
      <c r="N302" s="765">
        <f>'[1]Bud men fixes'!$G$51</f>
        <v>4138.3718279938303</v>
      </c>
      <c r="O302" s="798">
        <f>'[1]Bud men fixes'!$H$52</f>
        <v>20488.566914240866</v>
      </c>
      <c r="P302" s="795">
        <f t="shared" si="53"/>
        <v>0.28499999999999998</v>
      </c>
      <c r="Q302" s="765">
        <f>'[1]Bud men fixes'!$H$51</f>
        <v>5839.2415705586463</v>
      </c>
      <c r="R302" s="798">
        <f>'[1]Bud men fixes'!$I$52</f>
        <v>24265.544880870733</v>
      </c>
      <c r="S302" s="795">
        <f t="shared" si="54"/>
        <v>0.28499999999999998</v>
      </c>
      <c r="T302" s="765">
        <f>'[1]Bud men fixes'!$I$51</f>
        <v>6915.6802910481583</v>
      </c>
      <c r="U302" s="798">
        <f>'[1]Bud men fixes'!$J$52</f>
        <v>19593.493089571763</v>
      </c>
      <c r="V302" s="795">
        <f t="shared" si="55"/>
        <v>0.28499999999999998</v>
      </c>
      <c r="W302" s="765">
        <f>'[1]Bud men fixes'!$J$51</f>
        <v>5584.1455305279515</v>
      </c>
      <c r="X302" s="798">
        <f>'[1]Bud men fixes'!$K$52</f>
        <v>16976.693761963077</v>
      </c>
      <c r="Y302" s="795">
        <f t="shared" si="56"/>
        <v>0.28499999999999998</v>
      </c>
      <c r="Z302" s="765">
        <f>'[1]Bud men fixes'!$K$51</f>
        <v>4838.3577221594769</v>
      </c>
      <c r="AA302" s="798">
        <f>'[1]Bud men fixes'!$L$52</f>
        <v>16018.10434355277</v>
      </c>
      <c r="AB302" s="795">
        <f t="shared" si="57"/>
        <v>0.28499999999999998</v>
      </c>
      <c r="AC302" s="765">
        <f>'[1]Bud men fixes'!$L$51</f>
        <v>4565.1597379125387</v>
      </c>
      <c r="AD302" s="798">
        <f>'[1]Bud men fixes'!$M$52</f>
        <v>27584.326314722384</v>
      </c>
      <c r="AE302" s="795">
        <f t="shared" si="58"/>
        <v>0.28499999999999998</v>
      </c>
      <c r="AF302" s="765">
        <f>'[1]Bud men fixes'!$M$51</f>
        <v>7861.532999695879</v>
      </c>
      <c r="AG302" s="798">
        <f>'[1]Bud men fixes'!$N$52</f>
        <v>22918.841755441816</v>
      </c>
      <c r="AH302" s="795">
        <f t="shared" si="59"/>
        <v>0.28499999999999998</v>
      </c>
      <c r="AI302" s="765">
        <f>'[1]Bud men fixes'!$N$51</f>
        <v>6531.8699003009169</v>
      </c>
      <c r="AJ302" s="798">
        <f>'[1]Bud men fixes'!$O$52</f>
        <v>30309.759953256169</v>
      </c>
      <c r="AK302" s="795">
        <f t="shared" si="60"/>
        <v>0.28499999999999998</v>
      </c>
      <c r="AL302" s="765">
        <f>'[1]Bud men fixes'!$O$51</f>
        <v>8638.2815866780074</v>
      </c>
      <c r="AM302" s="798">
        <f>'[1]Bud men fixes'!$P$52</f>
        <v>14614.823813349216</v>
      </c>
      <c r="AN302" s="795">
        <f t="shared" si="61"/>
        <v>0.28499999999999998</v>
      </c>
      <c r="AO302" s="765">
        <f>'[1]Bud men fixes'!$P$51</f>
        <v>4165.224786804526</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7"/>
        <v>PiècesVentes de Gros</v>
      </c>
      <c r="B303" s="744" t="s">
        <v>187</v>
      </c>
      <c r="C303" s="797">
        <f t="shared" si="48"/>
        <v>1995000.0000000009</v>
      </c>
      <c r="D303" s="795">
        <f t="shared" si="62"/>
        <v>0.13499999999999995</v>
      </c>
      <c r="E303" s="752">
        <f t="shared" si="49"/>
        <v>269325.00000000006</v>
      </c>
      <c r="F303" s="798">
        <f>'[1]Bud men fixes'!$E$55</f>
        <v>168485.73491354403</v>
      </c>
      <c r="G303" s="795">
        <f t="shared" si="50"/>
        <v>0.13500000000000001</v>
      </c>
      <c r="H303" s="765">
        <f>'[1]Bud men fixes'!$E$54</f>
        <v>22745.574213328444</v>
      </c>
      <c r="I303" s="798">
        <f>'[1]Bud men fixes'!$F$55</f>
        <v>169290.82542283507</v>
      </c>
      <c r="J303" s="795">
        <f t="shared" si="51"/>
        <v>0.13500000000000001</v>
      </c>
      <c r="K303" s="765">
        <f>'[1]Bud men fixes'!$F$54</f>
        <v>22854.261432082734</v>
      </c>
      <c r="L303" s="798">
        <f>'[1]Bud men fixes'!$G$55</f>
        <v>186966.86885141459</v>
      </c>
      <c r="M303" s="795">
        <f t="shared" si="52"/>
        <v>0.13500000000000001</v>
      </c>
      <c r="N303" s="765">
        <f>'[1]Bud men fixes'!$G$54</f>
        <v>25240.52729494097</v>
      </c>
      <c r="O303" s="798">
        <f>'[1]Bud men fixes'!$H$55</f>
        <v>157937.65595679815</v>
      </c>
      <c r="P303" s="795">
        <f t="shared" si="53"/>
        <v>0.13500000000000001</v>
      </c>
      <c r="Q303" s="765">
        <f>'[1]Bud men fixes'!$H$54</f>
        <v>21321.583554167752</v>
      </c>
      <c r="R303" s="798">
        <f>'[1]Bud men fixes'!$I$55</f>
        <v>167213.33183495706</v>
      </c>
      <c r="S303" s="795">
        <f t="shared" si="54"/>
        <v>0.13500000000000001</v>
      </c>
      <c r="T303" s="765">
        <f>'[1]Bud men fixes'!$I$54</f>
        <v>22573.799797719206</v>
      </c>
      <c r="U303" s="798">
        <f>'[1]Bud men fixes'!$J$55</f>
        <v>139799.21392875223</v>
      </c>
      <c r="V303" s="795">
        <f t="shared" si="55"/>
        <v>0.13500000000000001</v>
      </c>
      <c r="W303" s="765">
        <f>'[1]Bud men fixes'!$J$54</f>
        <v>18872.893880381551</v>
      </c>
      <c r="X303" s="798">
        <f>'[1]Bud men fixes'!$K$55</f>
        <v>158824.7935810585</v>
      </c>
      <c r="Y303" s="795">
        <f t="shared" si="56"/>
        <v>0.13500000000000001</v>
      </c>
      <c r="Z303" s="765">
        <f>'[1]Bud men fixes'!$K$54</f>
        <v>21441.347133442898</v>
      </c>
      <c r="AA303" s="798">
        <f>'[1]Bud men fixes'!$L$55</f>
        <v>169896.08683666837</v>
      </c>
      <c r="AB303" s="795">
        <f t="shared" si="57"/>
        <v>0.13500000000000001</v>
      </c>
      <c r="AC303" s="765">
        <f>'[1]Bud men fixes'!$L$54</f>
        <v>22935.971722950231</v>
      </c>
      <c r="AD303" s="798">
        <f>'[1]Bud men fixes'!$M$55</f>
        <v>164507.41219210852</v>
      </c>
      <c r="AE303" s="795">
        <f t="shared" si="58"/>
        <v>0.13500000000000001</v>
      </c>
      <c r="AF303" s="765">
        <f>'[1]Bud men fixes'!$M$54</f>
        <v>22208.500645934651</v>
      </c>
      <c r="AG303" s="798">
        <f>'[1]Bud men fixes'!$N$55</f>
        <v>194290.23388437086</v>
      </c>
      <c r="AH303" s="795">
        <f t="shared" si="59"/>
        <v>0.13500000000000001</v>
      </c>
      <c r="AI303" s="765">
        <f>'[1]Bud men fixes'!$N$54</f>
        <v>26229.181574390066</v>
      </c>
      <c r="AJ303" s="798">
        <f>'[1]Bud men fixes'!$O$55</f>
        <v>164648.24810037587</v>
      </c>
      <c r="AK303" s="795">
        <f t="shared" si="60"/>
        <v>0.13500000000000001</v>
      </c>
      <c r="AL303" s="765">
        <f>'[1]Bud men fixes'!$O$54</f>
        <v>22227.513493550745</v>
      </c>
      <c r="AM303" s="798">
        <f>'[1]Bud men fixes'!$P$55</f>
        <v>153139.5944971171</v>
      </c>
      <c r="AN303" s="795">
        <f t="shared" si="61"/>
        <v>0.13500000000000001</v>
      </c>
      <c r="AO303" s="765">
        <f>'[1]Bud men fixes'!$P$54</f>
        <v>20673.84525711081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7"/>
        <v>Pièces[...]</v>
      </c>
      <c r="B304" s="744" t="s">
        <v>59</v>
      </c>
      <c r="C304" s="797">
        <f t="shared" si="48"/>
        <v>0</v>
      </c>
      <c r="D304" s="795">
        <f t="shared" si="62"/>
        <v>0</v>
      </c>
      <c r="E304" s="752">
        <f t="shared" si="49"/>
        <v>0</v>
      </c>
      <c r="F304" s="798"/>
      <c r="G304" s="795">
        <f t="shared" si="50"/>
        <v>0</v>
      </c>
      <c r="H304" s="765"/>
      <c r="I304" s="798"/>
      <c r="J304" s="795">
        <f t="shared" si="51"/>
        <v>0</v>
      </c>
      <c r="K304" s="765"/>
      <c r="L304" s="798"/>
      <c r="M304" s="795">
        <f t="shared" si="52"/>
        <v>0</v>
      </c>
      <c r="N304" s="765"/>
      <c r="O304" s="798"/>
      <c r="P304" s="795">
        <f t="shared" si="53"/>
        <v>0</v>
      </c>
      <c r="Q304" s="765"/>
      <c r="R304" s="798"/>
      <c r="S304" s="795">
        <f t="shared" si="54"/>
        <v>0</v>
      </c>
      <c r="T304" s="765"/>
      <c r="U304" s="798"/>
      <c r="V304" s="795">
        <f t="shared" si="55"/>
        <v>0</v>
      </c>
      <c r="W304" s="765"/>
      <c r="X304" s="798"/>
      <c r="Y304" s="795">
        <f t="shared" si="56"/>
        <v>0</v>
      </c>
      <c r="Z304" s="765"/>
      <c r="AA304" s="798"/>
      <c r="AB304" s="795">
        <f t="shared" si="57"/>
        <v>0</v>
      </c>
      <c r="AC304" s="765"/>
      <c r="AD304" s="798"/>
      <c r="AE304" s="795">
        <f t="shared" si="58"/>
        <v>0</v>
      </c>
      <c r="AF304" s="765"/>
      <c r="AG304" s="798"/>
      <c r="AH304" s="795">
        <f t="shared" si="59"/>
        <v>0</v>
      </c>
      <c r="AI304" s="765"/>
      <c r="AJ304" s="798"/>
      <c r="AK304" s="795">
        <f t="shared" si="60"/>
        <v>0</v>
      </c>
      <c r="AL304" s="765"/>
      <c r="AM304" s="798"/>
      <c r="AN304" s="795">
        <f t="shared" si="61"/>
        <v>0</v>
      </c>
      <c r="AO304" s="765"/>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7"/>
        <v>PiècesEscomptes</v>
      </c>
      <c r="B305" s="744" t="s">
        <v>188</v>
      </c>
      <c r="C305" s="797">
        <f t="shared" si="48"/>
        <v>0</v>
      </c>
      <c r="D305" s="795">
        <f>IF(C305&lt;=0,0,E305/C305)</f>
        <v>0</v>
      </c>
      <c r="E305" s="752">
        <f t="shared" si="49"/>
        <v>178036.684875604</v>
      </c>
      <c r="F305" s="798"/>
      <c r="G305" s="795">
        <f t="shared" si="50"/>
        <v>0</v>
      </c>
      <c r="H305" s="765">
        <f>'[1]Bud men fixes'!$E$58</f>
        <v>6109.8799318144784</v>
      </c>
      <c r="I305" s="798"/>
      <c r="J305" s="795">
        <f t="shared" si="51"/>
        <v>0</v>
      </c>
      <c r="K305" s="765">
        <f>'[1]Bud men fixes'!$F$58</f>
        <v>6000.2121533396248</v>
      </c>
      <c r="L305" s="798"/>
      <c r="M305" s="795">
        <f t="shared" si="52"/>
        <v>0</v>
      </c>
      <c r="N305" s="765">
        <f>'[1]Bud men fixes'!$G$58</f>
        <v>31971.095766823528</v>
      </c>
      <c r="O305" s="798"/>
      <c r="P305" s="795">
        <f t="shared" si="53"/>
        <v>0</v>
      </c>
      <c r="Q305" s="765">
        <f>'[1]Bud men fixes'!$H$58</f>
        <v>5876.8738529304828</v>
      </c>
      <c r="R305" s="798"/>
      <c r="S305" s="795">
        <f t="shared" si="54"/>
        <v>0</v>
      </c>
      <c r="T305" s="765">
        <f>'[1]Bud men fixes'!$I$58</f>
        <v>7103.8069842399327</v>
      </c>
      <c r="U305" s="798"/>
      <c r="V305" s="795">
        <f t="shared" si="55"/>
        <v>0</v>
      </c>
      <c r="W305" s="765">
        <f>'[1]Bud men fixes'!$J$58</f>
        <v>31271.465778393191</v>
      </c>
      <c r="X305" s="798"/>
      <c r="Y305" s="795">
        <f t="shared" si="56"/>
        <v>0</v>
      </c>
      <c r="Z305" s="765">
        <f>'[1]Bud men fixes'!$K$58</f>
        <v>6600.125347857168</v>
      </c>
      <c r="AA305" s="798"/>
      <c r="AB305" s="795">
        <f t="shared" si="57"/>
        <v>0</v>
      </c>
      <c r="AC305" s="765">
        <f>'[1]Bud men fixes'!$L$58</f>
        <v>6835.2363512296415</v>
      </c>
      <c r="AD305" s="798"/>
      <c r="AE305" s="795">
        <f t="shared" si="58"/>
        <v>0</v>
      </c>
      <c r="AF305" s="765">
        <f>'[1]Bud men fixes'!$M$58</f>
        <v>32051.623377307671</v>
      </c>
      <c r="AG305" s="798"/>
      <c r="AH305" s="795">
        <f t="shared" si="59"/>
        <v>0</v>
      </c>
      <c r="AI305" s="765">
        <f>'[1]Bud men fixes'!$N$58</f>
        <v>7273.2116945432881</v>
      </c>
      <c r="AJ305" s="798"/>
      <c r="AK305" s="795">
        <f t="shared" si="60"/>
        <v>0</v>
      </c>
      <c r="AL305" s="765">
        <f>'[1]Bud men fixes'!$O$58</f>
        <v>6704.4677758464204</v>
      </c>
      <c r="AM305" s="798"/>
      <c r="AN305" s="795">
        <f t="shared" si="61"/>
        <v>0</v>
      </c>
      <c r="AO305" s="765">
        <f>'[1]Bud men fixes'!$P$58</f>
        <v>30238.685861278562</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7"/>
        <v>PiècesRectif. Inventaire</v>
      </c>
      <c r="B306" s="770" t="s">
        <v>189</v>
      </c>
      <c r="C306" s="797">
        <f t="shared" si="48"/>
        <v>0</v>
      </c>
      <c r="D306" s="795">
        <f>IF(C306&lt;=0,0,E306/C306)</f>
        <v>0</v>
      </c>
      <c r="E306" s="752">
        <f t="shared" si="49"/>
        <v>0</v>
      </c>
      <c r="F306" s="798"/>
      <c r="G306" s="795">
        <f t="shared" si="50"/>
        <v>0</v>
      </c>
      <c r="H306" s="765">
        <f>'[1]Bud men fixes'!$E$59</f>
        <v>0</v>
      </c>
      <c r="I306" s="798"/>
      <c r="J306" s="795">
        <f t="shared" si="51"/>
        <v>0</v>
      </c>
      <c r="K306" s="765">
        <f>'[1]Bud men fixes'!$F$59</f>
        <v>0</v>
      </c>
      <c r="L306" s="798"/>
      <c r="M306" s="795">
        <f t="shared" si="52"/>
        <v>0</v>
      </c>
      <c r="N306" s="765">
        <f>'[1]Bud men fixes'!$G$59</f>
        <v>0</v>
      </c>
      <c r="O306" s="798"/>
      <c r="P306" s="795">
        <f t="shared" si="53"/>
        <v>0</v>
      </c>
      <c r="Q306" s="765">
        <f>'[1]Bud men fixes'!$H$59</f>
        <v>0</v>
      </c>
      <c r="R306" s="798"/>
      <c r="S306" s="795">
        <f t="shared" si="54"/>
        <v>0</v>
      </c>
      <c r="T306" s="765">
        <f>'[1]Bud men fixes'!$I$59</f>
        <v>0</v>
      </c>
      <c r="U306" s="798"/>
      <c r="V306" s="795">
        <f t="shared" si="55"/>
        <v>0</v>
      </c>
      <c r="W306" s="765">
        <f>'[1]Bud men fixes'!$J$59</f>
        <v>0</v>
      </c>
      <c r="X306" s="798"/>
      <c r="Y306" s="795">
        <f t="shared" si="56"/>
        <v>0</v>
      </c>
      <c r="Z306" s="765">
        <f>'[1]Bud men fixes'!$K$59</f>
        <v>0</v>
      </c>
      <c r="AA306" s="798"/>
      <c r="AB306" s="795">
        <f t="shared" si="57"/>
        <v>0</v>
      </c>
      <c r="AC306" s="765">
        <f>'[1]Bud men fixes'!$L$59</f>
        <v>0</v>
      </c>
      <c r="AD306" s="798"/>
      <c r="AE306" s="795">
        <f t="shared" si="58"/>
        <v>0</v>
      </c>
      <c r="AF306" s="765">
        <f>'[1]Bud men fixes'!$M$59</f>
        <v>0</v>
      </c>
      <c r="AG306" s="798"/>
      <c r="AH306" s="795">
        <f t="shared" si="59"/>
        <v>0</v>
      </c>
      <c r="AI306" s="765">
        <f>'[1]Bud men fixes'!$N$59</f>
        <v>0</v>
      </c>
      <c r="AJ306" s="798"/>
      <c r="AK306" s="795">
        <f t="shared" si="60"/>
        <v>0</v>
      </c>
      <c r="AL306" s="765">
        <f>'[1]Bud men fixes'!$O$59</f>
        <v>0</v>
      </c>
      <c r="AM306" s="798"/>
      <c r="AN306" s="795">
        <f t="shared" si="61"/>
        <v>0</v>
      </c>
      <c r="AO306" s="765">
        <f>'[1]Bud men fixes'!$P$59</f>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7"/>
        <v>PiècesSous-total Pièces</v>
      </c>
      <c r="B307" s="791" t="s">
        <v>190</v>
      </c>
      <c r="C307" s="1199">
        <f>SUM(C298:C306)</f>
        <v>5574048.9196860008</v>
      </c>
      <c r="D307" s="1200">
        <f>IF(C307&lt;=0,0,E307/C307)</f>
        <v>0.26512195263428939</v>
      </c>
      <c r="E307" s="1201">
        <f>SUM(E298:E306)</f>
        <v>1477802.7336662039</v>
      </c>
      <c r="F307" s="1199">
        <f>SUM(F298:F306)</f>
        <v>436419.9951296057</v>
      </c>
      <c r="G307" s="1200">
        <f t="shared" si="50"/>
        <v>0.24120382644806501</v>
      </c>
      <c r="H307" s="1201">
        <f>SUM(H298:H306)</f>
        <v>105266.1727637068</v>
      </c>
      <c r="I307" s="1199">
        <f>SUM(I298:I306)</f>
        <v>428586.58238140179</v>
      </c>
      <c r="J307" s="1200">
        <f t="shared" si="51"/>
        <v>0.23769810215244144</v>
      </c>
      <c r="K307" s="1201">
        <f>SUM(K298:K306)</f>
        <v>101874.2172400602</v>
      </c>
      <c r="L307" s="1199">
        <f>SUM(L298:L306)</f>
        <v>497935.41191596643</v>
      </c>
      <c r="M307" s="1200">
        <f t="shared" si="52"/>
        <v>0.28742880884510785</v>
      </c>
      <c r="N307" s="1201">
        <f>SUM(N298:N306)</f>
        <v>143120.98232880436</v>
      </c>
      <c r="O307" s="1199">
        <f>SUM(O298:O306)</f>
        <v>419776.70378074882</v>
      </c>
      <c r="P307" s="1200">
        <f t="shared" si="53"/>
        <v>0.24442179212509024</v>
      </c>
      <c r="Q307" s="1201">
        <f>SUM(Q298:Q306)</f>
        <v>102602.57423045377</v>
      </c>
      <c r="R307" s="1199">
        <f>SUM(R298:R306)</f>
        <v>507414.78458856675</v>
      </c>
      <c r="S307" s="1200">
        <f t="shared" si="54"/>
        <v>0.2538212841237823</v>
      </c>
      <c r="T307" s="1201">
        <f>SUM(T298:T306)</f>
        <v>128792.6722076624</v>
      </c>
      <c r="U307" s="1199">
        <f>SUM(U298:U306)</f>
        <v>447961.84131379955</v>
      </c>
      <c r="V307" s="1200">
        <f t="shared" si="55"/>
        <v>0.30804928614421834</v>
      </c>
      <c r="W307" s="1201">
        <f>SUM(W298:W306)</f>
        <v>137994.32543656556</v>
      </c>
      <c r="X307" s="1199">
        <f>SUM(X298:X306)</f>
        <v>471437.52484694065</v>
      </c>
      <c r="Y307" s="1200">
        <f t="shared" si="56"/>
        <v>0.24884326897068568</v>
      </c>
      <c r="Z307" s="1201">
        <f>SUM(Z298:Z306)</f>
        <v>117314.05479836157</v>
      </c>
      <c r="AA307" s="1199">
        <f>SUM(AA298:AA306)</f>
        <v>488231.16794497444</v>
      </c>
      <c r="AB307" s="1200">
        <f t="shared" si="57"/>
        <v>0.24602306879103097</v>
      </c>
      <c r="AC307" s="1201">
        <f>SUM(AC298:AC306)</f>
        <v>120116.13021725185</v>
      </c>
      <c r="AD307" s="1199">
        <f>SUM(AD298:AD306)</f>
        <v>503687.3840934051</v>
      </c>
      <c r="AE307" s="1200">
        <f t="shared" si="58"/>
        <v>0.29911673020245694</v>
      </c>
      <c r="AF307" s="1201">
        <f>SUM(AF298:AF306)</f>
        <v>150661.32337424834</v>
      </c>
      <c r="AG307" s="1199">
        <f>SUM(AG298:AG306)</f>
        <v>519515.12103880639</v>
      </c>
      <c r="AH307" s="1200">
        <f t="shared" si="59"/>
        <v>0.24633044437362003</v>
      </c>
      <c r="AI307" s="1201">
        <f>SUM(AI298:AI306)</f>
        <v>127972.39062430417</v>
      </c>
      <c r="AJ307" s="1199">
        <f>SUM(AJ298:AJ306)</f>
        <v>478890.55541760154</v>
      </c>
      <c r="AK307" s="1200">
        <f t="shared" si="60"/>
        <v>0.26043706286837526</v>
      </c>
      <c r="AL307" s="1201">
        <f>SUM(AL298:AL306)</f>
        <v>124720.84968836504</v>
      </c>
      <c r="AM307" s="1199">
        <f>SUM(AM298:AM306)</f>
        <v>374191.84723418299</v>
      </c>
      <c r="AN307" s="1200">
        <f t="shared" si="61"/>
        <v>0.31365472450544141</v>
      </c>
      <c r="AO307" s="1201">
        <f>SUM(AO298:AO306)</f>
        <v>117367.04075641988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7"/>
        <v>Pièces</v>
      </c>
      <c r="B308" s="744"/>
      <c r="C308" s="744"/>
      <c r="D308" s="751"/>
      <c r="E308" s="745"/>
      <c r="F308" s="744"/>
      <c r="G308" s="751"/>
      <c r="H308" s="745"/>
      <c r="I308" s="744"/>
      <c r="J308" s="751"/>
      <c r="K308" s="745"/>
      <c r="L308" s="744"/>
      <c r="M308" s="751"/>
      <c r="N308" s="745"/>
      <c r="O308" s="744"/>
      <c r="P308" s="751"/>
      <c r="Q308" s="745"/>
      <c r="R308" s="744"/>
      <c r="S308" s="751"/>
      <c r="T308" s="745"/>
      <c r="U308" s="744"/>
      <c r="V308" s="751"/>
      <c r="W308" s="745"/>
      <c r="X308" s="744"/>
      <c r="Y308" s="751"/>
      <c r="Z308" s="745"/>
      <c r="AA308" s="744"/>
      <c r="AB308" s="751"/>
      <c r="AC308" s="745"/>
      <c r="AD308" s="744"/>
      <c r="AE308" s="751"/>
      <c r="AF308" s="745"/>
      <c r="AG308" s="744"/>
      <c r="AH308" s="751"/>
      <c r="AI308" s="745"/>
      <c r="AJ308" s="744"/>
      <c r="AK308" s="751"/>
      <c r="AL308" s="745"/>
      <c r="AM308" s="744"/>
      <c r="AN308" s="751"/>
      <c r="AO308" s="745"/>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7"/>
        <v>Pièces</v>
      </c>
      <c r="B309" s="770"/>
      <c r="C309" s="770"/>
      <c r="D309" s="771"/>
      <c r="E309" s="821"/>
      <c r="F309" s="770"/>
      <c r="G309" s="771"/>
      <c r="H309" s="821"/>
      <c r="I309" s="770"/>
      <c r="J309" s="771"/>
      <c r="K309" s="821"/>
      <c r="L309" s="770"/>
      <c r="M309" s="771"/>
      <c r="N309" s="821"/>
      <c r="O309" s="770"/>
      <c r="P309" s="771"/>
      <c r="Q309" s="821"/>
      <c r="R309" s="770"/>
      <c r="S309" s="771"/>
      <c r="T309" s="821"/>
      <c r="U309" s="770"/>
      <c r="V309" s="771"/>
      <c r="W309" s="821"/>
      <c r="X309" s="770"/>
      <c r="Y309" s="771"/>
      <c r="Z309" s="821"/>
      <c r="AA309" s="770"/>
      <c r="AB309" s="771"/>
      <c r="AC309" s="821"/>
      <c r="AD309" s="770"/>
      <c r="AE309" s="771"/>
      <c r="AF309" s="821"/>
      <c r="AG309" s="770"/>
      <c r="AH309" s="771"/>
      <c r="AI309" s="821"/>
      <c r="AJ309" s="770"/>
      <c r="AK309" s="771"/>
      <c r="AL309" s="821"/>
      <c r="AM309" s="770"/>
      <c r="AN309" s="771"/>
      <c r="AO309" s="821"/>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7"/>
        <v>PiècesVentes Pneus</v>
      </c>
      <c r="B310" s="744" t="s">
        <v>191</v>
      </c>
      <c r="C310" s="797">
        <f>+SUM(F310,I310,L310,O310,R310,U310,X310,AA310,AD310,AG310,AJ310,AM310)</f>
        <v>630000.00000000012</v>
      </c>
      <c r="D310" s="795">
        <f>IF(C310&lt;=0,0,E310/C310)</f>
        <v>0.17100000000000004</v>
      </c>
      <c r="E310" s="752">
        <f>+SUM(H310,K310,N310,Q310,T310,W310,Z310,AC310,AF310,AI310,AL310,AO310)</f>
        <v>107730.00000000004</v>
      </c>
      <c r="F310" s="798">
        <f>'[1]Bud men fixes'!$E$61</f>
        <v>55375.44738351593</v>
      </c>
      <c r="G310" s="795">
        <f>IF(F310&lt;=0,0,H310/F310)</f>
        <v>0.17100000000000001</v>
      </c>
      <c r="H310" s="765">
        <f>'[1]Bud men fixes'!$E$60</f>
        <v>9469.2015025812252</v>
      </c>
      <c r="I310" s="798">
        <f>'[1]Bud men fixes'!$F$61</f>
        <v>50864.656595468507</v>
      </c>
      <c r="J310" s="795">
        <f>IF(I310&lt;=0,0,K310/I310)</f>
        <v>0.17100000000000004</v>
      </c>
      <c r="K310" s="765">
        <f>'[1]Bud men fixes'!$F$60</f>
        <v>8697.8562778251162</v>
      </c>
      <c r="L310" s="798">
        <f>'[1]Bud men fixes'!$G$61</f>
        <v>29677.516171196814</v>
      </c>
      <c r="M310" s="795">
        <f>IF(L310&lt;=0,0,N310/L310)</f>
        <v>0.17100000000000001</v>
      </c>
      <c r="N310" s="765">
        <f>'[1]Bud men fixes'!$G$60</f>
        <v>5074.8552652746557</v>
      </c>
      <c r="O310" s="798">
        <f>'[1]Bud men fixes'!$H$61</f>
        <v>43383.723470255907</v>
      </c>
      <c r="P310" s="795">
        <f>IF(O310&lt;=0,0,Q310/O310)</f>
        <v>0.17100000000000001</v>
      </c>
      <c r="Q310" s="765">
        <f>'[1]Bud men fixes'!$H$60</f>
        <v>7418.6167134137604</v>
      </c>
      <c r="R310" s="798">
        <f>'[1]Bud men fixes'!$I$61</f>
        <v>42328.301497948501</v>
      </c>
      <c r="S310" s="795">
        <f>IF(R310&lt;=0,0,T310/R310)</f>
        <v>0.17100000000000001</v>
      </c>
      <c r="T310" s="765">
        <f>'[1]Bud men fixes'!$I$60</f>
        <v>7238.1395561491945</v>
      </c>
      <c r="U310" s="798">
        <f>'[1]Bud men fixes'!$J$61</f>
        <v>29059.506276554464</v>
      </c>
      <c r="V310" s="795">
        <f>IF(U310&lt;=0,0,W310/U310)</f>
        <v>0.17100000000000001</v>
      </c>
      <c r="W310" s="765">
        <f>'[1]Bud men fixes'!$J$60</f>
        <v>4969.1755732908141</v>
      </c>
      <c r="X310" s="798">
        <f>'[1]Bud men fixes'!$K$61</f>
        <v>33620.760948270363</v>
      </c>
      <c r="Y310" s="795">
        <f>IF(X310&lt;=0,0,Z310/X310)</f>
        <v>0.17100000000000001</v>
      </c>
      <c r="Z310" s="765">
        <f>'[1]Bud men fixes'!$K$60</f>
        <v>5749.1501221542321</v>
      </c>
      <c r="AA310" s="798">
        <f>'[1]Bud men fixes'!$L$61</f>
        <v>24922.230701825261</v>
      </c>
      <c r="AB310" s="795">
        <f>IF(AA310&lt;=0,0,AC310/AA310)</f>
        <v>0.17100000000000004</v>
      </c>
      <c r="AC310" s="765">
        <f>'[1]Bud men fixes'!$L$60</f>
        <v>4261.7014500121204</v>
      </c>
      <c r="AD310" s="798">
        <f>'[1]Bud men fixes'!$M$61</f>
        <v>41940.02340793718</v>
      </c>
      <c r="AE310" s="795">
        <f>IF(AD310&lt;=0,0,AF310/AD310)</f>
        <v>0.17100000000000001</v>
      </c>
      <c r="AF310" s="765">
        <f>'[1]Bud men fixes'!$M$60</f>
        <v>7171.7440027572584</v>
      </c>
      <c r="AG310" s="798">
        <f>'[1]Bud men fixes'!$N$61</f>
        <v>70495.767135878719</v>
      </c>
      <c r="AH310" s="795">
        <f>IF(AG310&lt;=0,0,AI310/AG310)</f>
        <v>0.17100000000000001</v>
      </c>
      <c r="AI310" s="765">
        <f>'[1]Bud men fixes'!$N$60</f>
        <v>12054.776180235262</v>
      </c>
      <c r="AJ310" s="798">
        <f>'[1]Bud men fixes'!$O$61</f>
        <v>149015.50826974577</v>
      </c>
      <c r="AK310" s="795">
        <f>IF(AJ310&lt;=0,0,AL310/AJ310)</f>
        <v>0.17100000000000001</v>
      </c>
      <c r="AL310" s="765">
        <f>'[1]Bud men fixes'!$O$60</f>
        <v>25481.651914126527</v>
      </c>
      <c r="AM310" s="798">
        <f>'[1]Bud men fixes'!$P$61</f>
        <v>59316.558141402675</v>
      </c>
      <c r="AN310" s="795">
        <f>IF(AM310&lt;=0,0,AO310/AM310)</f>
        <v>0.17100000000000001</v>
      </c>
      <c r="AO310" s="765">
        <f>'[1]Bud men fixes'!$P$60</f>
        <v>10143.131442179858</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7"/>
        <v>PiècesHuiles et Graisse</v>
      </c>
      <c r="B311" s="770" t="s">
        <v>192</v>
      </c>
      <c r="C311" s="797">
        <f>+SUM(F311,I311,L311,O311,R311,U311,X311,AA311,AD311,AG311,AJ311,AM311)</f>
        <v>270000.00000000012</v>
      </c>
      <c r="D311" s="795">
        <f>IF(C311&lt;=0,0,E311/C311)</f>
        <v>0.27</v>
      </c>
      <c r="E311" s="752">
        <f>+SUM(H311,K311,N311,Q311,T311,W311,Z311,AC311,AF311,AI311,AL311,AO311)</f>
        <v>72900.000000000029</v>
      </c>
      <c r="F311" s="798">
        <f>'[1]Bud men fixes'!$E$64</f>
        <v>15373.482976712596</v>
      </c>
      <c r="G311" s="795">
        <f>IF(F311&lt;=0,0,H311/F311)</f>
        <v>0.27</v>
      </c>
      <c r="H311" s="765">
        <f>'[1]Bud men fixes'!$E$63</f>
        <v>4150.840403712401</v>
      </c>
      <c r="I311" s="798">
        <f>'[1]Bud men fixes'!$F$64</f>
        <v>15134.328915612145</v>
      </c>
      <c r="J311" s="795">
        <f>IF(I311&lt;=0,0,K311/I311)</f>
        <v>0.27</v>
      </c>
      <c r="K311" s="765">
        <f>'[1]Bud men fixes'!$F$63</f>
        <v>4086.2688072152791</v>
      </c>
      <c r="L311" s="798">
        <f>'[1]Bud men fixes'!$G$64</f>
        <v>15724.817502717535</v>
      </c>
      <c r="M311" s="795">
        <f>IF(L311&lt;=0,0,N311/L311)</f>
        <v>0.27</v>
      </c>
      <c r="N311" s="765">
        <f>'[1]Bud men fixes'!$G$63</f>
        <v>4245.7007257337345</v>
      </c>
      <c r="O311" s="798">
        <f>'[1]Bud men fixes'!$H$64</f>
        <v>25647.120600892886</v>
      </c>
      <c r="P311" s="795">
        <f>IF(O311&lt;=0,0,Q311/O311)</f>
        <v>0.27</v>
      </c>
      <c r="Q311" s="765">
        <f>'[1]Bud men fixes'!$H$63</f>
        <v>6924.7225622410797</v>
      </c>
      <c r="R311" s="798">
        <f>'[1]Bud men fixes'!$I$64</f>
        <v>28145.604589789898</v>
      </c>
      <c r="S311" s="795">
        <f>IF(R311&lt;=0,0,T311/R311)</f>
        <v>0.27</v>
      </c>
      <c r="T311" s="765">
        <f>'[1]Bud men fixes'!$I$63</f>
        <v>7599.3132392432735</v>
      </c>
      <c r="U311" s="798">
        <f>'[1]Bud men fixes'!$J$64</f>
        <v>19929.102238857264</v>
      </c>
      <c r="V311" s="795">
        <f>IF(U311&lt;=0,0,W311/U311)</f>
        <v>0.27</v>
      </c>
      <c r="W311" s="765">
        <f>'[1]Bud men fixes'!$J$63</f>
        <v>5380.8576044914616</v>
      </c>
      <c r="X311" s="798">
        <f>'[1]Bud men fixes'!$K$64</f>
        <v>24023.989005338593</v>
      </c>
      <c r="Y311" s="795">
        <f>IF(X311&lt;=0,0,Z311/X311)</f>
        <v>0.27</v>
      </c>
      <c r="Z311" s="765">
        <f>'[1]Bud men fixes'!$K$63</f>
        <v>6486.4770314414209</v>
      </c>
      <c r="AA311" s="798">
        <f>'[1]Bud men fixes'!$L$64</f>
        <v>20751.75585859987</v>
      </c>
      <c r="AB311" s="795">
        <f>IF(AA311&lt;=0,0,AC311/AA311)</f>
        <v>0.27</v>
      </c>
      <c r="AC311" s="765">
        <f>'[1]Bud men fixes'!$L$63</f>
        <v>5602.9740818219652</v>
      </c>
      <c r="AD311" s="798">
        <f>'[1]Bud men fixes'!$M$64</f>
        <v>22319.050175815202</v>
      </c>
      <c r="AE311" s="795">
        <f>IF(AD311&lt;=0,0,AF311/AD311)</f>
        <v>0.27</v>
      </c>
      <c r="AF311" s="765">
        <f>'[1]Bud men fixes'!$M$63</f>
        <v>6026.1435474701047</v>
      </c>
      <c r="AG311" s="798">
        <f>'[1]Bud men fixes'!$N$64</f>
        <v>26250.566059800756</v>
      </c>
      <c r="AH311" s="795">
        <f>IF(AG311&lt;=0,0,AI311/AG311)</f>
        <v>0.27</v>
      </c>
      <c r="AI311" s="765">
        <f>'[1]Bud men fixes'!$N$63</f>
        <v>7087.6528361462042</v>
      </c>
      <c r="AJ311" s="798">
        <f>'[1]Bud men fixes'!$O$64</f>
        <v>35095.565695526893</v>
      </c>
      <c r="AK311" s="795">
        <f>IF(AJ311&lt;=0,0,AL311/AJ311)</f>
        <v>0.27</v>
      </c>
      <c r="AL311" s="765">
        <f>'[1]Bud men fixes'!$O$63</f>
        <v>9475.8027377922626</v>
      </c>
      <c r="AM311" s="798">
        <f>'[1]Bud men fixes'!$P$64</f>
        <v>21604.616380336432</v>
      </c>
      <c r="AN311" s="795">
        <f>IF(AM311&lt;=0,0,AO311/AM311)</f>
        <v>0.27</v>
      </c>
      <c r="AO311" s="765">
        <f>'[1]Bud men fixes'!$P$63</f>
        <v>5833.2464226908369</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7"/>
        <v>PiècesSous-total Pièces et Acc.</v>
      </c>
      <c r="B312" s="791" t="s">
        <v>193</v>
      </c>
      <c r="C312" s="1199">
        <f>C307+C310+C311</f>
        <v>6474048.9196860008</v>
      </c>
      <c r="D312" s="1200">
        <f>IF(C312&lt;=0,0,E312/C312)</f>
        <v>0.25616623449095594</v>
      </c>
      <c r="E312" s="1201">
        <f>E307+E310+E311</f>
        <v>1658432.7336662039</v>
      </c>
      <c r="F312" s="1199">
        <f>F307+F310+F311</f>
        <v>507168.92548983422</v>
      </c>
      <c r="G312" s="1200">
        <f>IF(F312&lt;=0,0,H312/F312)</f>
        <v>0.23441147257824926</v>
      </c>
      <c r="H312" s="1201">
        <f>H307+H310+H311</f>
        <v>118886.21467000042</v>
      </c>
      <c r="I312" s="1199">
        <f>I307+I310+I311</f>
        <v>494585.56789248245</v>
      </c>
      <c r="J312" s="1200">
        <f>IF(I312&lt;=0,0,K312/I312)</f>
        <v>0.23182710893421396</v>
      </c>
      <c r="K312" s="1201">
        <f>K307+K310+K311</f>
        <v>114658.3423251006</v>
      </c>
      <c r="L312" s="1199">
        <f>L307+L310+L311</f>
        <v>543337.74558988074</v>
      </c>
      <c r="M312" s="1200">
        <f>IF(L312&lt;=0,0,N312/L312)</f>
        <v>0.28056497005249076</v>
      </c>
      <c r="N312" s="1201">
        <f>N307+N310+N311</f>
        <v>152441.53831981274</v>
      </c>
      <c r="O312" s="1199">
        <f>O307+O310+O311</f>
        <v>488807.5478518976</v>
      </c>
      <c r="P312" s="1200">
        <f>IF(O312&lt;=0,0,Q312/O312)</f>
        <v>0.23924735618350501</v>
      </c>
      <c r="Q312" s="1201">
        <f>Q307+Q310+Q311</f>
        <v>116945.91350610861</v>
      </c>
      <c r="R312" s="1199">
        <f>R307+R310+R311</f>
        <v>577888.69067630509</v>
      </c>
      <c r="S312" s="1200">
        <f>IF(R312&lt;=0,0,T312/R312)</f>
        <v>0.24854288952248577</v>
      </c>
      <c r="T312" s="1201">
        <f>T307+T310+T311</f>
        <v>143630.12500305485</v>
      </c>
      <c r="U312" s="1199">
        <f>U307+U310+U311</f>
        <v>496950.44982921128</v>
      </c>
      <c r="V312" s="1200">
        <f>IF(U312&lt;=0,0,W312/U312)</f>
        <v>0.29850935574226739</v>
      </c>
      <c r="W312" s="1201">
        <f>W307+W310+W311</f>
        <v>148344.35861434785</v>
      </c>
      <c r="X312" s="1199">
        <f>X307+X310+X311</f>
        <v>529082.27480054961</v>
      </c>
      <c r="Y312" s="1200">
        <f>IF(X312&lt;=0,0,Z312/X312)</f>
        <v>0.24485734662117364</v>
      </c>
      <c r="Z312" s="1201">
        <f>Z307+Z310+Z311</f>
        <v>129549.68195195722</v>
      </c>
      <c r="AA312" s="1199">
        <f>AA307+AA310+AA311</f>
        <v>533905.15450539964</v>
      </c>
      <c r="AB312" s="1200">
        <f>IF(AA312&lt;=0,0,AC312/AA312)</f>
        <v>0.24345298907911439</v>
      </c>
      <c r="AC312" s="1201">
        <f>AC307+AC310+AC311</f>
        <v>129980.80574908594</v>
      </c>
      <c r="AD312" s="1199">
        <f>AD307+AD310+AD311</f>
        <v>567946.45767715748</v>
      </c>
      <c r="AE312" s="1200">
        <f>IF(AD312&lt;=0,0,AF312/AD312)</f>
        <v>0.288511722732884</v>
      </c>
      <c r="AF312" s="1201">
        <f>AF307+AF310+AF311</f>
        <v>163859.21092447569</v>
      </c>
      <c r="AG312" s="1199">
        <f>AG307+AG310+AG311</f>
        <v>616261.45423448586</v>
      </c>
      <c r="AH312" s="1200">
        <f>IF(AG312&lt;=0,0,AI312/AG312)</f>
        <v>0.23872143654259587</v>
      </c>
      <c r="AI312" s="1201">
        <f>AI307+AI310+AI311</f>
        <v>147114.81964068566</v>
      </c>
      <c r="AJ312" s="1199">
        <f>AJ307+AJ310+AJ311</f>
        <v>663001.62938287423</v>
      </c>
      <c r="AK312" s="1200">
        <f>IF(AJ312&lt;=0,0,AL312/AJ312)</f>
        <v>0.24084149610448669</v>
      </c>
      <c r="AL312" s="1201">
        <f>AL307+AL310+AL311</f>
        <v>159678.30434028382</v>
      </c>
      <c r="AM312" s="1199">
        <f>AM307+AM310+AM311</f>
        <v>455113.02175592212</v>
      </c>
      <c r="AN312" s="1200">
        <f>IF(AM312&lt;=0,0,AO312/AM312)</f>
        <v>0.29298968002898168</v>
      </c>
      <c r="AO312" s="1201">
        <f>AO307+AO310+AO311</f>
        <v>133343.41862129059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7"/>
        <v>Pièces</v>
      </c>
      <c r="B313" s="744"/>
      <c r="C313" s="744"/>
      <c r="D313" s="751"/>
      <c r="E313" s="745"/>
      <c r="F313" s="744"/>
      <c r="G313" s="751"/>
      <c r="H313" s="745"/>
      <c r="I313" s="744"/>
      <c r="J313" s="751"/>
      <c r="K313" s="745"/>
      <c r="L313" s="744"/>
      <c r="M313" s="751"/>
      <c r="N313" s="745"/>
      <c r="O313" s="744"/>
      <c r="P313" s="751"/>
      <c r="Q313" s="745"/>
      <c r="R313" s="744"/>
      <c r="S313" s="751"/>
      <c r="T313" s="745"/>
      <c r="U313" s="744"/>
      <c r="V313" s="751"/>
      <c r="W313" s="745"/>
      <c r="X313" s="744"/>
      <c r="Y313" s="751"/>
      <c r="Z313" s="745"/>
      <c r="AA313" s="744"/>
      <c r="AB313" s="751"/>
      <c r="AC313" s="745"/>
      <c r="AD313" s="744"/>
      <c r="AE313" s="751"/>
      <c r="AF313" s="745"/>
      <c r="AG313" s="744"/>
      <c r="AH313" s="751"/>
      <c r="AI313" s="745"/>
      <c r="AJ313" s="744"/>
      <c r="AK313" s="751"/>
      <c r="AL313" s="745"/>
      <c r="AM313" s="744"/>
      <c r="AN313" s="751"/>
      <c r="AO313" s="745"/>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7"/>
        <v>Pièces</v>
      </c>
      <c r="B314" s="744"/>
      <c r="C314" s="744"/>
      <c r="D314" s="751"/>
      <c r="E314" s="745"/>
      <c r="F314" s="744"/>
      <c r="G314" s="751"/>
      <c r="H314" s="745"/>
      <c r="I314" s="744"/>
      <c r="J314" s="751"/>
      <c r="K314" s="745"/>
      <c r="L314" s="744"/>
      <c r="M314" s="751"/>
      <c r="N314" s="745"/>
      <c r="O314" s="744"/>
      <c r="P314" s="751"/>
      <c r="Q314" s="745"/>
      <c r="R314" s="744"/>
      <c r="S314" s="751"/>
      <c r="T314" s="745"/>
      <c r="U314" s="744"/>
      <c r="V314" s="751"/>
      <c r="W314" s="745"/>
      <c r="X314" s="744"/>
      <c r="Y314" s="751"/>
      <c r="Z314" s="745"/>
      <c r="AA314" s="744"/>
      <c r="AB314" s="751"/>
      <c r="AC314" s="745"/>
      <c r="AD314" s="744"/>
      <c r="AE314" s="751"/>
      <c r="AF314" s="745"/>
      <c r="AG314" s="744"/>
      <c r="AH314" s="751"/>
      <c r="AI314" s="745"/>
      <c r="AJ314" s="744"/>
      <c r="AK314" s="751"/>
      <c r="AL314" s="745"/>
      <c r="AM314" s="744"/>
      <c r="AN314" s="751"/>
      <c r="AO314" s="745"/>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7"/>
        <v>PiècesAutostock</v>
      </c>
      <c r="B315" s="770" t="s">
        <v>194</v>
      </c>
      <c r="C315" s="824">
        <f>'[1]Bud men fixes'!$E$67</f>
        <v>0</v>
      </c>
      <c r="D315" s="823">
        <f>IF(C315&lt;=0,0,E315/C315)</f>
        <v>0</v>
      </c>
      <c r="E315" s="775">
        <f>'[1]Bud men fixes'!$E$66</f>
        <v>0</v>
      </c>
      <c r="F315" s="824"/>
      <c r="G315" s="823">
        <f>IF(F315&lt;=0,0,H315/F315)</f>
        <v>0</v>
      </c>
      <c r="H315" s="775"/>
      <c r="I315" s="824"/>
      <c r="J315" s="823">
        <f>IF(I315&lt;=0,0,K315/I315)</f>
        <v>0</v>
      </c>
      <c r="K315" s="775"/>
      <c r="L315" s="824"/>
      <c r="M315" s="823">
        <f>IF(L315&lt;=0,0,N315/L315)</f>
        <v>0</v>
      </c>
      <c r="N315" s="775"/>
      <c r="O315" s="824"/>
      <c r="P315" s="823">
        <f>IF(O315&lt;=0,0,Q315/O315)</f>
        <v>0</v>
      </c>
      <c r="Q315" s="775"/>
      <c r="R315" s="824"/>
      <c r="S315" s="823">
        <f>IF(R315&lt;=0,0,T315/R315)</f>
        <v>0</v>
      </c>
      <c r="T315" s="775"/>
      <c r="U315" s="824"/>
      <c r="V315" s="823">
        <f>IF(U315&lt;=0,0,W315/U315)</f>
        <v>0</v>
      </c>
      <c r="W315" s="775"/>
      <c r="X315" s="824"/>
      <c r="Y315" s="823">
        <f>IF(X315&lt;=0,0,Z315/X315)</f>
        <v>0</v>
      </c>
      <c r="Z315" s="775"/>
      <c r="AA315" s="824"/>
      <c r="AB315" s="823">
        <f>IF(AA315&lt;=0,0,AC315/AA315)</f>
        <v>0</v>
      </c>
      <c r="AC315" s="775"/>
      <c r="AD315" s="824"/>
      <c r="AE315" s="823">
        <f>IF(AD315&lt;=0,0,AF315/AD315)</f>
        <v>0</v>
      </c>
      <c r="AF315" s="775"/>
      <c r="AG315" s="824"/>
      <c r="AH315" s="823">
        <f>IF(AG315&lt;=0,0,AI315/AG315)</f>
        <v>0</v>
      </c>
      <c r="AI315" s="775"/>
      <c r="AJ315" s="824"/>
      <c r="AK315" s="823">
        <f>IF(AJ315&lt;=0,0,AL315/AJ315)</f>
        <v>0</v>
      </c>
      <c r="AL315" s="775"/>
      <c r="AM315" s="824"/>
      <c r="AN315" s="823">
        <f>IF(AM315&lt;=0,0,AO315/AM315)</f>
        <v>0</v>
      </c>
      <c r="AO315" s="775"/>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47"/>
        <v>Pièces</v>
      </c>
      <c r="B316" s="744"/>
      <c r="C316" s="797"/>
      <c r="D316" s="795"/>
      <c r="E316" s="752"/>
      <c r="F316" s="797"/>
      <c r="G316" s="795"/>
      <c r="H316" s="752"/>
      <c r="I316" s="797"/>
      <c r="J316" s="795"/>
      <c r="K316" s="752"/>
      <c r="L316" s="797"/>
      <c r="M316" s="795"/>
      <c r="N316" s="752"/>
      <c r="O316" s="797"/>
      <c r="P316" s="795"/>
      <c r="Q316" s="752"/>
      <c r="R316" s="797"/>
      <c r="S316" s="795"/>
      <c r="T316" s="752"/>
      <c r="U316" s="797"/>
      <c r="V316" s="795"/>
      <c r="W316" s="752"/>
      <c r="X316" s="797"/>
      <c r="Y316" s="795"/>
      <c r="Z316" s="752"/>
      <c r="AA316" s="797"/>
      <c r="AB316" s="795"/>
      <c r="AC316" s="752"/>
      <c r="AD316" s="797"/>
      <c r="AE316" s="795"/>
      <c r="AF316" s="752"/>
      <c r="AG316" s="797"/>
      <c r="AH316" s="795"/>
      <c r="AI316" s="752"/>
      <c r="AJ316" s="797"/>
      <c r="AK316" s="795"/>
      <c r="AL316" s="752"/>
      <c r="AM316" s="797"/>
      <c r="AN316" s="795"/>
      <c r="AO316" s="752"/>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47"/>
        <v>PiècesTotal Dépt. Pièces</v>
      </c>
      <c r="B317" s="1152" t="s">
        <v>195</v>
      </c>
      <c r="C317" s="753">
        <f>C312+C315</f>
        <v>6474048.9196860008</v>
      </c>
      <c r="D317" s="825">
        <f>IF(C317&lt;=0,0,E317/C317)</f>
        <v>0.25616623449095594</v>
      </c>
      <c r="E317" s="755">
        <f>E312+E315</f>
        <v>1658432.7336662039</v>
      </c>
      <c r="F317" s="753">
        <f>F312+F315</f>
        <v>507168.92548983422</v>
      </c>
      <c r="G317" s="825">
        <f>IF(F317&lt;=0,0,H317/F317)</f>
        <v>0.23441147257824926</v>
      </c>
      <c r="H317" s="755">
        <f>H312+H315</f>
        <v>118886.21467000042</v>
      </c>
      <c r="I317" s="753">
        <f>I312+I315</f>
        <v>494585.56789248245</v>
      </c>
      <c r="J317" s="825">
        <f>IF(I317&lt;=0,0,K317/I317)</f>
        <v>0.23182710893421396</v>
      </c>
      <c r="K317" s="755">
        <f>K312+K315</f>
        <v>114658.3423251006</v>
      </c>
      <c r="L317" s="753">
        <f>L312+L315</f>
        <v>543337.74558988074</v>
      </c>
      <c r="M317" s="825">
        <f>IF(L317&lt;=0,0,N317/L317)</f>
        <v>0.28056497005249076</v>
      </c>
      <c r="N317" s="755">
        <f>N312+N315</f>
        <v>152441.53831981274</v>
      </c>
      <c r="O317" s="753">
        <f>O312+O315</f>
        <v>488807.5478518976</v>
      </c>
      <c r="P317" s="825">
        <f>IF(O317&lt;=0,0,Q317/O317)</f>
        <v>0.23924735618350501</v>
      </c>
      <c r="Q317" s="755">
        <f>Q312+Q315</f>
        <v>116945.91350610861</v>
      </c>
      <c r="R317" s="753">
        <f>R312+R315</f>
        <v>577888.69067630509</v>
      </c>
      <c r="S317" s="825">
        <f>IF(R317&lt;=0,0,T317/R317)</f>
        <v>0.24854288952248577</v>
      </c>
      <c r="T317" s="755">
        <f>T312+T315</f>
        <v>143630.12500305485</v>
      </c>
      <c r="U317" s="753">
        <f>U312+U315</f>
        <v>496950.44982921128</v>
      </c>
      <c r="V317" s="825">
        <f>IF(U317&lt;=0,0,W317/U317)</f>
        <v>0.29850935574226739</v>
      </c>
      <c r="W317" s="755">
        <f>W312+W315</f>
        <v>148344.35861434785</v>
      </c>
      <c r="X317" s="753">
        <f>X312+X315</f>
        <v>529082.27480054961</v>
      </c>
      <c r="Y317" s="825">
        <f>IF(X317&lt;=0,0,Z317/X317)</f>
        <v>0.24485734662117364</v>
      </c>
      <c r="Z317" s="755">
        <f>Z312+Z315</f>
        <v>129549.68195195722</v>
      </c>
      <c r="AA317" s="753">
        <f>AA312+AA315</f>
        <v>533905.15450539964</v>
      </c>
      <c r="AB317" s="825">
        <f>IF(AA317&lt;=0,0,AC317/AA317)</f>
        <v>0.24345298907911439</v>
      </c>
      <c r="AC317" s="755">
        <f>AC312+AC315</f>
        <v>129980.80574908594</v>
      </c>
      <c r="AD317" s="753">
        <f>AD312+AD315</f>
        <v>567946.45767715748</v>
      </c>
      <c r="AE317" s="825">
        <f>IF(AD317&lt;=0,0,AF317/AD317)</f>
        <v>0.288511722732884</v>
      </c>
      <c r="AF317" s="755">
        <f>AF312+AF315</f>
        <v>163859.21092447569</v>
      </c>
      <c r="AG317" s="753">
        <f>AG312+AG315</f>
        <v>616261.45423448586</v>
      </c>
      <c r="AH317" s="825">
        <f>IF(AG317&lt;=0,0,AI317/AG317)</f>
        <v>0.23872143654259587</v>
      </c>
      <c r="AI317" s="755">
        <f>AI312+AI315</f>
        <v>147114.81964068566</v>
      </c>
      <c r="AJ317" s="753">
        <f>AJ312+AJ315</f>
        <v>663001.62938287423</v>
      </c>
      <c r="AK317" s="825">
        <f>IF(AJ317&lt;=0,0,AL317/AJ317)</f>
        <v>0.24084149610448669</v>
      </c>
      <c r="AL317" s="755">
        <f>AL312+AL315</f>
        <v>159678.30434028382</v>
      </c>
      <c r="AM317" s="753">
        <f>AM312+AM315</f>
        <v>455113.02175592212</v>
      </c>
      <c r="AN317" s="825">
        <f>IF(AM317&lt;=0,0,AO317/AM317)</f>
        <v>0.29298968002898168</v>
      </c>
      <c r="AO317" s="755">
        <f>AO312+AO315</f>
        <v>133343.41862129059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47"/>
        <v>Pièces</v>
      </c>
      <c r="B318" s="1202"/>
      <c r="C318" s="1203"/>
      <c r="D318" s="1204"/>
      <c r="E318" s="1205"/>
      <c r="F318" s="1203"/>
      <c r="G318" s="1204"/>
      <c r="H318" s="1205"/>
      <c r="I318" s="1203"/>
      <c r="J318" s="1204"/>
      <c r="K318" s="1205"/>
      <c r="L318" s="1203"/>
      <c r="M318" s="1204"/>
      <c r="N318" s="1205"/>
      <c r="O318" s="1203"/>
      <c r="P318" s="1204"/>
      <c r="Q318" s="1205"/>
      <c r="R318" s="1203"/>
      <c r="S318" s="1204"/>
      <c r="T318" s="1205"/>
      <c r="U318" s="1203"/>
      <c r="V318" s="1204"/>
      <c r="W318" s="1205"/>
      <c r="X318" s="1203"/>
      <c r="Y318" s="1204"/>
      <c r="Z318" s="1205"/>
      <c r="AA318" s="1203"/>
      <c r="AB318" s="1204"/>
      <c r="AC318" s="1205"/>
      <c r="AD318" s="1203"/>
      <c r="AE318" s="1204"/>
      <c r="AF318" s="1205"/>
      <c r="AG318" s="1203"/>
      <c r="AH318" s="1204"/>
      <c r="AI318" s="1205"/>
      <c r="AJ318" s="1203"/>
      <c r="AK318" s="1204"/>
      <c r="AL318" s="1205"/>
      <c r="AM318" s="1203"/>
      <c r="AN318" s="1204"/>
      <c r="AO318" s="1205"/>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47"/>
        <v>Pièces</v>
      </c>
      <c r="B319" s="759"/>
      <c r="C319" s="826"/>
      <c r="D319" s="827"/>
      <c r="E319" s="780"/>
      <c r="F319" s="826"/>
      <c r="G319" s="827"/>
      <c r="H319" s="780"/>
      <c r="I319" s="826"/>
      <c r="J319" s="827"/>
      <c r="K319" s="780"/>
      <c r="L319" s="826"/>
      <c r="M319" s="827"/>
      <c r="N319" s="780"/>
      <c r="O319" s="826"/>
      <c r="P319" s="827"/>
      <c r="Q319" s="780"/>
      <c r="R319" s="826"/>
      <c r="S319" s="827"/>
      <c r="T319" s="780"/>
      <c r="U319" s="826"/>
      <c r="V319" s="827"/>
      <c r="W319" s="780"/>
      <c r="X319" s="826"/>
      <c r="Y319" s="827"/>
      <c r="Z319" s="780"/>
      <c r="AA319" s="826"/>
      <c r="AB319" s="827"/>
      <c r="AC319" s="780"/>
      <c r="AD319" s="826"/>
      <c r="AE319" s="827"/>
      <c r="AF319" s="780"/>
      <c r="AG319" s="826"/>
      <c r="AH319" s="827"/>
      <c r="AI319" s="780"/>
      <c r="AJ319" s="826"/>
      <c r="AK319" s="827"/>
      <c r="AL319" s="780"/>
      <c r="AM319" s="826"/>
      <c r="AN319" s="827"/>
      <c r="AO319" s="780"/>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7"/>
        <v>PiècesDEPENSES</v>
      </c>
      <c r="B320" s="1153" t="s">
        <v>110</v>
      </c>
      <c r="C320" s="744"/>
      <c r="D320" s="751"/>
      <c r="E320" s="745"/>
      <c r="F320" s="744"/>
      <c r="G320" s="751"/>
      <c r="H320" s="745"/>
      <c r="I320" s="744"/>
      <c r="J320" s="751"/>
      <c r="K320" s="745"/>
      <c r="L320" s="744"/>
      <c r="M320" s="751"/>
      <c r="N320" s="745"/>
      <c r="O320" s="744"/>
      <c r="P320" s="751"/>
      <c r="Q320" s="745"/>
      <c r="R320" s="744"/>
      <c r="S320" s="751"/>
      <c r="T320" s="745"/>
      <c r="U320" s="744"/>
      <c r="V320" s="751"/>
      <c r="W320" s="745"/>
      <c r="X320" s="744"/>
      <c r="Y320" s="751"/>
      <c r="Z320" s="745"/>
      <c r="AA320" s="744"/>
      <c r="AB320" s="751"/>
      <c r="AC320" s="745"/>
      <c r="AD320" s="744"/>
      <c r="AE320" s="751"/>
      <c r="AF320" s="745"/>
      <c r="AG320" s="744"/>
      <c r="AH320" s="751"/>
      <c r="AI320" s="745"/>
      <c r="AJ320" s="744"/>
      <c r="AK320" s="751"/>
      <c r="AL320" s="745"/>
      <c r="AM320" s="744"/>
      <c r="AN320" s="751"/>
      <c r="AO320" s="745"/>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7"/>
        <v>PiècesSalaires cadres</v>
      </c>
      <c r="B321" s="1158" t="s">
        <v>120</v>
      </c>
      <c r="C321" s="744"/>
      <c r="D321" s="751"/>
      <c r="E321" s="752">
        <f t="shared" ref="E321:E332" si="63">+SUM(H321,K321,N321,Q321,T321,W321,Z321,AC321,AF321,AI321,AL321,AO321)</f>
        <v>62576.816666666673</v>
      </c>
      <c r="F321" s="744"/>
      <c r="G321" s="751"/>
      <c r="H321" s="765">
        <f>[1]Salaire!$E$55</f>
        <v>7346.047435897437</v>
      </c>
      <c r="I321" s="744"/>
      <c r="J321" s="751"/>
      <c r="K321" s="765">
        <f>[1]Salaire!$F$55</f>
        <v>4769.2307692307695</v>
      </c>
      <c r="L321" s="744"/>
      <c r="M321" s="751"/>
      <c r="N321" s="765">
        <f>[1]Salaire!$G$55</f>
        <v>4769.2307692307695</v>
      </c>
      <c r="O321" s="744"/>
      <c r="P321" s="751"/>
      <c r="Q321" s="765">
        <f>[1]Salaire!$H$55</f>
        <v>4769.2307692307695</v>
      </c>
      <c r="R321" s="744"/>
      <c r="S321" s="751"/>
      <c r="T321" s="765">
        <f>[1]Salaire!$I$55</f>
        <v>5461.538461538461</v>
      </c>
      <c r="U321" s="744"/>
      <c r="V321" s="751"/>
      <c r="W321" s="765">
        <f>[1]Salaire!$J$55</f>
        <v>4769.2307692307695</v>
      </c>
      <c r="X321" s="744"/>
      <c r="Y321" s="751"/>
      <c r="Z321" s="765">
        <f>[1]Salaire!$K$55</f>
        <v>5461.538461538461</v>
      </c>
      <c r="AA321" s="744"/>
      <c r="AB321" s="751"/>
      <c r="AC321" s="765">
        <f>[1]Salaire!$L$55</f>
        <v>4769.2307692307695</v>
      </c>
      <c r="AD321" s="744"/>
      <c r="AE321" s="751"/>
      <c r="AF321" s="765">
        <f>[1]Salaire!$M$55</f>
        <v>4769.2307692307695</v>
      </c>
      <c r="AG321" s="744"/>
      <c r="AH321" s="751"/>
      <c r="AI321" s="765">
        <f>[1]Salaire!$N$55</f>
        <v>5461.538461538461</v>
      </c>
      <c r="AJ321" s="744"/>
      <c r="AK321" s="751"/>
      <c r="AL321" s="765">
        <f>[1]Salaire!$O$55</f>
        <v>4769.2307692307695</v>
      </c>
      <c r="AM321" s="744"/>
      <c r="AN321" s="751"/>
      <c r="AO321" s="765">
        <f>[1]Salaire!$P$55</f>
        <v>5461.538461538461</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7"/>
        <v>PiècesSalaires commis</v>
      </c>
      <c r="B322" s="1159" t="s">
        <v>121</v>
      </c>
      <c r="C322" s="744"/>
      <c r="D322" s="751"/>
      <c r="E322" s="752">
        <f t="shared" si="63"/>
        <v>382190.80980698654</v>
      </c>
      <c r="F322" s="744"/>
      <c r="G322" s="751"/>
      <c r="H322" s="765">
        <f>[1]Salaire!$E$140</f>
        <v>28107.154600537433</v>
      </c>
      <c r="I322" s="744"/>
      <c r="J322" s="751"/>
      <c r="K322" s="765">
        <f>[1]Salaire!$F$140</f>
        <v>29619.471267204099</v>
      </c>
      <c r="L322" s="744"/>
      <c r="M322" s="751"/>
      <c r="N322" s="765">
        <f>[1]Salaire!$G$140</f>
        <v>29619.471267204099</v>
      </c>
      <c r="O322" s="744"/>
      <c r="P322" s="751"/>
      <c r="Q322" s="765">
        <f>[1]Salaire!$H$140</f>
        <v>29619.471267204099</v>
      </c>
      <c r="R322" s="744"/>
      <c r="S322" s="751"/>
      <c r="T322" s="765">
        <f>[1]Salaire!$I$140</f>
        <v>36686.839084005122</v>
      </c>
      <c r="U322" s="744"/>
      <c r="V322" s="751"/>
      <c r="W322" s="765">
        <f>[1]Salaire!$J$140</f>
        <v>29619.471267204099</v>
      </c>
      <c r="X322" s="744"/>
      <c r="Y322" s="751"/>
      <c r="Z322" s="765">
        <f>[1]Salaire!$K$140</f>
        <v>36686.839084005122</v>
      </c>
      <c r="AA322" s="744"/>
      <c r="AB322" s="751"/>
      <c r="AC322" s="765">
        <f>[1]Salaire!$L$140</f>
        <v>29619.471267204099</v>
      </c>
      <c r="AD322" s="744"/>
      <c r="AE322" s="751"/>
      <c r="AF322" s="765">
        <f>[1]Salaire!$M$140</f>
        <v>29619.471267204099</v>
      </c>
      <c r="AG322" s="744"/>
      <c r="AH322" s="751"/>
      <c r="AI322" s="765">
        <f>[1]Salaire!$N$140</f>
        <v>36686.839084005122</v>
      </c>
      <c r="AJ322" s="744"/>
      <c r="AK322" s="751"/>
      <c r="AL322" s="765">
        <f>[1]Salaire!$O$140</f>
        <v>29619.471267204099</v>
      </c>
      <c r="AM322" s="744"/>
      <c r="AN322" s="751"/>
      <c r="AO322" s="765">
        <f>[1]Salaire!$P$140</f>
        <v>36686.839084005122</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7"/>
        <v>PiècesSalaires autres</v>
      </c>
      <c r="B323" s="1158" t="s">
        <v>122</v>
      </c>
      <c r="C323" s="1142"/>
      <c r="D323" s="1160"/>
      <c r="E323" s="1161">
        <f t="shared" si="63"/>
        <v>151.93333333333334</v>
      </c>
      <c r="F323" s="1142"/>
      <c r="G323" s="1160"/>
      <c r="H323" s="1162">
        <f>[1]Salaire!$E$185</f>
        <v>151.93333333333334</v>
      </c>
      <c r="I323" s="1142"/>
      <c r="J323" s="1160"/>
      <c r="K323" s="1162">
        <f>[1]Salaire!$F$185</f>
        <v>0</v>
      </c>
      <c r="L323" s="1142"/>
      <c r="M323" s="1160"/>
      <c r="N323" s="1162">
        <f>[1]Salaire!$G$185</f>
        <v>0</v>
      </c>
      <c r="O323" s="1142"/>
      <c r="P323" s="1160"/>
      <c r="Q323" s="1162">
        <f>[1]Salaire!$H$185</f>
        <v>0</v>
      </c>
      <c r="R323" s="1142"/>
      <c r="S323" s="1160"/>
      <c r="T323" s="1162">
        <f>[1]Salaire!$I$185</f>
        <v>0</v>
      </c>
      <c r="U323" s="1142"/>
      <c r="V323" s="1160"/>
      <c r="W323" s="1162">
        <f>[1]Salaire!$J$185</f>
        <v>0</v>
      </c>
      <c r="X323" s="1142"/>
      <c r="Y323" s="1160"/>
      <c r="Z323" s="1162">
        <f>[1]Salaire!$K$185</f>
        <v>0</v>
      </c>
      <c r="AA323" s="1142"/>
      <c r="AB323" s="1160"/>
      <c r="AC323" s="1162">
        <f>[1]Salaire!$L$185</f>
        <v>0</v>
      </c>
      <c r="AD323" s="1142"/>
      <c r="AE323" s="1160"/>
      <c r="AF323" s="1162">
        <f>[1]Salaire!$M$185</f>
        <v>0</v>
      </c>
      <c r="AG323" s="1142"/>
      <c r="AH323" s="1160"/>
      <c r="AI323" s="1162">
        <f>[1]Salaire!$N$185</f>
        <v>0</v>
      </c>
      <c r="AJ323" s="1142"/>
      <c r="AK323" s="1160"/>
      <c r="AL323" s="1162">
        <f>[1]Salaire!$O$185</f>
        <v>0</v>
      </c>
      <c r="AM323" s="1142"/>
      <c r="AN323" s="1160"/>
      <c r="AO323" s="1162">
        <f>[1]Salaire!$P$185</f>
        <v>0</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7"/>
        <v>PiècesSalaires spécialistes</v>
      </c>
      <c r="B324" s="1158" t="s">
        <v>123</v>
      </c>
      <c r="C324" s="744"/>
      <c r="D324" s="751"/>
      <c r="E324" s="752">
        <f t="shared" si="63"/>
        <v>0</v>
      </c>
      <c r="F324" s="744"/>
      <c r="G324" s="751"/>
      <c r="H324" s="765"/>
      <c r="I324" s="744"/>
      <c r="J324" s="751"/>
      <c r="K324" s="765"/>
      <c r="L324" s="744"/>
      <c r="M324" s="751"/>
      <c r="N324" s="765"/>
      <c r="O324" s="744"/>
      <c r="P324" s="751"/>
      <c r="Q324" s="765"/>
      <c r="R324" s="744"/>
      <c r="S324" s="751"/>
      <c r="T324" s="765"/>
      <c r="U324" s="744"/>
      <c r="V324" s="751"/>
      <c r="W324" s="765"/>
      <c r="X324" s="744"/>
      <c r="Y324" s="751"/>
      <c r="Z324" s="765"/>
      <c r="AA324" s="744"/>
      <c r="AB324" s="751"/>
      <c r="AC324" s="765"/>
      <c r="AD324" s="744"/>
      <c r="AE324" s="751"/>
      <c r="AF324" s="765"/>
      <c r="AG324" s="744"/>
      <c r="AH324" s="751"/>
      <c r="AI324" s="765"/>
      <c r="AJ324" s="744"/>
      <c r="AK324" s="751"/>
      <c r="AL324" s="765"/>
      <c r="AM324" s="744"/>
      <c r="AN324" s="751"/>
      <c r="AO324" s="765"/>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7"/>
        <v>Pièces[...]</v>
      </c>
      <c r="B325" s="744" t="s">
        <v>59</v>
      </c>
      <c r="C325" s="744"/>
      <c r="D325" s="751"/>
      <c r="E325" s="752">
        <f t="shared" si="63"/>
        <v>0</v>
      </c>
      <c r="F325" s="744"/>
      <c r="G325" s="751"/>
      <c r="H325" s="765"/>
      <c r="I325" s="744"/>
      <c r="J325" s="751"/>
      <c r="K325" s="765"/>
      <c r="L325" s="744"/>
      <c r="M325" s="751"/>
      <c r="N325" s="765"/>
      <c r="O325" s="744"/>
      <c r="P325" s="751"/>
      <c r="Q325" s="765"/>
      <c r="R325" s="744"/>
      <c r="S325" s="751"/>
      <c r="T325" s="765"/>
      <c r="U325" s="744"/>
      <c r="V325" s="751"/>
      <c r="W325" s="765"/>
      <c r="X325" s="744"/>
      <c r="Y325" s="751"/>
      <c r="Z325" s="765"/>
      <c r="AA325" s="744"/>
      <c r="AB325" s="751"/>
      <c r="AC325" s="765"/>
      <c r="AD325" s="744"/>
      <c r="AE325" s="751"/>
      <c r="AF325" s="765"/>
      <c r="AG325" s="744"/>
      <c r="AH325" s="751"/>
      <c r="AI325" s="765"/>
      <c r="AJ325" s="744"/>
      <c r="AK325" s="751"/>
      <c r="AL325" s="765"/>
      <c r="AM325" s="744"/>
      <c r="AN325" s="751"/>
      <c r="AO325" s="765"/>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7"/>
        <v>Pièces[...]</v>
      </c>
      <c r="B326" s="744" t="s">
        <v>59</v>
      </c>
      <c r="C326" s="744"/>
      <c r="D326" s="751"/>
      <c r="E326" s="752">
        <f t="shared" si="63"/>
        <v>0</v>
      </c>
      <c r="F326" s="744"/>
      <c r="G326" s="751"/>
      <c r="H326" s="765"/>
      <c r="I326" s="744"/>
      <c r="J326" s="751"/>
      <c r="K326" s="765"/>
      <c r="L326" s="744"/>
      <c r="M326" s="751"/>
      <c r="N326" s="765"/>
      <c r="O326" s="744"/>
      <c r="P326" s="751"/>
      <c r="Q326" s="765"/>
      <c r="R326" s="744"/>
      <c r="S326" s="751"/>
      <c r="T326" s="765"/>
      <c r="U326" s="744"/>
      <c r="V326" s="751"/>
      <c r="W326" s="765"/>
      <c r="X326" s="744"/>
      <c r="Y326" s="751"/>
      <c r="Z326" s="765"/>
      <c r="AA326" s="744"/>
      <c r="AB326" s="751"/>
      <c r="AC326" s="765"/>
      <c r="AD326" s="744"/>
      <c r="AE326" s="751"/>
      <c r="AF326" s="765"/>
      <c r="AG326" s="744"/>
      <c r="AH326" s="751"/>
      <c r="AI326" s="765"/>
      <c r="AJ326" s="744"/>
      <c r="AK326" s="751"/>
      <c r="AL326" s="765"/>
      <c r="AM326" s="744"/>
      <c r="AN326" s="751"/>
      <c r="AO326" s="765"/>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7"/>
        <v>Pièces[...]</v>
      </c>
      <c r="B327" s="744" t="s">
        <v>59</v>
      </c>
      <c r="C327" s="744"/>
      <c r="D327" s="751"/>
      <c r="E327" s="752">
        <f t="shared" si="63"/>
        <v>0</v>
      </c>
      <c r="F327" s="744"/>
      <c r="G327" s="751"/>
      <c r="H327" s="765"/>
      <c r="I327" s="744"/>
      <c r="J327" s="751"/>
      <c r="K327" s="765"/>
      <c r="L327" s="744"/>
      <c r="M327" s="751"/>
      <c r="N327" s="765"/>
      <c r="O327" s="744"/>
      <c r="P327" s="751"/>
      <c r="Q327" s="765"/>
      <c r="R327" s="744"/>
      <c r="S327" s="751"/>
      <c r="T327" s="765"/>
      <c r="U327" s="744"/>
      <c r="V327" s="751"/>
      <c r="W327" s="765"/>
      <c r="X327" s="744"/>
      <c r="Y327" s="751"/>
      <c r="Z327" s="765"/>
      <c r="AA327" s="744"/>
      <c r="AB327" s="751"/>
      <c r="AC327" s="765"/>
      <c r="AD327" s="744"/>
      <c r="AE327" s="751"/>
      <c r="AF327" s="765"/>
      <c r="AG327" s="744"/>
      <c r="AH327" s="751"/>
      <c r="AI327" s="765"/>
      <c r="AJ327" s="744"/>
      <c r="AK327" s="751"/>
      <c r="AL327" s="765"/>
      <c r="AM327" s="744"/>
      <c r="AN327" s="751"/>
      <c r="AO327" s="765"/>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7"/>
        <v>PiècesSalaires en absences</v>
      </c>
      <c r="B328" s="1159" t="s">
        <v>124</v>
      </c>
      <c r="C328" s="744"/>
      <c r="D328" s="751"/>
      <c r="E328" s="752">
        <f t="shared" si="63"/>
        <v>54350.385021092996</v>
      </c>
      <c r="F328" s="744"/>
      <c r="G328" s="751"/>
      <c r="H328" s="765">
        <f>'[1]DAS-VAC'!$F$47</f>
        <v>4337.4917093148451</v>
      </c>
      <c r="I328" s="744"/>
      <c r="J328" s="751"/>
      <c r="K328" s="765">
        <f>'[1]DAS-VAC'!$G$47</f>
        <v>4199.426525981512</v>
      </c>
      <c r="L328" s="744"/>
      <c r="M328" s="751"/>
      <c r="N328" s="765">
        <f>'[1]DAS-VAC'!$H$47</f>
        <v>4199.426525981512</v>
      </c>
      <c r="O328" s="744"/>
      <c r="P328" s="751"/>
      <c r="Q328" s="765">
        <f>'[1]DAS-VAC'!$I$47</f>
        <v>4199.426525981512</v>
      </c>
      <c r="R328" s="744"/>
      <c r="S328" s="751"/>
      <c r="T328" s="765">
        <f>'[1]DAS-VAC'!$J$47</f>
        <v>5154.2269074768892</v>
      </c>
      <c r="U328" s="744"/>
      <c r="V328" s="751"/>
      <c r="W328" s="765">
        <f>'[1]DAS-VAC'!$K$47</f>
        <v>4199.426525981512</v>
      </c>
      <c r="X328" s="744"/>
      <c r="Y328" s="751"/>
      <c r="Z328" s="765">
        <f>'[1]DAS-VAC'!$L$47</f>
        <v>5154.2269074768892</v>
      </c>
      <c r="AA328" s="744"/>
      <c r="AB328" s="751"/>
      <c r="AC328" s="765">
        <f>'[1]DAS-VAC'!$M$47</f>
        <v>4199.426525981512</v>
      </c>
      <c r="AD328" s="744"/>
      <c r="AE328" s="751"/>
      <c r="AF328" s="765">
        <f>'[1]DAS-VAC'!$N$47</f>
        <v>4199.426525981512</v>
      </c>
      <c r="AG328" s="744"/>
      <c r="AH328" s="751"/>
      <c r="AI328" s="765">
        <f>'[1]DAS-VAC'!$O$47</f>
        <v>5154.2269074768892</v>
      </c>
      <c r="AJ328" s="744"/>
      <c r="AK328" s="751"/>
      <c r="AL328" s="765">
        <f>'[1]DAS-VAC'!$P$47</f>
        <v>4199.426525981512</v>
      </c>
      <c r="AM328" s="744"/>
      <c r="AN328" s="751"/>
      <c r="AO328" s="765">
        <f>'[1]DAS-VAC'!$Q$47</f>
        <v>5154.2269074768892</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7"/>
        <v>PiècesDéduction à la source</v>
      </c>
      <c r="B329" s="1158" t="s">
        <v>125</v>
      </c>
      <c r="C329" s="1142"/>
      <c r="D329" s="1160"/>
      <c r="E329" s="1161">
        <f t="shared" si="63"/>
        <v>66082.406457364152</v>
      </c>
      <c r="F329" s="1142"/>
      <c r="G329" s="1160"/>
      <c r="H329" s="1162">
        <f>'[1]DAS-VAC'!$F$55</f>
        <v>5273.7784659510899</v>
      </c>
      <c r="I329" s="1142"/>
      <c r="J329" s="1160"/>
      <c r="K329" s="1162">
        <f>'[1]DAS-VAC'!$G$55</f>
        <v>5105.910665951089</v>
      </c>
      <c r="L329" s="1142"/>
      <c r="M329" s="1160"/>
      <c r="N329" s="1162">
        <f>'[1]DAS-VAC'!$H$55</f>
        <v>5105.910665951089</v>
      </c>
      <c r="O329" s="1142"/>
      <c r="P329" s="1160"/>
      <c r="Q329" s="1162">
        <f>'[1]DAS-VAC'!$I$55</f>
        <v>5105.910665951089</v>
      </c>
      <c r="R329" s="1142"/>
      <c r="S329" s="1160"/>
      <c r="T329" s="1162">
        <f>'[1]DAS-VAC'!$J$55</f>
        <v>6266.8133324388609</v>
      </c>
      <c r="U329" s="1142"/>
      <c r="V329" s="1160"/>
      <c r="W329" s="1162">
        <f>'[1]DAS-VAC'!$K$55</f>
        <v>5105.910665951089</v>
      </c>
      <c r="X329" s="1142"/>
      <c r="Y329" s="1160"/>
      <c r="Z329" s="1162">
        <f>'[1]DAS-VAC'!$L$55</f>
        <v>6266.8133324388609</v>
      </c>
      <c r="AA329" s="1142"/>
      <c r="AB329" s="1160"/>
      <c r="AC329" s="1162">
        <f>'[1]DAS-VAC'!$M$55</f>
        <v>5105.910665951089</v>
      </c>
      <c r="AD329" s="1142"/>
      <c r="AE329" s="1160"/>
      <c r="AF329" s="1162">
        <f>'[1]DAS-VAC'!$N$55</f>
        <v>5105.910665951089</v>
      </c>
      <c r="AG329" s="1142"/>
      <c r="AH329" s="1160"/>
      <c r="AI329" s="1162">
        <f>'[1]DAS-VAC'!$O$55</f>
        <v>6266.8133324388609</v>
      </c>
      <c r="AJ329" s="1142"/>
      <c r="AK329" s="1160"/>
      <c r="AL329" s="1162">
        <f>'[1]DAS-VAC'!$P$55</f>
        <v>5105.910665951089</v>
      </c>
      <c r="AM329" s="1142"/>
      <c r="AN329" s="1160"/>
      <c r="AO329" s="1162">
        <f>'[1]DAS-VAC'!$Q$55</f>
        <v>6266.8133324388609</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7"/>
        <v>PiècesBénéfices marginaux</v>
      </c>
      <c r="B330" s="1163" t="s">
        <v>126</v>
      </c>
      <c r="C330" s="744"/>
      <c r="D330" s="751"/>
      <c r="E330" s="752">
        <f t="shared" si="63"/>
        <v>34046.805066076748</v>
      </c>
      <c r="F330" s="744"/>
      <c r="G330" s="751"/>
      <c r="H330" s="765">
        <f>'[1]DAS-VAC'!$F$63</f>
        <v>2717.1423835443652</v>
      </c>
      <c r="I330" s="744"/>
      <c r="J330" s="751"/>
      <c r="K330" s="765">
        <f>'[1]DAS-VAC'!$G$63</f>
        <v>2630.6539735443653</v>
      </c>
      <c r="L330" s="744"/>
      <c r="M330" s="751"/>
      <c r="N330" s="765">
        <f>'[1]DAS-VAC'!$H$63</f>
        <v>2630.6539735443653</v>
      </c>
      <c r="O330" s="744"/>
      <c r="P330" s="751"/>
      <c r="Q330" s="765">
        <f>'[1]DAS-VAC'!$I$63</f>
        <v>2630.6539735443653</v>
      </c>
      <c r="R330" s="744"/>
      <c r="S330" s="751"/>
      <c r="T330" s="765">
        <f>'[1]DAS-VAC'!$J$63</f>
        <v>3228.7712169304564</v>
      </c>
      <c r="U330" s="744"/>
      <c r="V330" s="751"/>
      <c r="W330" s="765">
        <f>'[1]DAS-VAC'!$K$63</f>
        <v>2630.6539735443653</v>
      </c>
      <c r="X330" s="744"/>
      <c r="Y330" s="751"/>
      <c r="Z330" s="765">
        <f>'[1]DAS-VAC'!$L$63</f>
        <v>3228.7712169304564</v>
      </c>
      <c r="AA330" s="744"/>
      <c r="AB330" s="751"/>
      <c r="AC330" s="765">
        <f>'[1]DAS-VAC'!$M$63</f>
        <v>2630.6539735443653</v>
      </c>
      <c r="AD330" s="744"/>
      <c r="AE330" s="751"/>
      <c r="AF330" s="765">
        <f>'[1]DAS-VAC'!$N$63</f>
        <v>2630.6539735443653</v>
      </c>
      <c r="AG330" s="744"/>
      <c r="AH330" s="751"/>
      <c r="AI330" s="765">
        <f>'[1]DAS-VAC'!$O$63</f>
        <v>3228.7712169304564</v>
      </c>
      <c r="AJ330" s="744"/>
      <c r="AK330" s="751"/>
      <c r="AL330" s="765">
        <f>'[1]DAS-VAC'!$P$63</f>
        <v>2630.6539735443653</v>
      </c>
      <c r="AM330" s="744"/>
      <c r="AN330" s="751"/>
      <c r="AO330" s="765">
        <f>'[1]DAS-VAC'!$Q$63</f>
        <v>3228.7712169304564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7"/>
        <v>PiècesCsst</v>
      </c>
      <c r="B331" s="1158" t="s">
        <v>127</v>
      </c>
      <c r="C331" s="744"/>
      <c r="D331" s="751"/>
      <c r="E331" s="752">
        <f t="shared" si="63"/>
        <v>14844.598552016587</v>
      </c>
      <c r="F331" s="744"/>
      <c r="G331" s="751"/>
      <c r="H331" s="765">
        <f>'[1]DAS-VAC'!$F$71</f>
        <v>1184.6893655397373</v>
      </c>
      <c r="I331" s="744"/>
      <c r="J331" s="751"/>
      <c r="K331" s="765">
        <f>'[1]DAS-VAC'!$G$71</f>
        <v>1146.9799322064041</v>
      </c>
      <c r="L331" s="744"/>
      <c r="M331" s="751"/>
      <c r="N331" s="765">
        <f>'[1]DAS-VAC'!$H$71</f>
        <v>1146.9799322064041</v>
      </c>
      <c r="O331" s="744"/>
      <c r="P331" s="751"/>
      <c r="Q331" s="765">
        <f>'[1]DAS-VAC'!$I$71</f>
        <v>1146.9799322064041</v>
      </c>
      <c r="R331" s="744"/>
      <c r="S331" s="751"/>
      <c r="T331" s="765">
        <f>'[1]DAS-VAC'!$J$71</f>
        <v>1407.7624152580049</v>
      </c>
      <c r="U331" s="744"/>
      <c r="V331" s="751"/>
      <c r="W331" s="765">
        <f>'[1]DAS-VAC'!$K$71</f>
        <v>1146.9799322064041</v>
      </c>
      <c r="X331" s="744"/>
      <c r="Y331" s="751"/>
      <c r="Z331" s="765">
        <f>'[1]DAS-VAC'!$L$71</f>
        <v>1407.7624152580049</v>
      </c>
      <c r="AA331" s="744"/>
      <c r="AB331" s="751"/>
      <c r="AC331" s="765">
        <f>'[1]DAS-VAC'!$M$71</f>
        <v>1146.9799322064041</v>
      </c>
      <c r="AD331" s="744"/>
      <c r="AE331" s="751"/>
      <c r="AF331" s="765">
        <f>'[1]DAS-VAC'!$N$71</f>
        <v>1146.9799322064041</v>
      </c>
      <c r="AG331" s="744"/>
      <c r="AH331" s="751"/>
      <c r="AI331" s="765">
        <f>'[1]DAS-VAC'!$O$71</f>
        <v>1407.7624152580049</v>
      </c>
      <c r="AJ331" s="744"/>
      <c r="AK331" s="751"/>
      <c r="AL331" s="765">
        <f>'[1]DAS-VAC'!$P$71</f>
        <v>1146.9799322064041</v>
      </c>
      <c r="AM331" s="744"/>
      <c r="AN331" s="751"/>
      <c r="AO331" s="765">
        <f>'[1]DAS-VAC'!$Q$71</f>
        <v>1407.7624152580049</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7"/>
        <v>Pièces[...]</v>
      </c>
      <c r="B332" s="744" t="s">
        <v>59</v>
      </c>
      <c r="C332" s="770"/>
      <c r="D332" s="771"/>
      <c r="E332" s="768">
        <f t="shared" si="63"/>
        <v>0</v>
      </c>
      <c r="F332" s="770"/>
      <c r="G332" s="771"/>
      <c r="H332" s="768"/>
      <c r="I332" s="770"/>
      <c r="J332" s="771"/>
      <c r="K332" s="768"/>
      <c r="L332" s="770"/>
      <c r="M332" s="771"/>
      <c r="N332" s="768"/>
      <c r="O332" s="770"/>
      <c r="P332" s="771"/>
      <c r="Q332" s="768"/>
      <c r="R332" s="770"/>
      <c r="S332" s="771"/>
      <c r="T332" s="768"/>
      <c r="U332" s="770"/>
      <c r="V332" s="771"/>
      <c r="W332" s="768"/>
      <c r="X332" s="770"/>
      <c r="Y332" s="771"/>
      <c r="Z332" s="768"/>
      <c r="AA332" s="770"/>
      <c r="AB332" s="771"/>
      <c r="AC332" s="768"/>
      <c r="AD332" s="770"/>
      <c r="AE332" s="771"/>
      <c r="AF332" s="768"/>
      <c r="AG332" s="770"/>
      <c r="AH332" s="771"/>
      <c r="AI332" s="768"/>
      <c r="AJ332" s="770"/>
      <c r="AK332" s="771"/>
      <c r="AL332" s="768"/>
      <c r="AM332" s="770"/>
      <c r="AN332" s="771"/>
      <c r="AO332" s="768"/>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7"/>
        <v>PiècesTOTAL PERSONNEL</v>
      </c>
      <c r="B333" s="1154" t="s">
        <v>128</v>
      </c>
      <c r="C333" s="1155" t="s">
        <v>119</v>
      </c>
      <c r="D333" s="1156">
        <f>IFERROR(E333/E$317,0)</f>
        <v>0.37037604386019496</v>
      </c>
      <c r="E333" s="1157">
        <f>+SUM(E321:E332)</f>
        <v>614243.75490353699</v>
      </c>
      <c r="F333" s="1155" t="s">
        <v>119</v>
      </c>
      <c r="G333" s="1156">
        <f>IFERROR(H333/H$317,0)</f>
        <v>0.41315334524241243</v>
      </c>
      <c r="H333" s="1157">
        <f>+SUM(H321:H332)</f>
        <v>49118.23729411824</v>
      </c>
      <c r="I333" s="1155" t="s">
        <v>119</v>
      </c>
      <c r="J333" s="1156">
        <f>IFERROR(K333/K$317,0)</f>
        <v>0.41402720614534749</v>
      </c>
      <c r="K333" s="1157">
        <f>+SUM(K321:K332)</f>
        <v>47471.673134118246</v>
      </c>
      <c r="L333" s="1155" t="s">
        <v>119</v>
      </c>
      <c r="M333" s="1156">
        <f>IFERROR(N333/N$317,0)</f>
        <v>0.31140904019563004</v>
      </c>
      <c r="N333" s="1157">
        <f>+SUM(N321:N332)</f>
        <v>47471.673134118246</v>
      </c>
      <c r="O333" s="1155" t="s">
        <v>119</v>
      </c>
      <c r="P333" s="1156">
        <f>IFERROR(Q333/Q$317,0)</f>
        <v>0.40592844769764946</v>
      </c>
      <c r="Q333" s="1157">
        <f>+SUM(Q321:Q332)</f>
        <v>47471.673134118246</v>
      </c>
      <c r="R333" s="1155" t="s">
        <v>119</v>
      </c>
      <c r="S333" s="1156">
        <f>IFERROR(T333/T$317,0)</f>
        <v>0.40524890872586666</v>
      </c>
      <c r="T333" s="1157">
        <f>+SUM(T321:T332)</f>
        <v>58205.951417647797</v>
      </c>
      <c r="U333" s="1155" t="s">
        <v>119</v>
      </c>
      <c r="V333" s="1156">
        <f>IFERROR(W333/W$317,0)</f>
        <v>0.32000996584933017</v>
      </c>
      <c r="W333" s="1157">
        <f>+SUM(W321:W332)</f>
        <v>47471.673134118246</v>
      </c>
      <c r="X333" s="1155" t="s">
        <v>119</v>
      </c>
      <c r="Y333" s="1156">
        <f>IFERROR(Z333/Z$317,0)</f>
        <v>0.44929443701168753</v>
      </c>
      <c r="Z333" s="1157">
        <f>+SUM(Z321:Z332)</f>
        <v>58205.951417647797</v>
      </c>
      <c r="AA333" s="1155" t="s">
        <v>119</v>
      </c>
      <c r="AB333" s="1156">
        <f>IFERROR(AC333/AC$317,0)</f>
        <v>0.36522064054409109</v>
      </c>
      <c r="AC333" s="1157">
        <f>+SUM(AC321:AC332)</f>
        <v>47471.673134118246</v>
      </c>
      <c r="AD333" s="1155" t="s">
        <v>119</v>
      </c>
      <c r="AE333" s="1156">
        <f>IFERROR(AF333/AF$317,0)</f>
        <v>0.28971012899603432</v>
      </c>
      <c r="AF333" s="1157">
        <f>+SUM(AF321:AF332)</f>
        <v>47471.673134118246</v>
      </c>
      <c r="AG333" s="1155" t="s">
        <v>119</v>
      </c>
      <c r="AH333" s="1156">
        <f>IFERROR(AI333/AI$317,0)</f>
        <v>0.39564981665212551</v>
      </c>
      <c r="AI333" s="1157">
        <f>+SUM(AI321:AI332)</f>
        <v>58205.951417647797</v>
      </c>
      <c r="AJ333" s="1155" t="s">
        <v>119</v>
      </c>
      <c r="AK333" s="1156">
        <f>IFERROR(AL333/AL$317,0)</f>
        <v>0.29729569918874721</v>
      </c>
      <c r="AL333" s="1157">
        <f>+SUM(AL321:AL332)</f>
        <v>47471.673134118246</v>
      </c>
      <c r="AM333" s="1155" t="s">
        <v>119</v>
      </c>
      <c r="AN333" s="1156">
        <f>IFERROR(AO333/AO$317,0)</f>
        <v>0.43651161804212363</v>
      </c>
      <c r="AO333" s="1157">
        <f>+SUM(AO321:AO332)</f>
        <v>58205.951417647797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7"/>
        <v>PiècesPublicité 2</v>
      </c>
      <c r="B334" s="1197" t="s">
        <v>129</v>
      </c>
      <c r="C334" s="744"/>
      <c r="D334" s="751"/>
      <c r="E334" s="752">
        <f t="shared" ref="E334:E351" si="64">+SUM(H334,K334,N334,Q334,T334,W334,Z334,AC334,AF334,AI334,AL334,AO334)</f>
        <v>72338.75</v>
      </c>
      <c r="F334" s="744"/>
      <c r="G334" s="751"/>
      <c r="H334" s="765">
        <f>[1]DEPA!$C$10</f>
        <v>7777.5</v>
      </c>
      <c r="I334" s="744"/>
      <c r="J334" s="751"/>
      <c r="K334" s="765">
        <f>[1]DEPA!$D$10</f>
        <v>2956.25</v>
      </c>
      <c r="L334" s="744"/>
      <c r="M334" s="751"/>
      <c r="N334" s="765">
        <f>[1]DEPA!$E$10</f>
        <v>4197.5</v>
      </c>
      <c r="O334" s="744"/>
      <c r="P334" s="751"/>
      <c r="Q334" s="765">
        <f>[1]DEPA!$F$10</f>
        <v>13800</v>
      </c>
      <c r="R334" s="744"/>
      <c r="S334" s="751"/>
      <c r="T334" s="765">
        <f>[1]DEPA!$G$10</f>
        <v>8405</v>
      </c>
      <c r="U334" s="744"/>
      <c r="V334" s="751"/>
      <c r="W334" s="765">
        <f>[1]DEPA!$H$10</f>
        <v>4215</v>
      </c>
      <c r="X334" s="744"/>
      <c r="Y334" s="751"/>
      <c r="Z334" s="765">
        <f>[1]DEPA!$I$10</f>
        <v>5830</v>
      </c>
      <c r="AA334" s="744"/>
      <c r="AB334" s="751"/>
      <c r="AC334" s="765">
        <f>[1]DEPA!$J$10</f>
        <v>2120</v>
      </c>
      <c r="AD334" s="744"/>
      <c r="AE334" s="751"/>
      <c r="AF334" s="765">
        <f>[1]DEPA!$K$10</f>
        <v>2812.5</v>
      </c>
      <c r="AG334" s="744"/>
      <c r="AH334" s="751"/>
      <c r="AI334" s="765">
        <f>[1]DEPA!$L$10</f>
        <v>5625</v>
      </c>
      <c r="AJ334" s="744"/>
      <c r="AK334" s="751"/>
      <c r="AL334" s="765">
        <f>[1]DEPA!$M$10</f>
        <v>9875</v>
      </c>
      <c r="AM334" s="744"/>
      <c r="AN334" s="751"/>
      <c r="AO334" s="765">
        <f>[1]DEPA!$N$10</f>
        <v>4725</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7"/>
        <v>PiècesService gratuit 2</v>
      </c>
      <c r="B335" s="1158" t="s">
        <v>130</v>
      </c>
      <c r="C335" s="744"/>
      <c r="D335" s="751"/>
      <c r="E335" s="752">
        <f t="shared" si="64"/>
        <v>6738.3093384171261</v>
      </c>
      <c r="F335" s="744"/>
      <c r="G335" s="751"/>
      <c r="H335" s="765">
        <f>[1]DEPA!$C$36</f>
        <v>561.52577820142733</v>
      </c>
      <c r="I335" s="744"/>
      <c r="J335" s="751"/>
      <c r="K335" s="765">
        <f>[1]DEPA!$D$36</f>
        <v>561.52577820142733</v>
      </c>
      <c r="L335" s="744"/>
      <c r="M335" s="751"/>
      <c r="N335" s="765">
        <f>[1]DEPA!$E$36</f>
        <v>561.52577820142733</v>
      </c>
      <c r="O335" s="744"/>
      <c r="P335" s="751"/>
      <c r="Q335" s="765">
        <f>[1]DEPA!$F$36</f>
        <v>561.52577820142733</v>
      </c>
      <c r="R335" s="744"/>
      <c r="S335" s="751"/>
      <c r="T335" s="765">
        <f>[1]DEPA!$G$36</f>
        <v>561.52577820142733</v>
      </c>
      <c r="U335" s="744"/>
      <c r="V335" s="751"/>
      <c r="W335" s="765">
        <f>[1]DEPA!$H$36</f>
        <v>561.52577820142733</v>
      </c>
      <c r="X335" s="744"/>
      <c r="Y335" s="751"/>
      <c r="Z335" s="765">
        <f>[1]DEPA!$I$36</f>
        <v>561.52577820142733</v>
      </c>
      <c r="AA335" s="744"/>
      <c r="AB335" s="751"/>
      <c r="AC335" s="765">
        <f>[1]DEPA!$J$36</f>
        <v>561.52577820142733</v>
      </c>
      <c r="AD335" s="744"/>
      <c r="AE335" s="751"/>
      <c r="AF335" s="765">
        <f>[1]DEPA!$K$36</f>
        <v>561.52577820142733</v>
      </c>
      <c r="AG335" s="744"/>
      <c r="AH335" s="751"/>
      <c r="AI335" s="765">
        <f>[1]DEPA!$L$36</f>
        <v>561.52577820142733</v>
      </c>
      <c r="AJ335" s="744"/>
      <c r="AK335" s="751"/>
      <c r="AL335" s="765">
        <f>[1]DEPA!$M$36</f>
        <v>561.52577820142733</v>
      </c>
      <c r="AM335" s="744"/>
      <c r="AN335" s="751"/>
      <c r="AO335" s="765">
        <f>[1]DEPA!$N$36</f>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7"/>
        <v>PiècesFrais véhicules de cie</v>
      </c>
      <c r="B336" s="1159" t="s">
        <v>131</v>
      </c>
      <c r="C336" s="770"/>
      <c r="D336" s="771"/>
      <c r="E336" s="768">
        <f t="shared" si="64"/>
        <v>15171.845866666668</v>
      </c>
      <c r="F336" s="770"/>
      <c r="G336" s="771"/>
      <c r="H336" s="769">
        <f>[1]DEPA!$C$45</f>
        <v>1264.3204888888893</v>
      </c>
      <c r="I336" s="770"/>
      <c r="J336" s="771"/>
      <c r="K336" s="769">
        <f>[1]DEPA!$D$45</f>
        <v>1264.3204888888893</v>
      </c>
      <c r="L336" s="770"/>
      <c r="M336" s="771"/>
      <c r="N336" s="769">
        <f>[1]DEPA!$E$45</f>
        <v>1264.3204888888893</v>
      </c>
      <c r="O336" s="770"/>
      <c r="P336" s="771"/>
      <c r="Q336" s="769">
        <f>[1]DEPA!$F$45</f>
        <v>1264.3204888888893</v>
      </c>
      <c r="R336" s="770"/>
      <c r="S336" s="771"/>
      <c r="T336" s="769">
        <f>[1]DEPA!$G$45</f>
        <v>1264.3204888888893</v>
      </c>
      <c r="U336" s="770"/>
      <c r="V336" s="771"/>
      <c r="W336" s="769">
        <f>[1]DEPA!$H$45</f>
        <v>1264.3204888888893</v>
      </c>
      <c r="X336" s="770"/>
      <c r="Y336" s="771"/>
      <c r="Z336" s="769">
        <f>[1]DEPA!$I$45</f>
        <v>1264.3204888888893</v>
      </c>
      <c r="AA336" s="770"/>
      <c r="AB336" s="771"/>
      <c r="AC336" s="769">
        <f>[1]DEPA!$J$45</f>
        <v>1264.3204888888893</v>
      </c>
      <c r="AD336" s="770"/>
      <c r="AE336" s="771"/>
      <c r="AF336" s="769">
        <f>[1]DEPA!$K$45</f>
        <v>1264.3204888888893</v>
      </c>
      <c r="AG336" s="770"/>
      <c r="AH336" s="771"/>
      <c r="AI336" s="769">
        <f>[1]DEPA!$L$45</f>
        <v>1264.3204888888893</v>
      </c>
      <c r="AJ336" s="770"/>
      <c r="AK336" s="771"/>
      <c r="AL336" s="769">
        <f>[1]DEPA!$M$45</f>
        <v>1264.3204888888893</v>
      </c>
      <c r="AM336" s="770"/>
      <c r="AN336" s="771"/>
      <c r="AO336" s="769">
        <f>[1]DEPA!$N$45</f>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7"/>
        <v>PiècesInformatique</v>
      </c>
      <c r="B337" s="1158" t="s">
        <v>132</v>
      </c>
      <c r="C337" s="744"/>
      <c r="D337" s="751"/>
      <c r="E337" s="752">
        <f t="shared" si="64"/>
        <v>78217.5</v>
      </c>
      <c r="F337" s="744"/>
      <c r="G337" s="751"/>
      <c r="H337" s="765">
        <f>[1]DEPA!$C$59</f>
        <v>9027.5</v>
      </c>
      <c r="I337" s="744"/>
      <c r="J337" s="751"/>
      <c r="K337" s="765">
        <f>[1]DEPA!$D$59</f>
        <v>6290</v>
      </c>
      <c r="L337" s="744"/>
      <c r="M337" s="751"/>
      <c r="N337" s="765">
        <f>[1]DEPA!$E$59</f>
        <v>6290</v>
      </c>
      <c r="O337" s="744"/>
      <c r="P337" s="751"/>
      <c r="Q337" s="765">
        <f>[1]DEPA!$F$59</f>
        <v>6290</v>
      </c>
      <c r="R337" s="744"/>
      <c r="S337" s="751"/>
      <c r="T337" s="765">
        <f>[1]DEPA!$G$59</f>
        <v>6290</v>
      </c>
      <c r="U337" s="744"/>
      <c r="V337" s="751"/>
      <c r="W337" s="765">
        <f>[1]DEPA!$H$59</f>
        <v>6290</v>
      </c>
      <c r="X337" s="744"/>
      <c r="Y337" s="751"/>
      <c r="Z337" s="765">
        <f>[1]DEPA!$I$59</f>
        <v>6290</v>
      </c>
      <c r="AA337" s="744"/>
      <c r="AB337" s="751"/>
      <c r="AC337" s="765">
        <f>[1]DEPA!$J$59</f>
        <v>6290</v>
      </c>
      <c r="AD337" s="744"/>
      <c r="AE337" s="751"/>
      <c r="AF337" s="765">
        <f>[1]DEPA!$K$59</f>
        <v>6290</v>
      </c>
      <c r="AG337" s="744"/>
      <c r="AH337" s="751"/>
      <c r="AI337" s="765">
        <f>[1]DEPA!$L$59</f>
        <v>6290</v>
      </c>
      <c r="AJ337" s="744"/>
      <c r="AK337" s="751"/>
      <c r="AL337" s="765">
        <f>[1]DEPA!$M$59</f>
        <v>6290</v>
      </c>
      <c r="AM337" s="744"/>
      <c r="AN337" s="751"/>
      <c r="AO337" s="765">
        <f>[1]DEPA!$N$59</f>
        <v>6290</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7"/>
        <v>PiècesFrais de déplacement</v>
      </c>
      <c r="B338" s="1158" t="s">
        <v>133</v>
      </c>
      <c r="C338" s="744"/>
      <c r="D338" s="751"/>
      <c r="E338" s="752">
        <f t="shared" si="64"/>
        <v>12000</v>
      </c>
      <c r="F338" s="744"/>
      <c r="G338" s="751"/>
      <c r="H338" s="765">
        <f>[1]DEPA!$C$79</f>
        <v>1000</v>
      </c>
      <c r="I338" s="744"/>
      <c r="J338" s="751"/>
      <c r="K338" s="765">
        <f>[1]DEPA!$D$79</f>
        <v>1000</v>
      </c>
      <c r="L338" s="744"/>
      <c r="M338" s="751"/>
      <c r="N338" s="765">
        <f>[1]DEPA!$E$79</f>
        <v>1000</v>
      </c>
      <c r="O338" s="744"/>
      <c r="P338" s="751"/>
      <c r="Q338" s="765">
        <f>[1]DEPA!$F$79</f>
        <v>1000</v>
      </c>
      <c r="R338" s="744"/>
      <c r="S338" s="751"/>
      <c r="T338" s="765">
        <f>[1]DEPA!$G$79</f>
        <v>1000</v>
      </c>
      <c r="U338" s="744"/>
      <c r="V338" s="751"/>
      <c r="W338" s="765">
        <f>[1]DEPA!$H$79</f>
        <v>1000</v>
      </c>
      <c r="X338" s="744"/>
      <c r="Y338" s="751"/>
      <c r="Z338" s="765">
        <f>[1]DEPA!$I$79</f>
        <v>1000</v>
      </c>
      <c r="AA338" s="744"/>
      <c r="AB338" s="751"/>
      <c r="AC338" s="765">
        <f>[1]DEPA!$J$79</f>
        <v>1000</v>
      </c>
      <c r="AD338" s="744"/>
      <c r="AE338" s="751"/>
      <c r="AF338" s="765">
        <f>[1]DEPA!$K$79</f>
        <v>1000</v>
      </c>
      <c r="AG338" s="744"/>
      <c r="AH338" s="751"/>
      <c r="AI338" s="765">
        <f>[1]DEPA!$L$79</f>
        <v>1000</v>
      </c>
      <c r="AJ338" s="744"/>
      <c r="AK338" s="751"/>
      <c r="AL338" s="765">
        <f>[1]DEPA!$M$79</f>
        <v>1000</v>
      </c>
      <c r="AM338" s="744"/>
      <c r="AN338" s="751"/>
      <c r="AO338" s="765">
        <f>[1]DEPA!$N$79</f>
        <v>1000</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7"/>
        <v>PiècesServices extérieurs</v>
      </c>
      <c r="B339" s="1159" t="s">
        <v>134</v>
      </c>
      <c r="C339" s="770"/>
      <c r="D339" s="771"/>
      <c r="E339" s="768">
        <f t="shared" si="64"/>
        <v>188773.00000000003</v>
      </c>
      <c r="F339" s="770"/>
      <c r="G339" s="771"/>
      <c r="H339" s="769">
        <f>[1]DEPA!$C$88</f>
        <v>16619.945350967431</v>
      </c>
      <c r="I339" s="770"/>
      <c r="J339" s="771"/>
      <c r="K339" s="769">
        <f>[1]DEPA!$D$88</f>
        <v>15552.451815916791</v>
      </c>
      <c r="L339" s="770"/>
      <c r="M339" s="771"/>
      <c r="N339" s="769">
        <f>[1]DEPA!$E$88</f>
        <v>16440.026346529616</v>
      </c>
      <c r="O339" s="770"/>
      <c r="P339" s="771"/>
      <c r="Q339" s="769">
        <f>[1]DEPA!$F$88</f>
        <v>14366.511139771295</v>
      </c>
      <c r="R339" s="770"/>
      <c r="S339" s="771"/>
      <c r="T339" s="769">
        <f>[1]DEPA!$G$88</f>
        <v>15029.059416782648</v>
      </c>
      <c r="U339" s="770"/>
      <c r="V339" s="771"/>
      <c r="W339" s="769">
        <f>[1]DEPA!$H$88</f>
        <v>14070.908137768016</v>
      </c>
      <c r="X339" s="770"/>
      <c r="Y339" s="771"/>
      <c r="Z339" s="769">
        <f>[1]DEPA!$I$88</f>
        <v>14429.878112932751</v>
      </c>
      <c r="AA339" s="770"/>
      <c r="AB339" s="771"/>
      <c r="AC339" s="769">
        <f>[1]DEPA!$J$88</f>
        <v>15220.684774047741</v>
      </c>
      <c r="AD339" s="770"/>
      <c r="AE339" s="771"/>
      <c r="AF339" s="769">
        <f>[1]DEPA!$K$88</f>
        <v>14835.779442293466</v>
      </c>
      <c r="AG339" s="770"/>
      <c r="AH339" s="771"/>
      <c r="AI339" s="769">
        <f>[1]DEPA!$L$88</f>
        <v>17713.123848883632</v>
      </c>
      <c r="AJ339" s="770"/>
      <c r="AK339" s="771"/>
      <c r="AL339" s="769">
        <f>[1]DEPA!$M$88</f>
        <v>16345.839150026848</v>
      </c>
      <c r="AM339" s="770"/>
      <c r="AN339" s="771"/>
      <c r="AO339" s="769">
        <f>[1]DEPA!$N$88</f>
        <v>18148.792464079794</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7"/>
        <v>PiècesFournitures d'atelier</v>
      </c>
      <c r="B340" s="1158" t="s">
        <v>490</v>
      </c>
      <c r="C340" s="744"/>
      <c r="D340" s="751"/>
      <c r="E340" s="752"/>
      <c r="F340" s="744"/>
      <c r="G340" s="751"/>
      <c r="H340" s="765"/>
      <c r="I340" s="744"/>
      <c r="J340" s="751"/>
      <c r="K340" s="765"/>
      <c r="L340" s="744"/>
      <c r="M340" s="751"/>
      <c r="N340" s="765"/>
      <c r="O340" s="744"/>
      <c r="P340" s="751"/>
      <c r="Q340" s="765"/>
      <c r="R340" s="744"/>
      <c r="S340" s="751"/>
      <c r="T340" s="765"/>
      <c r="U340" s="744"/>
      <c r="V340" s="751"/>
      <c r="W340" s="765"/>
      <c r="X340" s="744"/>
      <c r="Y340" s="751"/>
      <c r="Z340" s="765"/>
      <c r="AA340" s="744"/>
      <c r="AB340" s="751"/>
      <c r="AC340" s="765"/>
      <c r="AD340" s="744"/>
      <c r="AE340" s="751"/>
      <c r="AF340" s="765"/>
      <c r="AG340" s="744"/>
      <c r="AH340" s="751"/>
      <c r="AI340" s="765"/>
      <c r="AJ340" s="744"/>
      <c r="AK340" s="751"/>
      <c r="AL340" s="765"/>
      <c r="AM340" s="744"/>
      <c r="AN340" s="751"/>
      <c r="AO340" s="765"/>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65">+$C$294&amp;B341</f>
        <v>PiècesFournitures autres</v>
      </c>
      <c r="B341" s="1158" t="s">
        <v>135</v>
      </c>
      <c r="C341" s="744"/>
      <c r="D341" s="751"/>
      <c r="E341" s="752">
        <f t="shared" si="64"/>
        <v>600</v>
      </c>
      <c r="F341" s="744"/>
      <c r="G341" s="751"/>
      <c r="H341" s="765">
        <f>[1]DEPA!$C$117</f>
        <v>50</v>
      </c>
      <c r="I341" s="744"/>
      <c r="J341" s="751"/>
      <c r="K341" s="765">
        <f>[1]DEPA!$D$117</f>
        <v>50</v>
      </c>
      <c r="L341" s="744"/>
      <c r="M341" s="751"/>
      <c r="N341" s="765">
        <f>[1]DEPA!$E$117</f>
        <v>50</v>
      </c>
      <c r="O341" s="744"/>
      <c r="P341" s="751"/>
      <c r="Q341" s="765">
        <f>[1]DEPA!$F$117</f>
        <v>50</v>
      </c>
      <c r="R341" s="744"/>
      <c r="S341" s="751"/>
      <c r="T341" s="765">
        <f>[1]DEPA!$G$117</f>
        <v>50</v>
      </c>
      <c r="U341" s="744"/>
      <c r="V341" s="751"/>
      <c r="W341" s="765">
        <f>[1]DEPA!$H$117</f>
        <v>50</v>
      </c>
      <c r="X341" s="744"/>
      <c r="Y341" s="751"/>
      <c r="Z341" s="765">
        <f>[1]DEPA!$I$117</f>
        <v>50</v>
      </c>
      <c r="AA341" s="744"/>
      <c r="AB341" s="751"/>
      <c r="AC341" s="765">
        <f>[1]DEPA!$J$117</f>
        <v>50</v>
      </c>
      <c r="AD341" s="744"/>
      <c r="AE341" s="751"/>
      <c r="AF341" s="765">
        <f>[1]DEPA!$K$117</f>
        <v>50</v>
      </c>
      <c r="AG341" s="744"/>
      <c r="AH341" s="751"/>
      <c r="AI341" s="765">
        <f>[1]DEPA!$L$117</f>
        <v>50</v>
      </c>
      <c r="AJ341" s="744"/>
      <c r="AK341" s="751"/>
      <c r="AL341" s="765">
        <f>[1]DEPA!$M$117</f>
        <v>50</v>
      </c>
      <c r="AM341" s="744"/>
      <c r="AN341" s="751"/>
      <c r="AO341" s="765">
        <f>[1]DEPA!$N$117</f>
        <v>50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65"/>
        <v>PiècesUniformes</v>
      </c>
      <c r="B342" s="1158" t="s">
        <v>136</v>
      </c>
      <c r="C342" s="744"/>
      <c r="D342" s="751"/>
      <c r="E342" s="752">
        <f t="shared" si="64"/>
        <v>0</v>
      </c>
      <c r="F342" s="744"/>
      <c r="G342" s="751"/>
      <c r="H342" s="765">
        <f>[1]DEPA!$C$126</f>
        <v>0</v>
      </c>
      <c r="I342" s="744"/>
      <c r="J342" s="751"/>
      <c r="K342" s="765">
        <f>[1]DEPA!$D$126</f>
        <v>0</v>
      </c>
      <c r="L342" s="744"/>
      <c r="M342" s="751"/>
      <c r="N342" s="765">
        <f>[1]DEPA!$E$126</f>
        <v>0</v>
      </c>
      <c r="O342" s="744"/>
      <c r="P342" s="751"/>
      <c r="Q342" s="765">
        <f>[1]DEPA!$F$126</f>
        <v>0</v>
      </c>
      <c r="R342" s="744"/>
      <c r="S342" s="751"/>
      <c r="T342" s="765">
        <f>[1]DEPA!$G$126</f>
        <v>0</v>
      </c>
      <c r="U342" s="744"/>
      <c r="V342" s="751"/>
      <c r="W342" s="765">
        <f>[1]DEPA!$H$126</f>
        <v>0</v>
      </c>
      <c r="X342" s="744"/>
      <c r="Y342" s="751"/>
      <c r="Z342" s="765">
        <f>[1]DEPA!$I$126</f>
        <v>0</v>
      </c>
      <c r="AA342" s="744"/>
      <c r="AB342" s="751"/>
      <c r="AC342" s="765">
        <f>[1]DEPA!$J$126</f>
        <v>0</v>
      </c>
      <c r="AD342" s="744"/>
      <c r="AE342" s="751"/>
      <c r="AF342" s="765">
        <f>[1]DEPA!$K$126</f>
        <v>0</v>
      </c>
      <c r="AG342" s="744"/>
      <c r="AH342" s="751"/>
      <c r="AI342" s="765">
        <f>[1]DEPA!$L$126</f>
        <v>0</v>
      </c>
      <c r="AJ342" s="744"/>
      <c r="AK342" s="751"/>
      <c r="AL342" s="765">
        <f>[1]DEPA!$M$126</f>
        <v>0</v>
      </c>
      <c r="AM342" s="744"/>
      <c r="AN342" s="751"/>
      <c r="AO342" s="765">
        <f>[1]DEPA!$N$126</f>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65"/>
        <v>PiècesPapeterie</v>
      </c>
      <c r="B343" s="1158" t="s">
        <v>137</v>
      </c>
      <c r="C343" s="744"/>
      <c r="D343" s="751"/>
      <c r="E343" s="752">
        <f t="shared" si="64"/>
        <v>5814</v>
      </c>
      <c r="F343" s="744"/>
      <c r="G343" s="751"/>
      <c r="H343" s="765">
        <f>[1]DEPA!$C$135</f>
        <v>484.5</v>
      </c>
      <c r="I343" s="744"/>
      <c r="J343" s="751"/>
      <c r="K343" s="765">
        <f>[1]DEPA!$D$135</f>
        <v>484.5</v>
      </c>
      <c r="L343" s="744"/>
      <c r="M343" s="751"/>
      <c r="N343" s="765">
        <f>[1]DEPA!$E$135</f>
        <v>484.5</v>
      </c>
      <c r="O343" s="744"/>
      <c r="P343" s="751"/>
      <c r="Q343" s="765">
        <f>[1]DEPA!$F$135</f>
        <v>484.5</v>
      </c>
      <c r="R343" s="744"/>
      <c r="S343" s="751"/>
      <c r="T343" s="765">
        <f>[1]DEPA!$G$135</f>
        <v>484.5</v>
      </c>
      <c r="U343" s="744"/>
      <c r="V343" s="751"/>
      <c r="W343" s="765">
        <f>[1]DEPA!$H$135</f>
        <v>484.5</v>
      </c>
      <c r="X343" s="744"/>
      <c r="Y343" s="751"/>
      <c r="Z343" s="765">
        <f>[1]DEPA!$I$135</f>
        <v>484.5</v>
      </c>
      <c r="AA343" s="744"/>
      <c r="AB343" s="751"/>
      <c r="AC343" s="765">
        <f>[1]DEPA!$J$135</f>
        <v>484.5</v>
      </c>
      <c r="AD343" s="744"/>
      <c r="AE343" s="751"/>
      <c r="AF343" s="765">
        <f>[1]DEPA!$K$135</f>
        <v>484.5</v>
      </c>
      <c r="AG343" s="744"/>
      <c r="AH343" s="751"/>
      <c r="AI343" s="765">
        <f>[1]DEPA!$L$135</f>
        <v>484.5</v>
      </c>
      <c r="AJ343" s="744"/>
      <c r="AK343" s="751"/>
      <c r="AL343" s="765">
        <f>[1]DEPA!$M$135</f>
        <v>484.5</v>
      </c>
      <c r="AM343" s="744"/>
      <c r="AN343" s="751"/>
      <c r="AO343" s="765">
        <f>[1]DEPA!$N$135</f>
        <v>484.5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65"/>
        <v>PiècesTéléphone</v>
      </c>
      <c r="B344" s="1158" t="s">
        <v>138</v>
      </c>
      <c r="C344" s="744"/>
      <c r="D344" s="751"/>
      <c r="E344" s="752">
        <f t="shared" si="64"/>
        <v>1365</v>
      </c>
      <c r="F344" s="744"/>
      <c r="G344" s="751"/>
      <c r="H344" s="765">
        <f>[1]DEPA!$C$144</f>
        <v>113.75</v>
      </c>
      <c r="I344" s="744"/>
      <c r="J344" s="751"/>
      <c r="K344" s="765">
        <f>[1]DEPA!$D$144</f>
        <v>113.75</v>
      </c>
      <c r="L344" s="744"/>
      <c r="M344" s="751"/>
      <c r="N344" s="765">
        <f>[1]DEPA!$E$144</f>
        <v>113.75</v>
      </c>
      <c r="O344" s="744"/>
      <c r="P344" s="751"/>
      <c r="Q344" s="765">
        <f>[1]DEPA!$F$144</f>
        <v>113.75</v>
      </c>
      <c r="R344" s="744"/>
      <c r="S344" s="751"/>
      <c r="T344" s="765">
        <f>[1]DEPA!$G$144</f>
        <v>113.75</v>
      </c>
      <c r="U344" s="744"/>
      <c r="V344" s="751"/>
      <c r="W344" s="765">
        <f>[1]DEPA!$H$144</f>
        <v>113.75</v>
      </c>
      <c r="X344" s="744"/>
      <c r="Y344" s="751"/>
      <c r="Z344" s="765">
        <f>[1]DEPA!$I$144</f>
        <v>113.75</v>
      </c>
      <c r="AA344" s="744"/>
      <c r="AB344" s="751"/>
      <c r="AC344" s="765">
        <f>[1]DEPA!$J$144</f>
        <v>113.75</v>
      </c>
      <c r="AD344" s="744"/>
      <c r="AE344" s="751"/>
      <c r="AF344" s="765">
        <f>[1]DEPA!$K$144</f>
        <v>113.75</v>
      </c>
      <c r="AG344" s="744"/>
      <c r="AH344" s="751"/>
      <c r="AI344" s="765">
        <f>[1]DEPA!$L$144</f>
        <v>113.75</v>
      </c>
      <c r="AJ344" s="744"/>
      <c r="AK344" s="751"/>
      <c r="AL344" s="765">
        <f>[1]DEPA!$M$144</f>
        <v>113.75</v>
      </c>
      <c r="AM344" s="744"/>
      <c r="AN344" s="751"/>
      <c r="AO344" s="765">
        <f>[1]DEPA!$N$144</f>
        <v>113.75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65"/>
        <v>PiècesFrais postaux</v>
      </c>
      <c r="B345" s="1158" t="s">
        <v>139</v>
      </c>
      <c r="C345" s="744"/>
      <c r="D345" s="751"/>
      <c r="E345" s="752">
        <f t="shared" si="64"/>
        <v>2136.75</v>
      </c>
      <c r="F345" s="744"/>
      <c r="G345" s="751"/>
      <c r="H345" s="765">
        <f>[1]DEPA!$C$153</f>
        <v>178.0625</v>
      </c>
      <c r="I345" s="744"/>
      <c r="J345" s="751"/>
      <c r="K345" s="765">
        <f>[1]DEPA!$D$153</f>
        <v>178.0625</v>
      </c>
      <c r="L345" s="744"/>
      <c r="M345" s="751"/>
      <c r="N345" s="765">
        <f>[1]DEPA!$E$153</f>
        <v>178.0625</v>
      </c>
      <c r="O345" s="744"/>
      <c r="P345" s="751"/>
      <c r="Q345" s="765">
        <f>[1]DEPA!$F$153</f>
        <v>178.0625</v>
      </c>
      <c r="R345" s="744"/>
      <c r="S345" s="751"/>
      <c r="T345" s="765">
        <f>[1]DEPA!$G$153</f>
        <v>178.0625</v>
      </c>
      <c r="U345" s="744"/>
      <c r="V345" s="751"/>
      <c r="W345" s="765">
        <f>[1]DEPA!$H$153</f>
        <v>178.0625</v>
      </c>
      <c r="X345" s="744"/>
      <c r="Y345" s="751"/>
      <c r="Z345" s="765">
        <f>[1]DEPA!$I$153</f>
        <v>178.0625</v>
      </c>
      <c r="AA345" s="744"/>
      <c r="AB345" s="751"/>
      <c r="AC345" s="765">
        <f>[1]DEPA!$J$153</f>
        <v>178.0625</v>
      </c>
      <c r="AD345" s="744"/>
      <c r="AE345" s="751"/>
      <c r="AF345" s="765">
        <f>[1]DEPA!$K$153</f>
        <v>178.0625</v>
      </c>
      <c r="AG345" s="744"/>
      <c r="AH345" s="751"/>
      <c r="AI345" s="765">
        <f>[1]DEPA!$L$153</f>
        <v>178.0625</v>
      </c>
      <c r="AJ345" s="744"/>
      <c r="AK345" s="751"/>
      <c r="AL345" s="765">
        <f>[1]DEPA!$M$153</f>
        <v>178.0625</v>
      </c>
      <c r="AM345" s="744"/>
      <c r="AN345" s="751"/>
      <c r="AO345" s="765">
        <f>[1]DEPA!$N$153</f>
        <v>178.0625</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65"/>
        <v>PiècesDivers</v>
      </c>
      <c r="B346" s="1158" t="s">
        <v>140</v>
      </c>
      <c r="C346" s="744"/>
      <c r="D346" s="751"/>
      <c r="E346" s="752">
        <f t="shared" si="64"/>
        <v>1125</v>
      </c>
      <c r="F346" s="744"/>
      <c r="G346" s="751"/>
      <c r="H346" s="765">
        <f>[1]DEPA!$C$162</f>
        <v>93.75</v>
      </c>
      <c r="I346" s="744"/>
      <c r="J346" s="751"/>
      <c r="K346" s="765">
        <f>[1]DEPA!$D$162</f>
        <v>93.75</v>
      </c>
      <c r="L346" s="744"/>
      <c r="M346" s="751"/>
      <c r="N346" s="765">
        <f>[1]DEPA!$E$162</f>
        <v>93.75</v>
      </c>
      <c r="O346" s="744"/>
      <c r="P346" s="751"/>
      <c r="Q346" s="765">
        <f>[1]DEPA!$F$162</f>
        <v>93.75</v>
      </c>
      <c r="R346" s="744"/>
      <c r="S346" s="751"/>
      <c r="T346" s="765">
        <f>[1]DEPA!$G$162</f>
        <v>93.75</v>
      </c>
      <c r="U346" s="744"/>
      <c r="V346" s="751"/>
      <c r="W346" s="765">
        <f>[1]DEPA!$H$162</f>
        <v>93.75</v>
      </c>
      <c r="X346" s="744"/>
      <c r="Y346" s="751"/>
      <c r="Z346" s="765">
        <f>[1]DEPA!$I$162</f>
        <v>93.75</v>
      </c>
      <c r="AA346" s="744"/>
      <c r="AB346" s="751"/>
      <c r="AC346" s="765">
        <f>[1]DEPA!$J$162</f>
        <v>93.75</v>
      </c>
      <c r="AD346" s="744"/>
      <c r="AE346" s="751"/>
      <c r="AF346" s="765">
        <f>[1]DEPA!$K$162</f>
        <v>93.75</v>
      </c>
      <c r="AG346" s="744"/>
      <c r="AH346" s="751"/>
      <c r="AI346" s="765">
        <f>[1]DEPA!$L$162</f>
        <v>93.75</v>
      </c>
      <c r="AJ346" s="744"/>
      <c r="AK346" s="751"/>
      <c r="AL346" s="765">
        <f>[1]DEPA!$M$162</f>
        <v>93.75</v>
      </c>
      <c r="AM346" s="744"/>
      <c r="AN346" s="751"/>
      <c r="AO346" s="765">
        <f>[1]DEPA!$N$162</f>
        <v>93.75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65"/>
        <v>PiècesFormation</v>
      </c>
      <c r="B347" s="1158" t="s">
        <v>141</v>
      </c>
      <c r="C347" s="744"/>
      <c r="D347" s="751"/>
      <c r="E347" s="752">
        <f t="shared" si="64"/>
        <v>4000.0000000000005</v>
      </c>
      <c r="F347" s="744"/>
      <c r="G347" s="751"/>
      <c r="H347" s="765">
        <f>[1]DEPA!$C$173</f>
        <v>333.33333333333331</v>
      </c>
      <c r="I347" s="744"/>
      <c r="J347" s="751"/>
      <c r="K347" s="765">
        <f>[1]DEPA!$D$173</f>
        <v>333.33333333333331</v>
      </c>
      <c r="L347" s="744"/>
      <c r="M347" s="751"/>
      <c r="N347" s="765">
        <f>[1]DEPA!$E$173</f>
        <v>333.33333333333331</v>
      </c>
      <c r="O347" s="744"/>
      <c r="P347" s="751"/>
      <c r="Q347" s="765">
        <f>[1]DEPA!$F$173</f>
        <v>333.33333333333331</v>
      </c>
      <c r="R347" s="744"/>
      <c r="S347" s="751"/>
      <c r="T347" s="765">
        <f>[1]DEPA!$G$173</f>
        <v>333.33333333333331</v>
      </c>
      <c r="U347" s="744"/>
      <c r="V347" s="751"/>
      <c r="W347" s="765">
        <f>[1]DEPA!$H$173</f>
        <v>333.33333333333331</v>
      </c>
      <c r="X347" s="744"/>
      <c r="Y347" s="751"/>
      <c r="Z347" s="765">
        <f>[1]DEPA!$I$173</f>
        <v>333.33333333333331</v>
      </c>
      <c r="AA347" s="744"/>
      <c r="AB347" s="751"/>
      <c r="AC347" s="765">
        <f>[1]DEPA!$J$173</f>
        <v>333.33333333333331</v>
      </c>
      <c r="AD347" s="744"/>
      <c r="AE347" s="751"/>
      <c r="AF347" s="765">
        <f>[1]DEPA!$K$173</f>
        <v>333.33333333333331</v>
      </c>
      <c r="AG347" s="744"/>
      <c r="AH347" s="751"/>
      <c r="AI347" s="765">
        <f>[1]DEPA!$L$173</f>
        <v>333.33333333333331</v>
      </c>
      <c r="AJ347" s="744"/>
      <c r="AK347" s="751"/>
      <c r="AL347" s="765">
        <f>[1]DEPA!$M$173</f>
        <v>333.33333333333331</v>
      </c>
      <c r="AM347" s="744"/>
      <c r="AN347" s="751"/>
      <c r="AO347" s="765">
        <f>[1]DEPA!$N$173</f>
        <v>333.33333333333331</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65"/>
        <v>PiècesFrais bancaires</v>
      </c>
      <c r="B348" s="1158" t="s">
        <v>142</v>
      </c>
      <c r="C348" s="744"/>
      <c r="D348" s="751"/>
      <c r="E348" s="752">
        <f t="shared" si="64"/>
        <v>19477.398565714509</v>
      </c>
      <c r="F348" s="744"/>
      <c r="G348" s="751"/>
      <c r="H348" s="765">
        <f>[1]DEPA!$C$185</f>
        <v>1246.9878464862741</v>
      </c>
      <c r="I348" s="744"/>
      <c r="J348" s="751"/>
      <c r="K348" s="765">
        <f>[1]DEPA!$D$185</f>
        <v>1261.8805005194286</v>
      </c>
      <c r="L348" s="744"/>
      <c r="M348" s="751"/>
      <c r="N348" s="765">
        <f>[1]DEPA!$E$185</f>
        <v>1721.6730548630967</v>
      </c>
      <c r="O348" s="744"/>
      <c r="P348" s="751"/>
      <c r="Q348" s="765">
        <f>[1]DEPA!$F$185</f>
        <v>1828.2222873684677</v>
      </c>
      <c r="R348" s="744"/>
      <c r="S348" s="751"/>
      <c r="T348" s="765">
        <f>[1]DEPA!$G$185</f>
        <v>1946.1989413156423</v>
      </c>
      <c r="U348" s="744"/>
      <c r="V348" s="751"/>
      <c r="W348" s="765">
        <f>[1]DEPA!$H$185</f>
        <v>1758.7545521556597</v>
      </c>
      <c r="X348" s="744"/>
      <c r="Y348" s="751"/>
      <c r="Z348" s="765">
        <f>[1]DEPA!$I$185</f>
        <v>1667.553314705272</v>
      </c>
      <c r="AA348" s="744"/>
      <c r="AB348" s="751"/>
      <c r="AC348" s="765">
        <f>[1]DEPA!$J$185</f>
        <v>1616.6280112824588</v>
      </c>
      <c r="AD348" s="744"/>
      <c r="AE348" s="751"/>
      <c r="AF348" s="765">
        <f>[1]DEPA!$K$185</f>
        <v>1685.9779877482606</v>
      </c>
      <c r="AG348" s="744"/>
      <c r="AH348" s="751"/>
      <c r="AI348" s="765">
        <f>[1]DEPA!$L$185</f>
        <v>1690.1375538285822</v>
      </c>
      <c r="AJ348" s="744"/>
      <c r="AK348" s="751"/>
      <c r="AL348" s="765">
        <f>[1]DEPA!$M$185</f>
        <v>1746.977006056811</v>
      </c>
      <c r="AM348" s="744"/>
      <c r="AN348" s="751"/>
      <c r="AO348" s="765">
        <f>[1]DEPA!$N$185</f>
        <v>1306.407509384554</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65"/>
        <v>Pièces[...]</v>
      </c>
      <c r="B349" s="1158" t="s">
        <v>59</v>
      </c>
      <c r="C349" s="744"/>
      <c r="D349" s="751"/>
      <c r="E349" s="752">
        <f t="shared" si="64"/>
        <v>0</v>
      </c>
      <c r="F349" s="744"/>
      <c r="G349" s="751"/>
      <c r="H349" s="752"/>
      <c r="I349" s="744"/>
      <c r="J349" s="751"/>
      <c r="K349" s="752"/>
      <c r="L349" s="744"/>
      <c r="M349" s="751"/>
      <c r="N349" s="752"/>
      <c r="O349" s="744"/>
      <c r="P349" s="751"/>
      <c r="Q349" s="752"/>
      <c r="R349" s="744"/>
      <c r="S349" s="751"/>
      <c r="T349" s="752"/>
      <c r="U349" s="744"/>
      <c r="V349" s="751"/>
      <c r="W349" s="752"/>
      <c r="X349" s="744"/>
      <c r="Y349" s="751"/>
      <c r="Z349" s="752"/>
      <c r="AA349" s="744"/>
      <c r="AB349" s="751"/>
      <c r="AC349" s="752"/>
      <c r="AD349" s="744"/>
      <c r="AE349" s="751"/>
      <c r="AF349" s="752"/>
      <c r="AG349" s="744"/>
      <c r="AH349" s="751"/>
      <c r="AI349" s="752"/>
      <c r="AJ349" s="744"/>
      <c r="AK349" s="751"/>
      <c r="AL349" s="752"/>
      <c r="AM349" s="744"/>
      <c r="AN349" s="751"/>
      <c r="AO349" s="752"/>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65"/>
        <v>Pièces[...]</v>
      </c>
      <c r="B350" s="1158" t="s">
        <v>59</v>
      </c>
      <c r="C350" s="744"/>
      <c r="D350" s="751"/>
      <c r="E350" s="752">
        <f t="shared" si="64"/>
        <v>0</v>
      </c>
      <c r="F350" s="744"/>
      <c r="G350" s="751"/>
      <c r="H350" s="752"/>
      <c r="I350" s="744"/>
      <c r="J350" s="751"/>
      <c r="K350" s="752"/>
      <c r="L350" s="744"/>
      <c r="M350" s="751"/>
      <c r="N350" s="752"/>
      <c r="O350" s="744"/>
      <c r="P350" s="751"/>
      <c r="Q350" s="752"/>
      <c r="R350" s="744"/>
      <c r="S350" s="751"/>
      <c r="T350" s="752"/>
      <c r="U350" s="744"/>
      <c r="V350" s="751"/>
      <c r="W350" s="752"/>
      <c r="X350" s="744"/>
      <c r="Y350" s="751"/>
      <c r="Z350" s="752"/>
      <c r="AA350" s="744"/>
      <c r="AB350" s="751"/>
      <c r="AC350" s="752"/>
      <c r="AD350" s="744"/>
      <c r="AE350" s="751"/>
      <c r="AF350" s="752"/>
      <c r="AG350" s="744"/>
      <c r="AH350" s="751"/>
      <c r="AI350" s="752"/>
      <c r="AJ350" s="744"/>
      <c r="AK350" s="751"/>
      <c r="AL350" s="752"/>
      <c r="AM350" s="744"/>
      <c r="AN350" s="751"/>
      <c r="AO350" s="752"/>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65"/>
        <v>Pièces[...]</v>
      </c>
      <c r="B351" s="1158" t="s">
        <v>59</v>
      </c>
      <c r="C351" s="744"/>
      <c r="D351" s="751"/>
      <c r="E351" s="752">
        <f t="shared" si="64"/>
        <v>0</v>
      </c>
      <c r="F351" s="744"/>
      <c r="G351" s="751"/>
      <c r="H351" s="752"/>
      <c r="I351" s="744"/>
      <c r="J351" s="751"/>
      <c r="K351" s="752"/>
      <c r="L351" s="744"/>
      <c r="M351" s="751"/>
      <c r="N351" s="752"/>
      <c r="O351" s="744"/>
      <c r="P351" s="751"/>
      <c r="Q351" s="752"/>
      <c r="R351" s="744"/>
      <c r="S351" s="751"/>
      <c r="T351" s="752"/>
      <c r="U351" s="744"/>
      <c r="V351" s="751"/>
      <c r="W351" s="752"/>
      <c r="X351" s="744"/>
      <c r="Y351" s="751"/>
      <c r="Z351" s="752"/>
      <c r="AA351" s="744"/>
      <c r="AB351" s="751"/>
      <c r="AC351" s="752"/>
      <c r="AD351" s="744"/>
      <c r="AE351" s="751"/>
      <c r="AF351" s="752"/>
      <c r="AG351" s="744"/>
      <c r="AH351" s="751"/>
      <c r="AI351" s="752"/>
      <c r="AJ351" s="744"/>
      <c r="AK351" s="751"/>
      <c r="AL351" s="752"/>
      <c r="AM351" s="744"/>
      <c r="AN351" s="751"/>
      <c r="AO351" s="752"/>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65"/>
        <v>PiècesTOTAL SEMI-FIXES</v>
      </c>
      <c r="B352" s="1154" t="s">
        <v>143</v>
      </c>
      <c r="C352" s="1155" t="s">
        <v>119</v>
      </c>
      <c r="D352" s="1156">
        <f>IFERROR(E352/E$317,0)</f>
        <v>0.24586921464664507</v>
      </c>
      <c r="E352" s="1157">
        <f>+SUM(E334:E351)</f>
        <v>407757.55377079826</v>
      </c>
      <c r="F352" s="1155" t="s">
        <v>119</v>
      </c>
      <c r="G352" s="1156">
        <f>IFERROR(H352/H$317,0)</f>
        <v>0.32595179689622816</v>
      </c>
      <c r="H352" s="1157">
        <f>+SUM(H334:H351)</f>
        <v>38751.175297877358</v>
      </c>
      <c r="I352" s="1155" t="s">
        <v>119</v>
      </c>
      <c r="J352" s="1156">
        <f>IFERROR(K352/K$317,0)</f>
        <v>0.26286638900989734</v>
      </c>
      <c r="K352" s="1157">
        <f>+SUM(K334:K351)</f>
        <v>30139.824416859872</v>
      </c>
      <c r="L352" s="1155" t="s">
        <v>119</v>
      </c>
      <c r="M352" s="1156">
        <f>IFERROR(N352/N$317,0)</f>
        <v>0.21469503563493408</v>
      </c>
      <c r="N352" s="1157">
        <f>+SUM(N334:N351)</f>
        <v>32728.441501816364</v>
      </c>
      <c r="O352" s="1155" t="s">
        <v>119</v>
      </c>
      <c r="P352" s="1156">
        <f>IFERROR(Q352/Q$317,0)</f>
        <v>0.34515079935183046</v>
      </c>
      <c r="Q352" s="1157">
        <f>+SUM(Q334:Q351)</f>
        <v>40363.975527563416</v>
      </c>
      <c r="R352" s="1155" t="s">
        <v>119</v>
      </c>
      <c r="S352" s="1156">
        <f>IFERROR(T352/T$317,0)</f>
        <v>0.24889973783537117</v>
      </c>
      <c r="T352" s="1157">
        <f>+SUM(T334:T351)</f>
        <v>35749.500458521943</v>
      </c>
      <c r="U352" s="1155" t="s">
        <v>119</v>
      </c>
      <c r="V352" s="1156">
        <f>IFERROR(W352/W$317,0)</f>
        <v>0.20502232153913333</v>
      </c>
      <c r="W352" s="1157">
        <f>+SUM(W334:W351)</f>
        <v>30413.904790347326</v>
      </c>
      <c r="X352" s="1155" t="s">
        <v>119</v>
      </c>
      <c r="Y352" s="1156">
        <f>IFERROR(Z352/Z$317,0)</f>
        <v>0.24929952000992725</v>
      </c>
      <c r="Z352" s="1157">
        <f>+SUM(Z334:Z351)</f>
        <v>32296.67352806167</v>
      </c>
      <c r="AA352" s="1155" t="s">
        <v>119</v>
      </c>
      <c r="AB352" s="1156">
        <f>IFERROR(AC352/AC$317,0)</f>
        <v>0.22562219642156725</v>
      </c>
      <c r="AC352" s="1157">
        <f>+SUM(AC334:AC351)</f>
        <v>29326.554885753845</v>
      </c>
      <c r="AD352" s="1155" t="s">
        <v>119</v>
      </c>
      <c r="AE352" s="1156">
        <f>IFERROR(AF352/AF$317,0)</f>
        <v>0.18127451830679212</v>
      </c>
      <c r="AF352" s="1157">
        <f>+SUM(AF334:AF351)</f>
        <v>29703.499530465378</v>
      </c>
      <c r="AG352" s="1155" t="s">
        <v>119</v>
      </c>
      <c r="AH352" s="1156">
        <f>IFERROR(AI352/AI$317,0)</f>
        <v>0.24061140536073111</v>
      </c>
      <c r="AI352" s="1157">
        <f>+SUM(AI334:AI351)</f>
        <v>35397.503503135864</v>
      </c>
      <c r="AJ352" s="1155" t="s">
        <v>119</v>
      </c>
      <c r="AK352" s="1156">
        <f>IFERROR(AL352/AL$317,0)</f>
        <v>0.24008933721395737</v>
      </c>
      <c r="AL352" s="1157">
        <f>+SUM(AL334:AL351)</f>
        <v>38337.058256507313</v>
      </c>
      <c r="AM352" s="1155" t="s">
        <v>119</v>
      </c>
      <c r="AN352" s="1156">
        <f>IFERROR(AO352/AO$317,0)</f>
        <v>0.2591012172262665</v>
      </c>
      <c r="AO352" s="1157">
        <f>+SUM(AO334:AO351)</f>
        <v>34549.442073888</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65"/>
        <v>Pièces</v>
      </c>
      <c r="B353" s="770"/>
      <c r="C353" s="770"/>
      <c r="D353" s="771"/>
      <c r="E353" s="768"/>
      <c r="F353" s="770"/>
      <c r="G353" s="771"/>
      <c r="H353" s="768"/>
      <c r="I353" s="770"/>
      <c r="J353" s="771"/>
      <c r="K353" s="768"/>
      <c r="L353" s="770"/>
      <c r="M353" s="771"/>
      <c r="N353" s="768"/>
      <c r="O353" s="770"/>
      <c r="P353" s="771"/>
      <c r="Q353" s="768"/>
      <c r="R353" s="770"/>
      <c r="S353" s="771"/>
      <c r="T353" s="768"/>
      <c r="U353" s="770"/>
      <c r="V353" s="771"/>
      <c r="W353" s="768"/>
      <c r="X353" s="770"/>
      <c r="Y353" s="771"/>
      <c r="Z353" s="768"/>
      <c r="AA353" s="770"/>
      <c r="AB353" s="771"/>
      <c r="AC353" s="768"/>
      <c r="AD353" s="770"/>
      <c r="AE353" s="771"/>
      <c r="AF353" s="768"/>
      <c r="AG353" s="770"/>
      <c r="AH353" s="771"/>
      <c r="AI353" s="768"/>
      <c r="AJ353" s="770"/>
      <c r="AK353" s="771"/>
      <c r="AL353" s="768"/>
      <c r="AM353" s="770"/>
      <c r="AN353" s="771"/>
      <c r="AO353" s="768"/>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65"/>
        <v>PiècesTOTAL DES DÉPENSES</v>
      </c>
      <c r="B354" s="1164" t="s">
        <v>144</v>
      </c>
      <c r="C354" s="1155" t="s">
        <v>119</v>
      </c>
      <c r="D354" s="1177">
        <f>IFERROR(E354/E$317,0)</f>
        <v>0.61624525850684009</v>
      </c>
      <c r="E354" s="1165">
        <f>E333+E352</f>
        <v>1022001.3086743352</v>
      </c>
      <c r="F354" s="1155" t="s">
        <v>119</v>
      </c>
      <c r="G354" s="1177">
        <f>IFERROR(H354/H$317,0)</f>
        <v>0.73910514213864054</v>
      </c>
      <c r="H354" s="1165">
        <f>H333+H352</f>
        <v>87869.412591995599</v>
      </c>
      <c r="I354" s="1155" t="s">
        <v>119</v>
      </c>
      <c r="J354" s="1177">
        <f>IFERROR(K354/K$317,0)</f>
        <v>0.67689359515524483</v>
      </c>
      <c r="K354" s="1165">
        <f>K333+K352</f>
        <v>77611.497550978122</v>
      </c>
      <c r="L354" s="1155" t="s">
        <v>119</v>
      </c>
      <c r="M354" s="1177">
        <f>IFERROR(N354/N$317,0)</f>
        <v>0.52610407583056418</v>
      </c>
      <c r="N354" s="1165">
        <f>N333+N352</f>
        <v>80200.114635934617</v>
      </c>
      <c r="O354" s="1155" t="s">
        <v>119</v>
      </c>
      <c r="P354" s="1177">
        <f>IFERROR(Q354/Q$317,0)</f>
        <v>0.75107924704947981</v>
      </c>
      <c r="Q354" s="1165">
        <f>Q333+Q352</f>
        <v>87835.648661681655</v>
      </c>
      <c r="R354" s="1155" t="s">
        <v>119</v>
      </c>
      <c r="S354" s="1177">
        <f>IFERROR(T354/T$317,0)</f>
        <v>0.65414864656123783</v>
      </c>
      <c r="T354" s="1165">
        <f>T333+T352</f>
        <v>93955.45187616974</v>
      </c>
      <c r="U354" s="1155" t="s">
        <v>119</v>
      </c>
      <c r="V354" s="1177">
        <f>IFERROR(W354/W$317,0)</f>
        <v>0.52503228738846353</v>
      </c>
      <c r="W354" s="1165">
        <f>W333+W352</f>
        <v>77885.577924465571</v>
      </c>
      <c r="X354" s="1155" t="s">
        <v>119</v>
      </c>
      <c r="Y354" s="1177">
        <f>IFERROR(Z354/Z$317,0)</f>
        <v>0.69859395702161486</v>
      </c>
      <c r="Z354" s="1165">
        <f>Z333+Z352</f>
        <v>90502.624945709467</v>
      </c>
      <c r="AA354" s="1155" t="s">
        <v>119</v>
      </c>
      <c r="AB354" s="1177">
        <f>IFERROR(AC354/AC$317,0)</f>
        <v>0.59084283696565842</v>
      </c>
      <c r="AC354" s="1165">
        <f>AC333+AC352</f>
        <v>76798.228019872098</v>
      </c>
      <c r="AD354" s="1155" t="s">
        <v>119</v>
      </c>
      <c r="AE354" s="1177">
        <f>IFERROR(AF354/AF$317,0)</f>
        <v>0.47098464730282646</v>
      </c>
      <c r="AF354" s="1165">
        <f>AF333+AF352</f>
        <v>77175.172664583632</v>
      </c>
      <c r="AG354" s="1155" t="s">
        <v>119</v>
      </c>
      <c r="AH354" s="1177">
        <f>IFERROR(AI354/AI$317,0)</f>
        <v>0.63626122201285673</v>
      </c>
      <c r="AI354" s="1165">
        <f>AI333+AI352</f>
        <v>93603.454920783668</v>
      </c>
      <c r="AJ354" s="1155" t="s">
        <v>119</v>
      </c>
      <c r="AK354" s="1177">
        <f>IFERROR(AL354/AL$317,0)</f>
        <v>0.53738503640270452</v>
      </c>
      <c r="AL354" s="1165">
        <f>AL333+AL352</f>
        <v>85808.731390625559</v>
      </c>
      <c r="AM354" s="1155" t="s">
        <v>119</v>
      </c>
      <c r="AN354" s="1177">
        <f>IFERROR(AO354/AO$317,0)</f>
        <v>0.69561283526839013</v>
      </c>
      <c r="AO354" s="1165">
        <f>AO333+AO352</f>
        <v>92755.393491535797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65"/>
        <v>Pièces</v>
      </c>
      <c r="B355" s="744"/>
      <c r="C355" s="744"/>
      <c r="D355" s="751"/>
      <c r="E355" s="752"/>
      <c r="F355" s="744"/>
      <c r="G355" s="751"/>
      <c r="H355" s="752"/>
      <c r="I355" s="744"/>
      <c r="J355" s="751"/>
      <c r="K355" s="752"/>
      <c r="L355" s="744"/>
      <c r="M355" s="751"/>
      <c r="N355" s="752"/>
      <c r="O355" s="744"/>
      <c r="P355" s="751"/>
      <c r="Q355" s="752"/>
      <c r="R355" s="744"/>
      <c r="S355" s="751"/>
      <c r="T355" s="752"/>
      <c r="U355" s="744"/>
      <c r="V355" s="751"/>
      <c r="W355" s="752"/>
      <c r="X355" s="744"/>
      <c r="Y355" s="751"/>
      <c r="Z355" s="752"/>
      <c r="AA355" s="744"/>
      <c r="AB355" s="751"/>
      <c r="AC355" s="752"/>
      <c r="AD355" s="744"/>
      <c r="AE355" s="751"/>
      <c r="AF355" s="752"/>
      <c r="AG355" s="744"/>
      <c r="AH355" s="751"/>
      <c r="AI355" s="752"/>
      <c r="AJ355" s="744"/>
      <c r="AK355" s="751"/>
      <c r="AL355" s="752"/>
      <c r="AM355" s="744"/>
      <c r="AN355" s="751"/>
      <c r="AO355" s="752"/>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65"/>
        <v>PiècesPROFIT DÉPARTEMENTAL</v>
      </c>
      <c r="B356" s="1168" t="s">
        <v>151</v>
      </c>
      <c r="C356" s="1168"/>
      <c r="D356" s="1206">
        <f>E356/E317</f>
        <v>0.38375474149315997</v>
      </c>
      <c r="E356" s="1171">
        <f>E317-E354</f>
        <v>636431.42499186867</v>
      </c>
      <c r="F356" s="1168"/>
      <c r="G356" s="1179"/>
      <c r="H356" s="1171">
        <f>H317-H354</f>
        <v>31016.802078004825</v>
      </c>
      <c r="I356" s="1168"/>
      <c r="J356" s="1179"/>
      <c r="K356" s="1171">
        <f>K317-K354</f>
        <v>37046.844774122481</v>
      </c>
      <c r="L356" s="1168"/>
      <c r="M356" s="1179"/>
      <c r="N356" s="1171">
        <f>N317-N354</f>
        <v>72241.423683878122</v>
      </c>
      <c r="O356" s="1168"/>
      <c r="P356" s="1179"/>
      <c r="Q356" s="1171">
        <f>Q317-Q354</f>
        <v>29110.264844426958</v>
      </c>
      <c r="R356" s="1168"/>
      <c r="S356" s="1179"/>
      <c r="T356" s="1171">
        <f>T317-T354</f>
        <v>49674.673126885114</v>
      </c>
      <c r="U356" s="1168"/>
      <c r="V356" s="1179"/>
      <c r="W356" s="1171">
        <f>W317-W354</f>
        <v>70458.780689882275</v>
      </c>
      <c r="X356" s="1168"/>
      <c r="Y356" s="1179"/>
      <c r="Z356" s="1171">
        <f>Z317-Z354</f>
        <v>39047.057006247749</v>
      </c>
      <c r="AA356" s="1168"/>
      <c r="AB356" s="1179"/>
      <c r="AC356" s="1171">
        <f>AC317-AC354</f>
        <v>53182.577729213837</v>
      </c>
      <c r="AD356" s="1168"/>
      <c r="AE356" s="1179"/>
      <c r="AF356" s="1171">
        <f>AF317-AF354</f>
        <v>86684.038259892055</v>
      </c>
      <c r="AG356" s="1168"/>
      <c r="AH356" s="1179"/>
      <c r="AI356" s="1171">
        <f>AI317-AI354</f>
        <v>53511.364719901991</v>
      </c>
      <c r="AJ356" s="1168"/>
      <c r="AK356" s="1179"/>
      <c r="AL356" s="1171">
        <f>AL317-AL354</f>
        <v>73869.572949658264</v>
      </c>
      <c r="AM356" s="1168"/>
      <c r="AN356" s="1179"/>
      <c r="AO356" s="1171">
        <f>AO317-AO354</f>
        <v>40588.025129754795</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792"/>
      <c r="C357" s="792"/>
      <c r="D357" s="792"/>
      <c r="E357" s="828"/>
      <c r="F357" s="792"/>
      <c r="G357" s="792"/>
      <c r="H357" s="828"/>
      <c r="I357" s="792"/>
      <c r="J357" s="792"/>
      <c r="K357" s="828"/>
      <c r="L357" s="792"/>
      <c r="M357" s="792"/>
      <c r="N357" s="828"/>
      <c r="O357" s="792"/>
      <c r="P357" s="792"/>
      <c r="Q357" s="828"/>
      <c r="R357" s="792"/>
      <c r="S357" s="792"/>
      <c r="T357" s="828"/>
      <c r="U357" s="792"/>
      <c r="V357" s="792"/>
      <c r="W357" s="828"/>
      <c r="X357" s="792"/>
      <c r="Y357" s="792"/>
      <c r="Z357" s="828"/>
      <c r="AA357" s="792"/>
      <c r="AB357" s="792"/>
      <c r="AC357" s="828"/>
      <c r="AD357" s="792"/>
      <c r="AE357" s="792"/>
      <c r="AF357" s="828"/>
      <c r="AG357" s="792"/>
      <c r="AH357" s="792"/>
      <c r="AI357" s="828"/>
      <c r="AJ357" s="792"/>
      <c r="AK357" s="792"/>
      <c r="AL357" s="828"/>
      <c r="AM357" s="792"/>
      <c r="AN357" s="792"/>
      <c r="AO357" s="828"/>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792"/>
      <c r="C358" s="792"/>
      <c r="D358" s="792"/>
      <c r="E358" s="828"/>
      <c r="F358" s="792"/>
      <c r="G358" s="792"/>
      <c r="H358" s="828"/>
      <c r="I358" s="792"/>
      <c r="J358" s="792"/>
      <c r="K358" s="828"/>
      <c r="L358" s="792"/>
      <c r="M358" s="792"/>
      <c r="N358" s="828"/>
      <c r="O358" s="792"/>
      <c r="P358" s="792"/>
      <c r="Q358" s="828"/>
      <c r="R358" s="792"/>
      <c r="S358" s="792"/>
      <c r="T358" s="828"/>
      <c r="U358" s="792"/>
      <c r="V358" s="792"/>
      <c r="W358" s="828"/>
      <c r="X358" s="792"/>
      <c r="Y358" s="792"/>
      <c r="Z358" s="828"/>
      <c r="AA358" s="792"/>
      <c r="AB358" s="792"/>
      <c r="AC358" s="828"/>
      <c r="AD358" s="792"/>
      <c r="AE358" s="792"/>
      <c r="AF358" s="828"/>
      <c r="AG358" s="792"/>
      <c r="AH358" s="792"/>
      <c r="AI358" s="828"/>
      <c r="AJ358" s="792"/>
      <c r="AK358" s="792"/>
      <c r="AL358" s="828"/>
      <c r="AM358" s="792"/>
      <c r="AN358" s="792"/>
      <c r="AO358" s="828"/>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1173" t="str">
        <f>+B294</f>
        <v>Budget 2025</v>
      </c>
      <c r="C359" s="784" t="s">
        <v>196</v>
      </c>
      <c r="D359" s="784"/>
      <c r="E359" s="784"/>
      <c r="F359" s="784"/>
      <c r="G359" s="784"/>
      <c r="H359" s="784"/>
      <c r="I359" s="784"/>
      <c r="J359" s="784"/>
      <c r="K359" s="784"/>
      <c r="L359" s="784"/>
      <c r="M359" s="784"/>
      <c r="N359" s="784"/>
      <c r="O359" s="784"/>
      <c r="P359" s="784"/>
      <c r="Q359" s="784"/>
      <c r="R359" s="784"/>
      <c r="S359" s="784"/>
      <c r="T359" s="784"/>
      <c r="U359" s="784"/>
      <c r="V359" s="784"/>
      <c r="W359" s="784"/>
      <c r="X359" s="784"/>
      <c r="Y359" s="784"/>
      <c r="Z359" s="784"/>
      <c r="AA359" s="784"/>
      <c r="AB359" s="784"/>
      <c r="AC359" s="784"/>
      <c r="AD359" s="784"/>
      <c r="AE359" s="784"/>
      <c r="AF359" s="784"/>
      <c r="AG359" s="784"/>
      <c r="AH359" s="784"/>
      <c r="AI359" s="784"/>
      <c r="AJ359" s="784"/>
      <c r="AK359" s="784"/>
      <c r="AL359" s="784"/>
      <c r="AM359" s="784"/>
      <c r="AN359" s="784"/>
      <c r="AO359" s="784"/>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1174"/>
      <c r="C360" s="783"/>
      <c r="D360" s="783"/>
      <c r="E360" s="783"/>
      <c r="F360" s="783"/>
      <c r="G360" s="783"/>
      <c r="H360" s="783"/>
      <c r="I360" s="783"/>
      <c r="J360" s="783"/>
      <c r="K360" s="783"/>
      <c r="L360" s="783"/>
      <c r="M360" s="783"/>
      <c r="N360" s="783"/>
      <c r="O360" s="783"/>
      <c r="P360" s="783"/>
      <c r="Q360" s="783"/>
      <c r="R360" s="783"/>
      <c r="S360" s="783"/>
      <c r="T360" s="783"/>
      <c r="U360" s="783"/>
      <c r="V360" s="783"/>
      <c r="W360" s="783"/>
      <c r="X360" s="783"/>
      <c r="Y360" s="783"/>
      <c r="Z360" s="783"/>
      <c r="AA360" s="783"/>
      <c r="AB360" s="783"/>
      <c r="AC360" s="783"/>
      <c r="AD360" s="783"/>
      <c r="AE360" s="783"/>
      <c r="AF360" s="783"/>
      <c r="AG360" s="783"/>
      <c r="AH360" s="783"/>
      <c r="AI360" s="783"/>
      <c r="AJ360" s="783"/>
      <c r="AK360" s="783"/>
      <c r="AL360" s="783"/>
      <c r="AM360" s="783"/>
      <c r="AN360" s="783"/>
      <c r="AO360" s="783"/>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912" t="s">
        <v>3</v>
      </c>
      <c r="C361" s="1287">
        <v>2021</v>
      </c>
      <c r="D361" s="1288"/>
      <c r="E361" s="1289"/>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744"/>
      <c r="C362" s="785" t="s">
        <v>163</v>
      </c>
      <c r="D362" s="762" t="s">
        <v>181</v>
      </c>
      <c r="E362" s="786" t="s">
        <v>95</v>
      </c>
      <c r="F362" s="785" t="s">
        <v>163</v>
      </c>
      <c r="G362" s="762" t="s">
        <v>181</v>
      </c>
      <c r="H362" s="786" t="s">
        <v>95</v>
      </c>
      <c r="I362" s="785" t="s">
        <v>163</v>
      </c>
      <c r="J362" s="762" t="s">
        <v>181</v>
      </c>
      <c r="K362" s="786" t="s">
        <v>95</v>
      </c>
      <c r="L362" s="785" t="s">
        <v>163</v>
      </c>
      <c r="M362" s="762" t="s">
        <v>181</v>
      </c>
      <c r="N362" s="786" t="s">
        <v>95</v>
      </c>
      <c r="O362" s="785" t="s">
        <v>163</v>
      </c>
      <c r="P362" s="762" t="s">
        <v>181</v>
      </c>
      <c r="Q362" s="786" t="s">
        <v>95</v>
      </c>
      <c r="R362" s="785" t="s">
        <v>163</v>
      </c>
      <c r="S362" s="762" t="s">
        <v>181</v>
      </c>
      <c r="T362" s="786" t="s">
        <v>95</v>
      </c>
      <c r="U362" s="785" t="s">
        <v>163</v>
      </c>
      <c r="V362" s="762" t="s">
        <v>181</v>
      </c>
      <c r="W362" s="786" t="s">
        <v>95</v>
      </c>
      <c r="X362" s="785" t="s">
        <v>163</v>
      </c>
      <c r="Y362" s="762" t="s">
        <v>181</v>
      </c>
      <c r="Z362" s="786" t="s">
        <v>95</v>
      </c>
      <c r="AA362" s="785" t="s">
        <v>163</v>
      </c>
      <c r="AB362" s="762" t="s">
        <v>181</v>
      </c>
      <c r="AC362" s="786" t="s">
        <v>95</v>
      </c>
      <c r="AD362" s="785" t="s">
        <v>163</v>
      </c>
      <c r="AE362" s="762" t="s">
        <v>181</v>
      </c>
      <c r="AF362" s="786" t="s">
        <v>95</v>
      </c>
      <c r="AG362" s="785" t="s">
        <v>163</v>
      </c>
      <c r="AH362" s="762" t="s">
        <v>181</v>
      </c>
      <c r="AI362" s="786" t="s">
        <v>95</v>
      </c>
      <c r="AJ362" s="785" t="s">
        <v>163</v>
      </c>
      <c r="AK362" s="762" t="s">
        <v>181</v>
      </c>
      <c r="AL362" s="786" t="s">
        <v>95</v>
      </c>
      <c r="AM362" s="785" t="s">
        <v>163</v>
      </c>
      <c r="AN362" s="762" t="s">
        <v>181</v>
      </c>
      <c r="AO362" s="786"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66">+$C$359&amp;B363</f>
        <v>BoutiqueBoutique</v>
      </c>
      <c r="B363" s="1152" t="s">
        <v>196</v>
      </c>
      <c r="C363" s="753">
        <f>+SUM(F363,I363,L363,O363,R363,U363,X363,AA363,AD363,AG363,AJ363,AM363)</f>
        <v>0</v>
      </c>
      <c r="D363" s="825">
        <f>IF(C363&lt;=0,0,E363/C363)</f>
        <v>0</v>
      </c>
      <c r="E363" s="755">
        <f>+SUM(H363,K363,N363,Q363,T363,W363,Z363,AC363,AF363,AI363,AL363,AO363)</f>
        <v>0</v>
      </c>
      <c r="F363" s="753"/>
      <c r="G363" s="825">
        <f>IF(F363&lt;=0,0,H363/F363)</f>
        <v>0</v>
      </c>
      <c r="H363" s="755"/>
      <c r="I363" s="753"/>
      <c r="J363" s="825">
        <f>IF(I363&lt;=0,0,K363/I363)</f>
        <v>0</v>
      </c>
      <c r="K363" s="755"/>
      <c r="L363" s="753"/>
      <c r="M363" s="825">
        <f>IF(L363&lt;=0,0,N363/L363)</f>
        <v>0</v>
      </c>
      <c r="N363" s="755"/>
      <c r="O363" s="753"/>
      <c r="P363" s="825">
        <f>IF(O363&lt;=0,0,Q363/O363)</f>
        <v>0</v>
      </c>
      <c r="Q363" s="755"/>
      <c r="R363" s="753"/>
      <c r="S363" s="825">
        <f>IF(R363&lt;=0,0,T363/R363)</f>
        <v>0</v>
      </c>
      <c r="T363" s="755"/>
      <c r="U363" s="753"/>
      <c r="V363" s="825">
        <f>IF(U363&lt;=0,0,W363/U363)</f>
        <v>0</v>
      </c>
      <c r="W363" s="755"/>
      <c r="X363" s="753"/>
      <c r="Y363" s="825">
        <f>IF(X363&lt;=0,0,Z363/X363)</f>
        <v>0</v>
      </c>
      <c r="Z363" s="755"/>
      <c r="AA363" s="753"/>
      <c r="AB363" s="825">
        <f>IF(AA363&lt;=0,0,AC363/AA363)</f>
        <v>0</v>
      </c>
      <c r="AC363" s="755"/>
      <c r="AD363" s="753"/>
      <c r="AE363" s="825">
        <f>IF(AD363&lt;=0,0,AF363/AD363)</f>
        <v>0</v>
      </c>
      <c r="AF363" s="755"/>
      <c r="AG363" s="753"/>
      <c r="AH363" s="825">
        <f>IF(AG363&lt;=0,0,AI363/AG363)</f>
        <v>0</v>
      </c>
      <c r="AI363" s="755"/>
      <c r="AJ363" s="753"/>
      <c r="AK363" s="825">
        <f>IF(AJ363&lt;=0,0,AL363/AJ363)</f>
        <v>0</v>
      </c>
      <c r="AL363" s="755"/>
      <c r="AM363" s="753"/>
      <c r="AN363" s="825">
        <f>IF(AM363&lt;=0,0,AO363/AM363)</f>
        <v>0</v>
      </c>
      <c r="AO363" s="755"/>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66"/>
        <v>Boutique</v>
      </c>
      <c r="B364" s="1202"/>
      <c r="C364" s="1203"/>
      <c r="D364" s="1204"/>
      <c r="E364" s="1205"/>
      <c r="F364" s="1203"/>
      <c r="G364" s="1204"/>
      <c r="H364" s="1205"/>
      <c r="I364" s="1203"/>
      <c r="J364" s="1204"/>
      <c r="K364" s="1205"/>
      <c r="L364" s="1203"/>
      <c r="M364" s="1204"/>
      <c r="N364" s="1205"/>
      <c r="O364" s="1203"/>
      <c r="P364" s="1204"/>
      <c r="Q364" s="1205"/>
      <c r="R364" s="1203"/>
      <c r="S364" s="1204"/>
      <c r="T364" s="1205"/>
      <c r="U364" s="1203"/>
      <c r="V364" s="1204"/>
      <c r="W364" s="1205"/>
      <c r="X364" s="1203"/>
      <c r="Y364" s="1204"/>
      <c r="Z364" s="1205"/>
      <c r="AA364" s="1203"/>
      <c r="AB364" s="1204"/>
      <c r="AC364" s="1205"/>
      <c r="AD364" s="1203"/>
      <c r="AE364" s="1204"/>
      <c r="AF364" s="1205"/>
      <c r="AG364" s="1203"/>
      <c r="AH364" s="1204"/>
      <c r="AI364" s="1205"/>
      <c r="AJ364" s="1203"/>
      <c r="AK364" s="1204"/>
      <c r="AL364" s="1205"/>
      <c r="AM364" s="1203"/>
      <c r="AN364" s="1204"/>
      <c r="AO364" s="1205"/>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66"/>
        <v>BoutiqueTotal Dépt. Boutique</v>
      </c>
      <c r="B365" s="759" t="s">
        <v>197</v>
      </c>
      <c r="C365" s="826">
        <f>+C363</f>
        <v>0</v>
      </c>
      <c r="D365" s="827">
        <f>IF(C365&lt;=0,0,E365/C365)</f>
        <v>0</v>
      </c>
      <c r="E365" s="780">
        <f>+E363</f>
        <v>0</v>
      </c>
      <c r="F365" s="826">
        <f>+F363</f>
        <v>0</v>
      </c>
      <c r="G365" s="827">
        <f>IF(F365&lt;=0,0,H365/F365)</f>
        <v>0</v>
      </c>
      <c r="H365" s="780">
        <f>+H363</f>
        <v>0</v>
      </c>
      <c r="I365" s="826">
        <f>+I363</f>
        <v>0</v>
      </c>
      <c r="J365" s="827">
        <f>IF(I365&lt;=0,0,K365/I365)</f>
        <v>0</v>
      </c>
      <c r="K365" s="780">
        <f>+K363</f>
        <v>0</v>
      </c>
      <c r="L365" s="826">
        <f>+L363</f>
        <v>0</v>
      </c>
      <c r="M365" s="827">
        <f>IF(L365&lt;=0,0,N365/L365)</f>
        <v>0</v>
      </c>
      <c r="N365" s="780">
        <f>+N363</f>
        <v>0</v>
      </c>
      <c r="O365" s="826">
        <f>+O363</f>
        <v>0</v>
      </c>
      <c r="P365" s="827">
        <f>IF(O365&lt;=0,0,Q365/O365)</f>
        <v>0</v>
      </c>
      <c r="Q365" s="780">
        <f>+Q363</f>
        <v>0</v>
      </c>
      <c r="R365" s="826">
        <f>+R363</f>
        <v>0</v>
      </c>
      <c r="S365" s="827">
        <f>IF(R365&lt;=0,0,T365/R365)</f>
        <v>0</v>
      </c>
      <c r="T365" s="780">
        <f>+T363</f>
        <v>0</v>
      </c>
      <c r="U365" s="826">
        <f>+U363</f>
        <v>0</v>
      </c>
      <c r="V365" s="827">
        <f>IF(U365&lt;=0,0,W365/U365)</f>
        <v>0</v>
      </c>
      <c r="W365" s="780">
        <f>+W363</f>
        <v>0</v>
      </c>
      <c r="X365" s="826">
        <f>+X363</f>
        <v>0</v>
      </c>
      <c r="Y365" s="827">
        <f>IF(X365&lt;=0,0,Z365/X365)</f>
        <v>0</v>
      </c>
      <c r="Z365" s="780">
        <f>+Z363</f>
        <v>0</v>
      </c>
      <c r="AA365" s="826">
        <f>+AA363</f>
        <v>0</v>
      </c>
      <c r="AB365" s="827">
        <f>IF(AA365&lt;=0,0,AC365/AA365)</f>
        <v>0</v>
      </c>
      <c r="AC365" s="780">
        <f>+AC363</f>
        <v>0</v>
      </c>
      <c r="AD365" s="826">
        <f>+AD363</f>
        <v>0</v>
      </c>
      <c r="AE365" s="827">
        <f>IF(AD365&lt;=0,0,AF365/AD365)</f>
        <v>0</v>
      </c>
      <c r="AF365" s="780">
        <f>+AF363</f>
        <v>0</v>
      </c>
      <c r="AG365" s="826">
        <f>+AG363</f>
        <v>0</v>
      </c>
      <c r="AH365" s="827">
        <f>IF(AG365&lt;=0,0,AI365/AG365)</f>
        <v>0</v>
      </c>
      <c r="AI365" s="780">
        <f>+AI363</f>
        <v>0</v>
      </c>
      <c r="AJ365" s="826">
        <f>+AJ363</f>
        <v>0</v>
      </c>
      <c r="AK365" s="827">
        <f>IF(AJ365&lt;=0,0,AL365/AJ365)</f>
        <v>0</v>
      </c>
      <c r="AL365" s="780">
        <f>+AL363</f>
        <v>0</v>
      </c>
      <c r="AM365" s="826">
        <f>+AM363</f>
        <v>0</v>
      </c>
      <c r="AN365" s="827">
        <f>IF(AM365&lt;=0,0,AO365/AM365)</f>
        <v>0</v>
      </c>
      <c r="AO365" s="780">
        <f>+AO363</f>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66"/>
        <v>Boutique</v>
      </c>
      <c r="B366" s="1153"/>
      <c r="C366" s="744"/>
      <c r="D366" s="751"/>
      <c r="E366" s="745"/>
      <c r="F366" s="744"/>
      <c r="G366" s="751"/>
      <c r="H366" s="745"/>
      <c r="I366" s="744"/>
      <c r="J366" s="751"/>
      <c r="K366" s="745"/>
      <c r="L366" s="744"/>
      <c r="M366" s="751"/>
      <c r="N366" s="745"/>
      <c r="O366" s="744"/>
      <c r="P366" s="751"/>
      <c r="Q366" s="745"/>
      <c r="R366" s="744"/>
      <c r="S366" s="751"/>
      <c r="T366" s="745"/>
      <c r="U366" s="744"/>
      <c r="V366" s="751"/>
      <c r="W366" s="745"/>
      <c r="X366" s="744"/>
      <c r="Y366" s="751"/>
      <c r="Z366" s="745"/>
      <c r="AA366" s="744"/>
      <c r="AB366" s="751"/>
      <c r="AC366" s="745"/>
      <c r="AD366" s="744"/>
      <c r="AE366" s="751"/>
      <c r="AF366" s="745"/>
      <c r="AG366" s="744"/>
      <c r="AH366" s="751"/>
      <c r="AI366" s="745"/>
      <c r="AJ366" s="744"/>
      <c r="AK366" s="751"/>
      <c r="AL366" s="745"/>
      <c r="AM366" s="744"/>
      <c r="AN366" s="751"/>
      <c r="AO366" s="745"/>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66"/>
        <v>BoutiqueDEPENSES</v>
      </c>
      <c r="B367" s="1153" t="s">
        <v>110</v>
      </c>
      <c r="C367" s="744"/>
      <c r="D367" s="751"/>
      <c r="E367" s="745"/>
      <c r="F367" s="744"/>
      <c r="G367" s="751"/>
      <c r="H367" s="745"/>
      <c r="I367" s="744"/>
      <c r="J367" s="751"/>
      <c r="K367" s="745"/>
      <c r="L367" s="744"/>
      <c r="M367" s="751"/>
      <c r="N367" s="745"/>
      <c r="O367" s="744"/>
      <c r="P367" s="751"/>
      <c r="Q367" s="745"/>
      <c r="R367" s="744"/>
      <c r="S367" s="751"/>
      <c r="T367" s="745"/>
      <c r="U367" s="744"/>
      <c r="V367" s="751"/>
      <c r="W367" s="745"/>
      <c r="X367" s="744"/>
      <c r="Y367" s="751"/>
      <c r="Z367" s="745"/>
      <c r="AA367" s="744"/>
      <c r="AB367" s="751"/>
      <c r="AC367" s="745"/>
      <c r="AD367" s="744"/>
      <c r="AE367" s="751"/>
      <c r="AF367" s="745"/>
      <c r="AG367" s="744"/>
      <c r="AH367" s="751"/>
      <c r="AI367" s="745"/>
      <c r="AJ367" s="744"/>
      <c r="AK367" s="751"/>
      <c r="AL367" s="745"/>
      <c r="AM367" s="744"/>
      <c r="AN367" s="751"/>
      <c r="AO367" s="745"/>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66"/>
        <v>BoutiqueSalaires cadres</v>
      </c>
      <c r="B368" s="1158" t="s">
        <v>120</v>
      </c>
      <c r="C368" s="744"/>
      <c r="D368" s="751"/>
      <c r="E368" s="752">
        <f t="shared" ref="E368:E379" si="67">+SUM(H368,K368,N368,Q368,T368,W368,Z368,AC368,AF368,AI368,AL368,AO368)</f>
        <v>0</v>
      </c>
      <c r="F368" s="744"/>
      <c r="G368" s="751"/>
      <c r="H368" s="765"/>
      <c r="I368" s="744"/>
      <c r="J368" s="751"/>
      <c r="K368" s="765"/>
      <c r="L368" s="744"/>
      <c r="M368" s="751"/>
      <c r="N368" s="765"/>
      <c r="O368" s="744"/>
      <c r="P368" s="751"/>
      <c r="Q368" s="765"/>
      <c r="R368" s="744"/>
      <c r="S368" s="751"/>
      <c r="T368" s="765"/>
      <c r="U368" s="744"/>
      <c r="V368" s="751"/>
      <c r="W368" s="765"/>
      <c r="X368" s="744"/>
      <c r="Y368" s="751"/>
      <c r="Z368" s="765"/>
      <c r="AA368" s="744"/>
      <c r="AB368" s="751"/>
      <c r="AC368" s="765"/>
      <c r="AD368" s="744"/>
      <c r="AE368" s="751"/>
      <c r="AF368" s="765"/>
      <c r="AG368" s="744"/>
      <c r="AH368" s="751"/>
      <c r="AI368" s="765"/>
      <c r="AJ368" s="744"/>
      <c r="AK368" s="751"/>
      <c r="AL368" s="765"/>
      <c r="AM368" s="744"/>
      <c r="AN368" s="751"/>
      <c r="AO368" s="765"/>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66"/>
        <v>BoutiqueSalaires commis</v>
      </c>
      <c r="B369" s="1159" t="s">
        <v>121</v>
      </c>
      <c r="C369" s="744"/>
      <c r="D369" s="751"/>
      <c r="E369" s="752">
        <f t="shared" si="67"/>
        <v>0</v>
      </c>
      <c r="F369" s="744"/>
      <c r="G369" s="751"/>
      <c r="H369" s="765"/>
      <c r="I369" s="744"/>
      <c r="J369" s="751"/>
      <c r="K369" s="765"/>
      <c r="L369" s="744"/>
      <c r="M369" s="751"/>
      <c r="N369" s="765"/>
      <c r="O369" s="744"/>
      <c r="P369" s="751"/>
      <c r="Q369" s="765"/>
      <c r="R369" s="744"/>
      <c r="S369" s="751"/>
      <c r="T369" s="765"/>
      <c r="U369" s="744"/>
      <c r="V369" s="751"/>
      <c r="W369" s="765"/>
      <c r="X369" s="744"/>
      <c r="Y369" s="751"/>
      <c r="Z369" s="765"/>
      <c r="AA369" s="744"/>
      <c r="AB369" s="751"/>
      <c r="AC369" s="765"/>
      <c r="AD369" s="744"/>
      <c r="AE369" s="751"/>
      <c r="AF369" s="765"/>
      <c r="AG369" s="744"/>
      <c r="AH369" s="751"/>
      <c r="AI369" s="765"/>
      <c r="AJ369" s="744"/>
      <c r="AK369" s="751"/>
      <c r="AL369" s="765"/>
      <c r="AM369" s="744"/>
      <c r="AN369" s="751"/>
      <c r="AO369" s="765"/>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66"/>
        <v>BoutiqueSalaires autres</v>
      </c>
      <c r="B370" s="1158" t="s">
        <v>122</v>
      </c>
      <c r="C370" s="1142"/>
      <c r="D370" s="1160"/>
      <c r="E370" s="1161">
        <f t="shared" si="67"/>
        <v>0</v>
      </c>
      <c r="F370" s="1142"/>
      <c r="G370" s="1160"/>
      <c r="H370" s="1162"/>
      <c r="I370" s="1142"/>
      <c r="J370" s="1160"/>
      <c r="K370" s="1162"/>
      <c r="L370" s="1142"/>
      <c r="M370" s="1160"/>
      <c r="N370" s="1162"/>
      <c r="O370" s="1142"/>
      <c r="P370" s="1160"/>
      <c r="Q370" s="1162"/>
      <c r="R370" s="1142"/>
      <c r="S370" s="1160"/>
      <c r="T370" s="1162"/>
      <c r="U370" s="1142"/>
      <c r="V370" s="1160"/>
      <c r="W370" s="1162"/>
      <c r="X370" s="1142"/>
      <c r="Y370" s="1160"/>
      <c r="Z370" s="1162"/>
      <c r="AA370" s="1142"/>
      <c r="AB370" s="1160"/>
      <c r="AC370" s="1162"/>
      <c r="AD370" s="1142"/>
      <c r="AE370" s="1160"/>
      <c r="AF370" s="1162"/>
      <c r="AG370" s="1142"/>
      <c r="AH370" s="1160"/>
      <c r="AI370" s="1162"/>
      <c r="AJ370" s="1142"/>
      <c r="AK370" s="1160"/>
      <c r="AL370" s="1162"/>
      <c r="AM370" s="1142"/>
      <c r="AN370" s="1160"/>
      <c r="AO370" s="1162"/>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66"/>
        <v>BoutiqueSalaires spécialistes</v>
      </c>
      <c r="B371" s="1158" t="s">
        <v>123</v>
      </c>
      <c r="C371" s="744"/>
      <c r="D371" s="751"/>
      <c r="E371" s="752">
        <f t="shared" si="67"/>
        <v>0</v>
      </c>
      <c r="F371" s="744"/>
      <c r="G371" s="751"/>
      <c r="H371" s="765"/>
      <c r="I371" s="744"/>
      <c r="J371" s="751"/>
      <c r="K371" s="765"/>
      <c r="L371" s="744"/>
      <c r="M371" s="751"/>
      <c r="N371" s="765"/>
      <c r="O371" s="744"/>
      <c r="P371" s="751"/>
      <c r="Q371" s="765"/>
      <c r="R371" s="744"/>
      <c r="S371" s="751"/>
      <c r="T371" s="765"/>
      <c r="U371" s="744"/>
      <c r="V371" s="751"/>
      <c r="W371" s="765"/>
      <c r="X371" s="744"/>
      <c r="Y371" s="751"/>
      <c r="Z371" s="765"/>
      <c r="AA371" s="744"/>
      <c r="AB371" s="751"/>
      <c r="AC371" s="765"/>
      <c r="AD371" s="744"/>
      <c r="AE371" s="751"/>
      <c r="AF371" s="765"/>
      <c r="AG371" s="744"/>
      <c r="AH371" s="751"/>
      <c r="AI371" s="765"/>
      <c r="AJ371" s="744"/>
      <c r="AK371" s="751"/>
      <c r="AL371" s="765"/>
      <c r="AM371" s="744"/>
      <c r="AN371" s="751"/>
      <c r="AO371" s="765"/>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66"/>
        <v>Boutique[...]</v>
      </c>
      <c r="B372" s="744" t="s">
        <v>59</v>
      </c>
      <c r="C372" s="744"/>
      <c r="D372" s="751"/>
      <c r="E372" s="752">
        <f t="shared" si="67"/>
        <v>0</v>
      </c>
      <c r="F372" s="744"/>
      <c r="G372" s="751"/>
      <c r="H372" s="765"/>
      <c r="I372" s="744"/>
      <c r="J372" s="751"/>
      <c r="K372" s="765"/>
      <c r="L372" s="744"/>
      <c r="M372" s="751"/>
      <c r="N372" s="765"/>
      <c r="O372" s="744"/>
      <c r="P372" s="751"/>
      <c r="Q372" s="765"/>
      <c r="R372" s="744"/>
      <c r="S372" s="751"/>
      <c r="T372" s="765"/>
      <c r="U372" s="744"/>
      <c r="V372" s="751"/>
      <c r="W372" s="765"/>
      <c r="X372" s="744"/>
      <c r="Y372" s="751"/>
      <c r="Z372" s="765"/>
      <c r="AA372" s="744"/>
      <c r="AB372" s="751"/>
      <c r="AC372" s="765"/>
      <c r="AD372" s="744"/>
      <c r="AE372" s="751"/>
      <c r="AF372" s="765"/>
      <c r="AG372" s="744"/>
      <c r="AH372" s="751"/>
      <c r="AI372" s="765"/>
      <c r="AJ372" s="744"/>
      <c r="AK372" s="751"/>
      <c r="AL372" s="765"/>
      <c r="AM372" s="744"/>
      <c r="AN372" s="751"/>
      <c r="AO372" s="765"/>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66"/>
        <v>Boutique[...]</v>
      </c>
      <c r="B373" s="744" t="s">
        <v>59</v>
      </c>
      <c r="C373" s="744"/>
      <c r="D373" s="751"/>
      <c r="E373" s="752">
        <f t="shared" si="67"/>
        <v>0</v>
      </c>
      <c r="F373" s="744"/>
      <c r="G373" s="751"/>
      <c r="H373" s="765"/>
      <c r="I373" s="744"/>
      <c r="J373" s="751"/>
      <c r="K373" s="765"/>
      <c r="L373" s="744"/>
      <c r="M373" s="751"/>
      <c r="N373" s="765"/>
      <c r="O373" s="744"/>
      <c r="P373" s="751"/>
      <c r="Q373" s="765"/>
      <c r="R373" s="744"/>
      <c r="S373" s="751"/>
      <c r="T373" s="765"/>
      <c r="U373" s="744"/>
      <c r="V373" s="751"/>
      <c r="W373" s="765"/>
      <c r="X373" s="744"/>
      <c r="Y373" s="751"/>
      <c r="Z373" s="765"/>
      <c r="AA373" s="744"/>
      <c r="AB373" s="751"/>
      <c r="AC373" s="765"/>
      <c r="AD373" s="744"/>
      <c r="AE373" s="751"/>
      <c r="AF373" s="765"/>
      <c r="AG373" s="744"/>
      <c r="AH373" s="751"/>
      <c r="AI373" s="765"/>
      <c r="AJ373" s="744"/>
      <c r="AK373" s="751"/>
      <c r="AL373" s="765"/>
      <c r="AM373" s="744"/>
      <c r="AN373" s="751"/>
      <c r="AO373" s="765"/>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66"/>
        <v>Boutique[...]</v>
      </c>
      <c r="B374" s="744" t="s">
        <v>59</v>
      </c>
      <c r="C374" s="744"/>
      <c r="D374" s="751"/>
      <c r="E374" s="752">
        <f t="shared" si="67"/>
        <v>0</v>
      </c>
      <c r="F374" s="744"/>
      <c r="G374" s="751"/>
      <c r="H374" s="765"/>
      <c r="I374" s="744"/>
      <c r="J374" s="751"/>
      <c r="K374" s="765"/>
      <c r="L374" s="744"/>
      <c r="M374" s="751"/>
      <c r="N374" s="765"/>
      <c r="O374" s="744"/>
      <c r="P374" s="751"/>
      <c r="Q374" s="765"/>
      <c r="R374" s="744"/>
      <c r="S374" s="751"/>
      <c r="T374" s="765"/>
      <c r="U374" s="744"/>
      <c r="V374" s="751"/>
      <c r="W374" s="765"/>
      <c r="X374" s="744"/>
      <c r="Y374" s="751"/>
      <c r="Z374" s="765"/>
      <c r="AA374" s="744"/>
      <c r="AB374" s="751"/>
      <c r="AC374" s="765"/>
      <c r="AD374" s="744"/>
      <c r="AE374" s="751"/>
      <c r="AF374" s="765"/>
      <c r="AG374" s="744"/>
      <c r="AH374" s="751"/>
      <c r="AI374" s="765"/>
      <c r="AJ374" s="744"/>
      <c r="AK374" s="751"/>
      <c r="AL374" s="765"/>
      <c r="AM374" s="744"/>
      <c r="AN374" s="751"/>
      <c r="AO374" s="765"/>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66"/>
        <v>BoutiqueSalaires en absences</v>
      </c>
      <c r="B375" s="1159" t="s">
        <v>124</v>
      </c>
      <c r="C375" s="744"/>
      <c r="D375" s="751"/>
      <c r="E375" s="752">
        <f t="shared" si="67"/>
        <v>0</v>
      </c>
      <c r="F375" s="744"/>
      <c r="G375" s="751"/>
      <c r="H375" s="765"/>
      <c r="I375" s="744"/>
      <c r="J375" s="751"/>
      <c r="K375" s="765"/>
      <c r="L375" s="744"/>
      <c r="M375" s="751"/>
      <c r="N375" s="765"/>
      <c r="O375" s="744"/>
      <c r="P375" s="751"/>
      <c r="Q375" s="765"/>
      <c r="R375" s="744"/>
      <c r="S375" s="751"/>
      <c r="T375" s="765"/>
      <c r="U375" s="744"/>
      <c r="V375" s="751"/>
      <c r="W375" s="765"/>
      <c r="X375" s="744"/>
      <c r="Y375" s="751"/>
      <c r="Z375" s="765"/>
      <c r="AA375" s="744"/>
      <c r="AB375" s="751"/>
      <c r="AC375" s="765"/>
      <c r="AD375" s="744"/>
      <c r="AE375" s="751"/>
      <c r="AF375" s="765"/>
      <c r="AG375" s="744"/>
      <c r="AH375" s="751"/>
      <c r="AI375" s="765"/>
      <c r="AJ375" s="744"/>
      <c r="AK375" s="751"/>
      <c r="AL375" s="765"/>
      <c r="AM375" s="744"/>
      <c r="AN375" s="751"/>
      <c r="AO375" s="765"/>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66"/>
        <v>BoutiqueDéduction à la source</v>
      </c>
      <c r="B376" s="1158" t="s">
        <v>125</v>
      </c>
      <c r="C376" s="1142"/>
      <c r="D376" s="1160"/>
      <c r="E376" s="1161">
        <f t="shared" si="67"/>
        <v>0</v>
      </c>
      <c r="F376" s="1142"/>
      <c r="G376" s="1160"/>
      <c r="H376" s="1162"/>
      <c r="I376" s="1142"/>
      <c r="J376" s="1160"/>
      <c r="K376" s="1162"/>
      <c r="L376" s="1142"/>
      <c r="M376" s="1160"/>
      <c r="N376" s="1162"/>
      <c r="O376" s="1142"/>
      <c r="P376" s="1160"/>
      <c r="Q376" s="1162"/>
      <c r="R376" s="1142"/>
      <c r="S376" s="1160"/>
      <c r="T376" s="1162"/>
      <c r="U376" s="1142"/>
      <c r="V376" s="1160"/>
      <c r="W376" s="1162"/>
      <c r="X376" s="1142"/>
      <c r="Y376" s="1160"/>
      <c r="Z376" s="1162"/>
      <c r="AA376" s="1142"/>
      <c r="AB376" s="1160"/>
      <c r="AC376" s="1162"/>
      <c r="AD376" s="1142"/>
      <c r="AE376" s="1160"/>
      <c r="AF376" s="1162"/>
      <c r="AG376" s="1142"/>
      <c r="AH376" s="1160"/>
      <c r="AI376" s="1162"/>
      <c r="AJ376" s="1142"/>
      <c r="AK376" s="1160"/>
      <c r="AL376" s="1162"/>
      <c r="AM376" s="1142"/>
      <c r="AN376" s="1160"/>
      <c r="AO376" s="1162"/>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66"/>
        <v>BoutiqueBénéfices marginaux</v>
      </c>
      <c r="B377" s="1163" t="s">
        <v>126</v>
      </c>
      <c r="C377" s="744"/>
      <c r="D377" s="751"/>
      <c r="E377" s="752">
        <f t="shared" si="67"/>
        <v>0</v>
      </c>
      <c r="F377" s="744"/>
      <c r="G377" s="751"/>
      <c r="H377" s="765"/>
      <c r="I377" s="744"/>
      <c r="J377" s="751"/>
      <c r="K377" s="765"/>
      <c r="L377" s="744"/>
      <c r="M377" s="751"/>
      <c r="N377" s="765"/>
      <c r="O377" s="744"/>
      <c r="P377" s="751"/>
      <c r="Q377" s="765"/>
      <c r="R377" s="744"/>
      <c r="S377" s="751"/>
      <c r="T377" s="765"/>
      <c r="U377" s="744"/>
      <c r="V377" s="751"/>
      <c r="W377" s="765"/>
      <c r="X377" s="744"/>
      <c r="Y377" s="751"/>
      <c r="Z377" s="765"/>
      <c r="AA377" s="744"/>
      <c r="AB377" s="751"/>
      <c r="AC377" s="765"/>
      <c r="AD377" s="744"/>
      <c r="AE377" s="751"/>
      <c r="AF377" s="765"/>
      <c r="AG377" s="744"/>
      <c r="AH377" s="751"/>
      <c r="AI377" s="765"/>
      <c r="AJ377" s="744"/>
      <c r="AK377" s="751"/>
      <c r="AL377" s="765"/>
      <c r="AM377" s="744"/>
      <c r="AN377" s="751"/>
      <c r="AO377" s="765"/>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66"/>
        <v>BoutiqueCsst</v>
      </c>
      <c r="B378" s="1158" t="s">
        <v>127</v>
      </c>
      <c r="C378" s="744"/>
      <c r="D378" s="751"/>
      <c r="E378" s="752">
        <f t="shared" si="67"/>
        <v>0</v>
      </c>
      <c r="F378" s="744"/>
      <c r="G378" s="751"/>
      <c r="H378" s="765"/>
      <c r="I378" s="744"/>
      <c r="J378" s="751"/>
      <c r="K378" s="765"/>
      <c r="L378" s="744"/>
      <c r="M378" s="751"/>
      <c r="N378" s="765"/>
      <c r="O378" s="744"/>
      <c r="P378" s="751"/>
      <c r="Q378" s="765"/>
      <c r="R378" s="744"/>
      <c r="S378" s="751"/>
      <c r="T378" s="765"/>
      <c r="U378" s="744"/>
      <c r="V378" s="751"/>
      <c r="W378" s="765"/>
      <c r="X378" s="744"/>
      <c r="Y378" s="751"/>
      <c r="Z378" s="765"/>
      <c r="AA378" s="744"/>
      <c r="AB378" s="751"/>
      <c r="AC378" s="765"/>
      <c r="AD378" s="744"/>
      <c r="AE378" s="751"/>
      <c r="AF378" s="765"/>
      <c r="AG378" s="744"/>
      <c r="AH378" s="751"/>
      <c r="AI378" s="765"/>
      <c r="AJ378" s="744"/>
      <c r="AK378" s="751"/>
      <c r="AL378" s="765"/>
      <c r="AM378" s="744"/>
      <c r="AN378" s="751"/>
      <c r="AO378" s="765"/>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66"/>
        <v>Boutique[...]</v>
      </c>
      <c r="B379" s="744" t="s">
        <v>59</v>
      </c>
      <c r="C379" s="770"/>
      <c r="D379" s="771"/>
      <c r="E379" s="768">
        <f t="shared" si="67"/>
        <v>0</v>
      </c>
      <c r="F379" s="770"/>
      <c r="G379" s="771"/>
      <c r="H379" s="768"/>
      <c r="I379" s="770"/>
      <c r="J379" s="771"/>
      <c r="K379" s="768"/>
      <c r="L379" s="770"/>
      <c r="M379" s="771"/>
      <c r="N379" s="768"/>
      <c r="O379" s="770"/>
      <c r="P379" s="771"/>
      <c r="Q379" s="768"/>
      <c r="R379" s="770"/>
      <c r="S379" s="771"/>
      <c r="T379" s="768"/>
      <c r="U379" s="770"/>
      <c r="V379" s="771"/>
      <c r="W379" s="768"/>
      <c r="X379" s="770"/>
      <c r="Y379" s="771"/>
      <c r="Z379" s="768"/>
      <c r="AA379" s="770"/>
      <c r="AB379" s="771"/>
      <c r="AC379" s="768"/>
      <c r="AD379" s="770"/>
      <c r="AE379" s="771"/>
      <c r="AF379" s="768"/>
      <c r="AG379" s="770"/>
      <c r="AH379" s="771"/>
      <c r="AI379" s="768"/>
      <c r="AJ379" s="770"/>
      <c r="AK379" s="771"/>
      <c r="AL379" s="768"/>
      <c r="AM379" s="770"/>
      <c r="AN379" s="771"/>
      <c r="AO379" s="768"/>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66"/>
        <v>BoutiqueTOTAL PERSONNEL</v>
      </c>
      <c r="B380" s="1154" t="s">
        <v>128</v>
      </c>
      <c r="C380" s="1155" t="s">
        <v>119</v>
      </c>
      <c r="D380" s="1156">
        <f>IFERROR(E380/E$363,0)</f>
        <v>0</v>
      </c>
      <c r="E380" s="1157">
        <f>+SUM(E368:E379)</f>
        <v>0</v>
      </c>
      <c r="F380" s="1155" t="s">
        <v>119</v>
      </c>
      <c r="G380" s="1156">
        <f>IFERROR(H380/H$363,0)</f>
        <v>0</v>
      </c>
      <c r="H380" s="1157">
        <f>+SUM(H368:H379)</f>
        <v>0</v>
      </c>
      <c r="I380" s="1155" t="s">
        <v>119</v>
      </c>
      <c r="J380" s="1156">
        <f>IFERROR(K380/K$363,0)</f>
        <v>0</v>
      </c>
      <c r="K380" s="1157">
        <f>+SUM(K368:K379)</f>
        <v>0</v>
      </c>
      <c r="L380" s="1155" t="s">
        <v>119</v>
      </c>
      <c r="M380" s="1156">
        <f>IFERROR(N380/N$363,0)</f>
        <v>0</v>
      </c>
      <c r="N380" s="1157">
        <f>+SUM(N368:N379)</f>
        <v>0</v>
      </c>
      <c r="O380" s="1155" t="s">
        <v>119</v>
      </c>
      <c r="P380" s="1156">
        <f>IFERROR(Q380/Q$363,0)</f>
        <v>0</v>
      </c>
      <c r="Q380" s="1157">
        <f>+SUM(Q368:Q379)</f>
        <v>0</v>
      </c>
      <c r="R380" s="1155" t="s">
        <v>119</v>
      </c>
      <c r="S380" s="1156">
        <f>IFERROR(T380/T$363,0)</f>
        <v>0</v>
      </c>
      <c r="T380" s="1157">
        <f>+SUM(T368:T379)</f>
        <v>0</v>
      </c>
      <c r="U380" s="1155" t="s">
        <v>119</v>
      </c>
      <c r="V380" s="1156">
        <f>IFERROR(W380/W$363,0)</f>
        <v>0</v>
      </c>
      <c r="W380" s="1157">
        <f>+SUM(W368:W379)</f>
        <v>0</v>
      </c>
      <c r="X380" s="1155" t="s">
        <v>119</v>
      </c>
      <c r="Y380" s="1156">
        <f>IFERROR(Z380/Z$363,0)</f>
        <v>0</v>
      </c>
      <c r="Z380" s="1157">
        <f>+SUM(Z368:Z379)</f>
        <v>0</v>
      </c>
      <c r="AA380" s="1155" t="s">
        <v>119</v>
      </c>
      <c r="AB380" s="1156">
        <f>IFERROR(AC380/AC$363,0)</f>
        <v>0</v>
      </c>
      <c r="AC380" s="1157">
        <f>+SUM(AC368:AC379)</f>
        <v>0</v>
      </c>
      <c r="AD380" s="1155" t="s">
        <v>119</v>
      </c>
      <c r="AE380" s="1156">
        <f>IFERROR(AF380/AF$363,0)</f>
        <v>0</v>
      </c>
      <c r="AF380" s="1157">
        <f>+SUM(AF368:AF379)</f>
        <v>0</v>
      </c>
      <c r="AG380" s="1155" t="s">
        <v>119</v>
      </c>
      <c r="AH380" s="1156">
        <f>IFERROR(AI380/AI$363,0)</f>
        <v>0</v>
      </c>
      <c r="AI380" s="1157">
        <f>+SUM(AI368:AI379)</f>
        <v>0</v>
      </c>
      <c r="AJ380" s="1155" t="s">
        <v>119</v>
      </c>
      <c r="AK380" s="1156">
        <f>IFERROR(AL380/AL$363,0)</f>
        <v>0</v>
      </c>
      <c r="AL380" s="1157">
        <f>+SUM(AL368:AL379)</f>
        <v>0</v>
      </c>
      <c r="AM380" s="1155" t="s">
        <v>119</v>
      </c>
      <c r="AN380" s="1156">
        <f>IFERROR(AO380/AO$363,0)</f>
        <v>0</v>
      </c>
      <c r="AO380" s="1157">
        <f>+SUM(AO368:AO379)</f>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66"/>
        <v>BoutiquePublicité 2</v>
      </c>
      <c r="B381" s="1197" t="s">
        <v>129</v>
      </c>
      <c r="C381" s="744"/>
      <c r="D381" s="751"/>
      <c r="E381" s="752">
        <f t="shared" ref="E381:E397" si="68">+SUM(H381,K381,N381,Q381,T381,W381,Z381,AC381,AF381,AI381,AL381,AO381)</f>
        <v>0</v>
      </c>
      <c r="F381" s="744"/>
      <c r="G381" s="751"/>
      <c r="H381" s="765"/>
      <c r="I381" s="744"/>
      <c r="J381" s="751"/>
      <c r="K381" s="765"/>
      <c r="L381" s="744"/>
      <c r="M381" s="751"/>
      <c r="N381" s="765"/>
      <c r="O381" s="744"/>
      <c r="P381" s="751"/>
      <c r="Q381" s="765"/>
      <c r="R381" s="744"/>
      <c r="S381" s="751"/>
      <c r="T381" s="765"/>
      <c r="U381" s="744"/>
      <c r="V381" s="751"/>
      <c r="W381" s="765"/>
      <c r="X381" s="744"/>
      <c r="Y381" s="751"/>
      <c r="Z381" s="765"/>
      <c r="AA381" s="744"/>
      <c r="AB381" s="751"/>
      <c r="AC381" s="765"/>
      <c r="AD381" s="744"/>
      <c r="AE381" s="751"/>
      <c r="AF381" s="765"/>
      <c r="AG381" s="744"/>
      <c r="AH381" s="751"/>
      <c r="AI381" s="765"/>
      <c r="AJ381" s="744"/>
      <c r="AK381" s="751"/>
      <c r="AL381" s="765"/>
      <c r="AM381" s="744"/>
      <c r="AN381" s="751"/>
      <c r="AO381" s="765"/>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66"/>
        <v>BoutiqueService gratuit 2</v>
      </c>
      <c r="B382" s="1158" t="s">
        <v>130</v>
      </c>
      <c r="C382" s="744"/>
      <c r="D382" s="751"/>
      <c r="E382" s="752">
        <f t="shared" si="68"/>
        <v>0</v>
      </c>
      <c r="F382" s="744"/>
      <c r="G382" s="751"/>
      <c r="H382" s="765"/>
      <c r="I382" s="744"/>
      <c r="J382" s="751"/>
      <c r="K382" s="765"/>
      <c r="L382" s="744"/>
      <c r="M382" s="751"/>
      <c r="N382" s="765"/>
      <c r="O382" s="744"/>
      <c r="P382" s="751"/>
      <c r="Q382" s="765"/>
      <c r="R382" s="744"/>
      <c r="S382" s="751"/>
      <c r="T382" s="765"/>
      <c r="U382" s="744"/>
      <c r="V382" s="751"/>
      <c r="W382" s="765"/>
      <c r="X382" s="744"/>
      <c r="Y382" s="751"/>
      <c r="Z382" s="765"/>
      <c r="AA382" s="744"/>
      <c r="AB382" s="751"/>
      <c r="AC382" s="765"/>
      <c r="AD382" s="744"/>
      <c r="AE382" s="751"/>
      <c r="AF382" s="765"/>
      <c r="AG382" s="744"/>
      <c r="AH382" s="751"/>
      <c r="AI382" s="765"/>
      <c r="AJ382" s="744"/>
      <c r="AK382" s="751"/>
      <c r="AL382" s="765"/>
      <c r="AM382" s="744"/>
      <c r="AN382" s="751"/>
      <c r="AO382" s="765"/>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66"/>
        <v>BoutiqueFrais véhicules de cie</v>
      </c>
      <c r="B383" s="1159" t="s">
        <v>131</v>
      </c>
      <c r="C383" s="770"/>
      <c r="D383" s="771"/>
      <c r="E383" s="768">
        <f t="shared" si="68"/>
        <v>0</v>
      </c>
      <c r="F383" s="770"/>
      <c r="G383" s="771"/>
      <c r="H383" s="769"/>
      <c r="I383" s="770"/>
      <c r="J383" s="771"/>
      <c r="K383" s="769"/>
      <c r="L383" s="770"/>
      <c r="M383" s="771"/>
      <c r="N383" s="769"/>
      <c r="O383" s="770"/>
      <c r="P383" s="771"/>
      <c r="Q383" s="769"/>
      <c r="R383" s="770"/>
      <c r="S383" s="771"/>
      <c r="T383" s="769"/>
      <c r="U383" s="770"/>
      <c r="V383" s="771"/>
      <c r="W383" s="769"/>
      <c r="X383" s="770"/>
      <c r="Y383" s="771"/>
      <c r="Z383" s="769"/>
      <c r="AA383" s="770"/>
      <c r="AB383" s="771"/>
      <c r="AC383" s="769"/>
      <c r="AD383" s="770"/>
      <c r="AE383" s="771"/>
      <c r="AF383" s="769"/>
      <c r="AG383" s="770"/>
      <c r="AH383" s="771"/>
      <c r="AI383" s="769"/>
      <c r="AJ383" s="770"/>
      <c r="AK383" s="771"/>
      <c r="AL383" s="769"/>
      <c r="AM383" s="770"/>
      <c r="AN383" s="771"/>
      <c r="AO383" s="769"/>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66"/>
        <v>BoutiqueInformatique</v>
      </c>
      <c r="B384" s="1158" t="s">
        <v>132</v>
      </c>
      <c r="C384" s="744"/>
      <c r="D384" s="751"/>
      <c r="E384" s="752">
        <f t="shared" si="68"/>
        <v>0</v>
      </c>
      <c r="F384" s="744"/>
      <c r="G384" s="751"/>
      <c r="H384" s="765"/>
      <c r="I384" s="744"/>
      <c r="J384" s="751"/>
      <c r="K384" s="765"/>
      <c r="L384" s="744"/>
      <c r="M384" s="751"/>
      <c r="N384" s="765"/>
      <c r="O384" s="744"/>
      <c r="P384" s="751"/>
      <c r="Q384" s="765"/>
      <c r="R384" s="744"/>
      <c r="S384" s="751"/>
      <c r="T384" s="765"/>
      <c r="U384" s="744"/>
      <c r="V384" s="751"/>
      <c r="W384" s="765"/>
      <c r="X384" s="744"/>
      <c r="Y384" s="751"/>
      <c r="Z384" s="765"/>
      <c r="AA384" s="744"/>
      <c r="AB384" s="751"/>
      <c r="AC384" s="765"/>
      <c r="AD384" s="744"/>
      <c r="AE384" s="751"/>
      <c r="AF384" s="765"/>
      <c r="AG384" s="744"/>
      <c r="AH384" s="751"/>
      <c r="AI384" s="765"/>
      <c r="AJ384" s="744"/>
      <c r="AK384" s="751"/>
      <c r="AL384" s="765"/>
      <c r="AM384" s="744"/>
      <c r="AN384" s="751"/>
      <c r="AO384" s="765"/>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66"/>
        <v>BoutiqueFrais de déplacement</v>
      </c>
      <c r="B385" s="1158" t="s">
        <v>133</v>
      </c>
      <c r="C385" s="744"/>
      <c r="D385" s="751"/>
      <c r="E385" s="752">
        <f t="shared" si="68"/>
        <v>0</v>
      </c>
      <c r="F385" s="744"/>
      <c r="G385" s="751"/>
      <c r="H385" s="765"/>
      <c r="I385" s="744"/>
      <c r="J385" s="751"/>
      <c r="K385" s="765"/>
      <c r="L385" s="744"/>
      <c r="M385" s="751"/>
      <c r="N385" s="765"/>
      <c r="O385" s="744"/>
      <c r="P385" s="751"/>
      <c r="Q385" s="765"/>
      <c r="R385" s="744"/>
      <c r="S385" s="751"/>
      <c r="T385" s="765"/>
      <c r="U385" s="744"/>
      <c r="V385" s="751"/>
      <c r="W385" s="765"/>
      <c r="X385" s="744"/>
      <c r="Y385" s="751"/>
      <c r="Z385" s="765"/>
      <c r="AA385" s="744"/>
      <c r="AB385" s="751"/>
      <c r="AC385" s="765"/>
      <c r="AD385" s="744"/>
      <c r="AE385" s="751"/>
      <c r="AF385" s="765"/>
      <c r="AG385" s="744"/>
      <c r="AH385" s="751"/>
      <c r="AI385" s="765"/>
      <c r="AJ385" s="744"/>
      <c r="AK385" s="751"/>
      <c r="AL385" s="765"/>
      <c r="AM385" s="744"/>
      <c r="AN385" s="751"/>
      <c r="AO385" s="765"/>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66"/>
        <v>BoutiqueServices extérieurs</v>
      </c>
      <c r="B386" s="1158" t="s">
        <v>134</v>
      </c>
      <c r="C386" s="770"/>
      <c r="D386" s="771"/>
      <c r="E386" s="768">
        <f t="shared" si="68"/>
        <v>0</v>
      </c>
      <c r="F386" s="770"/>
      <c r="G386" s="771"/>
      <c r="H386" s="769"/>
      <c r="I386" s="770"/>
      <c r="J386" s="771"/>
      <c r="K386" s="769"/>
      <c r="L386" s="770"/>
      <c r="M386" s="771"/>
      <c r="N386" s="769"/>
      <c r="O386" s="770"/>
      <c r="P386" s="771"/>
      <c r="Q386" s="769"/>
      <c r="R386" s="770"/>
      <c r="S386" s="771"/>
      <c r="T386" s="769"/>
      <c r="U386" s="770"/>
      <c r="V386" s="771"/>
      <c r="W386" s="769"/>
      <c r="X386" s="770"/>
      <c r="Y386" s="771"/>
      <c r="Z386" s="769"/>
      <c r="AA386" s="770"/>
      <c r="AB386" s="771"/>
      <c r="AC386" s="769"/>
      <c r="AD386" s="770"/>
      <c r="AE386" s="771"/>
      <c r="AF386" s="769"/>
      <c r="AG386" s="770"/>
      <c r="AH386" s="771"/>
      <c r="AI386" s="769"/>
      <c r="AJ386" s="770"/>
      <c r="AK386" s="771"/>
      <c r="AL386" s="769"/>
      <c r="AM386" s="770"/>
      <c r="AN386" s="771"/>
      <c r="AO386" s="769"/>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66"/>
        <v>BoutiqueFournitures autres</v>
      </c>
      <c r="B387" s="1207" t="s">
        <v>135</v>
      </c>
      <c r="C387" s="744"/>
      <c r="D387" s="751"/>
      <c r="E387" s="752">
        <f t="shared" si="68"/>
        <v>0</v>
      </c>
      <c r="F387" s="744"/>
      <c r="G387" s="751"/>
      <c r="H387" s="765"/>
      <c r="I387" s="744"/>
      <c r="J387" s="751"/>
      <c r="K387" s="765"/>
      <c r="L387" s="744"/>
      <c r="M387" s="751"/>
      <c r="N387" s="765"/>
      <c r="O387" s="744"/>
      <c r="P387" s="751"/>
      <c r="Q387" s="765"/>
      <c r="R387" s="744"/>
      <c r="S387" s="751"/>
      <c r="T387" s="765"/>
      <c r="U387" s="744"/>
      <c r="V387" s="751"/>
      <c r="W387" s="765"/>
      <c r="X387" s="744"/>
      <c r="Y387" s="751"/>
      <c r="Z387" s="765"/>
      <c r="AA387" s="744"/>
      <c r="AB387" s="751"/>
      <c r="AC387" s="765"/>
      <c r="AD387" s="744"/>
      <c r="AE387" s="751"/>
      <c r="AF387" s="765"/>
      <c r="AG387" s="744"/>
      <c r="AH387" s="751"/>
      <c r="AI387" s="765"/>
      <c r="AJ387" s="744"/>
      <c r="AK387" s="751"/>
      <c r="AL387" s="765"/>
      <c r="AM387" s="744"/>
      <c r="AN387" s="751"/>
      <c r="AO387" s="765"/>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66"/>
        <v>BoutiqueUniformes</v>
      </c>
      <c r="B388" s="1158" t="s">
        <v>136</v>
      </c>
      <c r="C388" s="744"/>
      <c r="D388" s="751"/>
      <c r="E388" s="752">
        <f t="shared" si="68"/>
        <v>0</v>
      </c>
      <c r="F388" s="744"/>
      <c r="G388" s="751"/>
      <c r="H388" s="765"/>
      <c r="I388" s="744"/>
      <c r="J388" s="751"/>
      <c r="K388" s="765"/>
      <c r="L388" s="744"/>
      <c r="M388" s="751"/>
      <c r="N388" s="765"/>
      <c r="O388" s="744"/>
      <c r="P388" s="751"/>
      <c r="Q388" s="765"/>
      <c r="R388" s="744"/>
      <c r="S388" s="751"/>
      <c r="T388" s="765"/>
      <c r="U388" s="744"/>
      <c r="V388" s="751"/>
      <c r="W388" s="765"/>
      <c r="X388" s="744"/>
      <c r="Y388" s="751"/>
      <c r="Z388" s="765"/>
      <c r="AA388" s="744"/>
      <c r="AB388" s="751"/>
      <c r="AC388" s="765"/>
      <c r="AD388" s="744"/>
      <c r="AE388" s="751"/>
      <c r="AF388" s="765"/>
      <c r="AG388" s="744"/>
      <c r="AH388" s="751"/>
      <c r="AI388" s="765"/>
      <c r="AJ388" s="744"/>
      <c r="AK388" s="751"/>
      <c r="AL388" s="765"/>
      <c r="AM388" s="744"/>
      <c r="AN388" s="751"/>
      <c r="AO388" s="765"/>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66"/>
        <v>BoutiquePapeterie</v>
      </c>
      <c r="B389" s="1158" t="s">
        <v>137</v>
      </c>
      <c r="C389" s="744"/>
      <c r="D389" s="751"/>
      <c r="E389" s="752">
        <f t="shared" si="68"/>
        <v>0</v>
      </c>
      <c r="F389" s="744"/>
      <c r="G389" s="751"/>
      <c r="H389" s="765"/>
      <c r="I389" s="744"/>
      <c r="J389" s="751"/>
      <c r="K389" s="765"/>
      <c r="L389" s="744"/>
      <c r="M389" s="751"/>
      <c r="N389" s="765"/>
      <c r="O389" s="744"/>
      <c r="P389" s="751"/>
      <c r="Q389" s="765"/>
      <c r="R389" s="744"/>
      <c r="S389" s="751"/>
      <c r="T389" s="765"/>
      <c r="U389" s="744"/>
      <c r="V389" s="751"/>
      <c r="W389" s="765"/>
      <c r="X389" s="744"/>
      <c r="Y389" s="751"/>
      <c r="Z389" s="765"/>
      <c r="AA389" s="744"/>
      <c r="AB389" s="751"/>
      <c r="AC389" s="765"/>
      <c r="AD389" s="744"/>
      <c r="AE389" s="751"/>
      <c r="AF389" s="765"/>
      <c r="AG389" s="744"/>
      <c r="AH389" s="751"/>
      <c r="AI389" s="765"/>
      <c r="AJ389" s="744"/>
      <c r="AK389" s="751"/>
      <c r="AL389" s="765"/>
      <c r="AM389" s="744"/>
      <c r="AN389" s="751"/>
      <c r="AO389" s="765"/>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66"/>
        <v>BoutiqueTéléphone</v>
      </c>
      <c r="B390" s="1158" t="s">
        <v>138</v>
      </c>
      <c r="C390" s="744"/>
      <c r="D390" s="751"/>
      <c r="E390" s="752">
        <f t="shared" si="68"/>
        <v>0</v>
      </c>
      <c r="F390" s="744"/>
      <c r="G390" s="751"/>
      <c r="H390" s="765"/>
      <c r="I390" s="744"/>
      <c r="J390" s="751"/>
      <c r="K390" s="765"/>
      <c r="L390" s="744"/>
      <c r="M390" s="751"/>
      <c r="N390" s="765"/>
      <c r="O390" s="744"/>
      <c r="P390" s="751"/>
      <c r="Q390" s="765"/>
      <c r="R390" s="744"/>
      <c r="S390" s="751"/>
      <c r="T390" s="765"/>
      <c r="U390" s="744"/>
      <c r="V390" s="751"/>
      <c r="W390" s="765"/>
      <c r="X390" s="744"/>
      <c r="Y390" s="751"/>
      <c r="Z390" s="765"/>
      <c r="AA390" s="744"/>
      <c r="AB390" s="751"/>
      <c r="AC390" s="765"/>
      <c r="AD390" s="744"/>
      <c r="AE390" s="751"/>
      <c r="AF390" s="765"/>
      <c r="AG390" s="744"/>
      <c r="AH390" s="751"/>
      <c r="AI390" s="765"/>
      <c r="AJ390" s="744"/>
      <c r="AK390" s="751"/>
      <c r="AL390" s="765"/>
      <c r="AM390" s="744"/>
      <c r="AN390" s="751"/>
      <c r="AO390" s="765"/>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66"/>
        <v>BoutiqueFrais postaux</v>
      </c>
      <c r="B391" s="1158" t="s">
        <v>139</v>
      </c>
      <c r="C391" s="744"/>
      <c r="D391" s="751"/>
      <c r="E391" s="752">
        <f t="shared" si="68"/>
        <v>0</v>
      </c>
      <c r="F391" s="744"/>
      <c r="G391" s="751"/>
      <c r="H391" s="765"/>
      <c r="I391" s="744"/>
      <c r="J391" s="751"/>
      <c r="K391" s="765"/>
      <c r="L391" s="744"/>
      <c r="M391" s="751"/>
      <c r="N391" s="765"/>
      <c r="O391" s="744"/>
      <c r="P391" s="751"/>
      <c r="Q391" s="765"/>
      <c r="R391" s="744"/>
      <c r="S391" s="751"/>
      <c r="T391" s="765"/>
      <c r="U391" s="744"/>
      <c r="V391" s="751"/>
      <c r="W391" s="765"/>
      <c r="X391" s="744"/>
      <c r="Y391" s="751"/>
      <c r="Z391" s="765"/>
      <c r="AA391" s="744"/>
      <c r="AB391" s="751"/>
      <c r="AC391" s="765"/>
      <c r="AD391" s="744"/>
      <c r="AE391" s="751"/>
      <c r="AF391" s="765"/>
      <c r="AG391" s="744"/>
      <c r="AH391" s="751"/>
      <c r="AI391" s="765"/>
      <c r="AJ391" s="744"/>
      <c r="AK391" s="751"/>
      <c r="AL391" s="765"/>
      <c r="AM391" s="744"/>
      <c r="AN391" s="751"/>
      <c r="AO391" s="765"/>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66"/>
        <v>BoutiqueDivers</v>
      </c>
      <c r="B392" s="1158" t="s">
        <v>140</v>
      </c>
      <c r="C392" s="744"/>
      <c r="D392" s="751"/>
      <c r="E392" s="752">
        <f t="shared" si="68"/>
        <v>0</v>
      </c>
      <c r="F392" s="744"/>
      <c r="G392" s="751"/>
      <c r="H392" s="765"/>
      <c r="I392" s="744"/>
      <c r="J392" s="751"/>
      <c r="K392" s="765"/>
      <c r="L392" s="744"/>
      <c r="M392" s="751"/>
      <c r="N392" s="765"/>
      <c r="O392" s="744"/>
      <c r="P392" s="751"/>
      <c r="Q392" s="765"/>
      <c r="R392" s="744"/>
      <c r="S392" s="751"/>
      <c r="T392" s="765"/>
      <c r="U392" s="744"/>
      <c r="V392" s="751"/>
      <c r="W392" s="765"/>
      <c r="X392" s="744"/>
      <c r="Y392" s="751"/>
      <c r="Z392" s="765"/>
      <c r="AA392" s="744"/>
      <c r="AB392" s="751"/>
      <c r="AC392" s="765"/>
      <c r="AD392" s="744"/>
      <c r="AE392" s="751"/>
      <c r="AF392" s="765"/>
      <c r="AG392" s="744"/>
      <c r="AH392" s="751"/>
      <c r="AI392" s="765"/>
      <c r="AJ392" s="744"/>
      <c r="AK392" s="751"/>
      <c r="AL392" s="765"/>
      <c r="AM392" s="744"/>
      <c r="AN392" s="751"/>
      <c r="AO392" s="765"/>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66"/>
        <v>BoutiqueFormation</v>
      </c>
      <c r="B393" s="1158" t="s">
        <v>141</v>
      </c>
      <c r="C393" s="744"/>
      <c r="D393" s="751"/>
      <c r="E393" s="752">
        <f t="shared" si="68"/>
        <v>0</v>
      </c>
      <c r="F393" s="744"/>
      <c r="G393" s="751"/>
      <c r="H393" s="765"/>
      <c r="I393" s="744"/>
      <c r="J393" s="751"/>
      <c r="K393" s="765"/>
      <c r="L393" s="744"/>
      <c r="M393" s="751"/>
      <c r="N393" s="765"/>
      <c r="O393" s="744"/>
      <c r="P393" s="751"/>
      <c r="Q393" s="765"/>
      <c r="R393" s="744"/>
      <c r="S393" s="751"/>
      <c r="T393" s="765"/>
      <c r="U393" s="744"/>
      <c r="V393" s="751"/>
      <c r="W393" s="765"/>
      <c r="X393" s="744"/>
      <c r="Y393" s="751"/>
      <c r="Z393" s="765"/>
      <c r="AA393" s="744"/>
      <c r="AB393" s="751"/>
      <c r="AC393" s="765"/>
      <c r="AD393" s="744"/>
      <c r="AE393" s="751"/>
      <c r="AF393" s="765"/>
      <c r="AG393" s="744"/>
      <c r="AH393" s="751"/>
      <c r="AI393" s="765"/>
      <c r="AJ393" s="744"/>
      <c r="AK393" s="751"/>
      <c r="AL393" s="765"/>
      <c r="AM393" s="744"/>
      <c r="AN393" s="751"/>
      <c r="AO393" s="765"/>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66"/>
        <v>BoutiqueFrais bancaires</v>
      </c>
      <c r="B394" s="1158" t="s">
        <v>142</v>
      </c>
      <c r="C394" s="744"/>
      <c r="D394" s="751"/>
      <c r="E394" s="752">
        <f t="shared" si="68"/>
        <v>0</v>
      </c>
      <c r="F394" s="744"/>
      <c r="G394" s="751"/>
      <c r="H394" s="765"/>
      <c r="I394" s="744"/>
      <c r="J394" s="751"/>
      <c r="K394" s="765"/>
      <c r="L394" s="744"/>
      <c r="M394" s="751"/>
      <c r="N394" s="765"/>
      <c r="O394" s="744"/>
      <c r="P394" s="751"/>
      <c r="Q394" s="765"/>
      <c r="R394" s="744"/>
      <c r="S394" s="751"/>
      <c r="T394" s="765"/>
      <c r="U394" s="744"/>
      <c r="V394" s="751"/>
      <c r="W394" s="765"/>
      <c r="X394" s="744"/>
      <c r="Y394" s="751"/>
      <c r="Z394" s="765"/>
      <c r="AA394" s="744"/>
      <c r="AB394" s="751"/>
      <c r="AC394" s="765"/>
      <c r="AD394" s="744"/>
      <c r="AE394" s="751"/>
      <c r="AF394" s="765"/>
      <c r="AG394" s="744"/>
      <c r="AH394" s="751"/>
      <c r="AI394" s="765"/>
      <c r="AJ394" s="744"/>
      <c r="AK394" s="751"/>
      <c r="AL394" s="765"/>
      <c r="AM394" s="744"/>
      <c r="AN394" s="751"/>
      <c r="AO394" s="765"/>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66"/>
        <v>Boutique[...]</v>
      </c>
      <c r="B395" s="1158" t="s">
        <v>59</v>
      </c>
      <c r="C395" s="744"/>
      <c r="D395" s="751"/>
      <c r="E395" s="752">
        <f t="shared" si="68"/>
        <v>0</v>
      </c>
      <c r="F395" s="744"/>
      <c r="G395" s="751"/>
      <c r="H395" s="752"/>
      <c r="I395" s="744"/>
      <c r="J395" s="751"/>
      <c r="K395" s="752"/>
      <c r="L395" s="744"/>
      <c r="M395" s="751"/>
      <c r="N395" s="752"/>
      <c r="O395" s="744"/>
      <c r="P395" s="751"/>
      <c r="Q395" s="752"/>
      <c r="R395" s="744"/>
      <c r="S395" s="751"/>
      <c r="T395" s="752"/>
      <c r="U395" s="744"/>
      <c r="V395" s="751"/>
      <c r="W395" s="752"/>
      <c r="X395" s="744"/>
      <c r="Y395" s="751"/>
      <c r="Z395" s="752"/>
      <c r="AA395" s="744"/>
      <c r="AB395" s="751"/>
      <c r="AC395" s="752"/>
      <c r="AD395" s="744"/>
      <c r="AE395" s="751"/>
      <c r="AF395" s="752"/>
      <c r="AG395" s="744"/>
      <c r="AH395" s="751"/>
      <c r="AI395" s="752"/>
      <c r="AJ395" s="744"/>
      <c r="AK395" s="751"/>
      <c r="AL395" s="752"/>
      <c r="AM395" s="744"/>
      <c r="AN395" s="751"/>
      <c r="AO395" s="752"/>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66"/>
        <v>Boutique[...]</v>
      </c>
      <c r="B396" s="1158" t="s">
        <v>59</v>
      </c>
      <c r="C396" s="744"/>
      <c r="D396" s="751"/>
      <c r="E396" s="752">
        <f t="shared" si="68"/>
        <v>0</v>
      </c>
      <c r="F396" s="744"/>
      <c r="G396" s="751"/>
      <c r="H396" s="752"/>
      <c r="I396" s="744"/>
      <c r="J396" s="751"/>
      <c r="K396" s="752"/>
      <c r="L396" s="744"/>
      <c r="M396" s="751"/>
      <c r="N396" s="752"/>
      <c r="O396" s="744"/>
      <c r="P396" s="751"/>
      <c r="Q396" s="752"/>
      <c r="R396" s="744"/>
      <c r="S396" s="751"/>
      <c r="T396" s="752"/>
      <c r="U396" s="744"/>
      <c r="V396" s="751"/>
      <c r="W396" s="752"/>
      <c r="X396" s="744"/>
      <c r="Y396" s="751"/>
      <c r="Z396" s="752"/>
      <c r="AA396" s="744"/>
      <c r="AB396" s="751"/>
      <c r="AC396" s="752"/>
      <c r="AD396" s="744"/>
      <c r="AE396" s="751"/>
      <c r="AF396" s="752"/>
      <c r="AG396" s="744"/>
      <c r="AH396" s="751"/>
      <c r="AI396" s="752"/>
      <c r="AJ396" s="744"/>
      <c r="AK396" s="751"/>
      <c r="AL396" s="752"/>
      <c r="AM396" s="744"/>
      <c r="AN396" s="751"/>
      <c r="AO396" s="752"/>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66"/>
        <v>Boutique[...]</v>
      </c>
      <c r="B397" s="1158" t="s">
        <v>59</v>
      </c>
      <c r="C397" s="770"/>
      <c r="D397" s="771"/>
      <c r="E397" s="752">
        <f t="shared" si="68"/>
        <v>0</v>
      </c>
      <c r="F397" s="770"/>
      <c r="G397" s="771"/>
      <c r="H397" s="752"/>
      <c r="I397" s="770"/>
      <c r="J397" s="771"/>
      <c r="K397" s="752"/>
      <c r="L397" s="770"/>
      <c r="M397" s="771"/>
      <c r="N397" s="752"/>
      <c r="O397" s="770"/>
      <c r="P397" s="771"/>
      <c r="Q397" s="752"/>
      <c r="R397" s="770"/>
      <c r="S397" s="771"/>
      <c r="T397" s="752"/>
      <c r="U397" s="770"/>
      <c r="V397" s="771"/>
      <c r="W397" s="752"/>
      <c r="X397" s="770"/>
      <c r="Y397" s="771"/>
      <c r="Z397" s="752"/>
      <c r="AA397" s="770"/>
      <c r="AB397" s="771"/>
      <c r="AC397" s="752"/>
      <c r="AD397" s="770"/>
      <c r="AE397" s="771"/>
      <c r="AF397" s="752"/>
      <c r="AG397" s="770"/>
      <c r="AH397" s="771"/>
      <c r="AI397" s="752"/>
      <c r="AJ397" s="770"/>
      <c r="AK397" s="771"/>
      <c r="AL397" s="752"/>
      <c r="AM397" s="770"/>
      <c r="AN397" s="771"/>
      <c r="AO397" s="752"/>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66"/>
        <v>BoutiqueTOTAL SEMI-FIXES</v>
      </c>
      <c r="B398" s="1154" t="s">
        <v>143</v>
      </c>
      <c r="C398" s="1155" t="s">
        <v>119</v>
      </c>
      <c r="D398" s="1156">
        <f>IFERROR(E398/E$363,0)</f>
        <v>0</v>
      </c>
      <c r="E398" s="1157">
        <f>+SUM(E381:E397)</f>
        <v>0</v>
      </c>
      <c r="F398" s="1155" t="s">
        <v>119</v>
      </c>
      <c r="G398" s="1156">
        <f>IFERROR(H398/H$363,0)</f>
        <v>0</v>
      </c>
      <c r="H398" s="1157">
        <f>+SUM(H381:H397)</f>
        <v>0</v>
      </c>
      <c r="I398" s="1155" t="s">
        <v>119</v>
      </c>
      <c r="J398" s="1156">
        <f>IFERROR(K398/K$363,0)</f>
        <v>0</v>
      </c>
      <c r="K398" s="1157">
        <f>+SUM(K381:K397)</f>
        <v>0</v>
      </c>
      <c r="L398" s="1155" t="s">
        <v>119</v>
      </c>
      <c r="M398" s="1156">
        <f>IFERROR(N398/N$363,0)</f>
        <v>0</v>
      </c>
      <c r="N398" s="1157">
        <f>+SUM(N381:N397)</f>
        <v>0</v>
      </c>
      <c r="O398" s="1155" t="s">
        <v>119</v>
      </c>
      <c r="P398" s="1156">
        <f>IFERROR(Q398/Q$363,0)</f>
        <v>0</v>
      </c>
      <c r="Q398" s="1157">
        <f>+SUM(Q381:Q397)</f>
        <v>0</v>
      </c>
      <c r="R398" s="1155" t="s">
        <v>119</v>
      </c>
      <c r="S398" s="1156">
        <f>IFERROR(T398/T$363,0)</f>
        <v>0</v>
      </c>
      <c r="T398" s="1157">
        <f>+SUM(T381:T397)</f>
        <v>0</v>
      </c>
      <c r="U398" s="1155" t="s">
        <v>119</v>
      </c>
      <c r="V398" s="1156">
        <f>IFERROR(W398/W$363,0)</f>
        <v>0</v>
      </c>
      <c r="W398" s="1157">
        <f>+SUM(W381:W397)</f>
        <v>0</v>
      </c>
      <c r="X398" s="1155" t="s">
        <v>119</v>
      </c>
      <c r="Y398" s="1156">
        <f>IFERROR(Z398/Z$363,0)</f>
        <v>0</v>
      </c>
      <c r="Z398" s="1157">
        <f>+SUM(Z381:Z397)</f>
        <v>0</v>
      </c>
      <c r="AA398" s="1155" t="s">
        <v>119</v>
      </c>
      <c r="AB398" s="1156">
        <f>IFERROR(AC398/AC$363,0)</f>
        <v>0</v>
      </c>
      <c r="AC398" s="1157">
        <f>+SUM(AC381:AC397)</f>
        <v>0</v>
      </c>
      <c r="AD398" s="1155" t="s">
        <v>119</v>
      </c>
      <c r="AE398" s="1156">
        <f>IFERROR(AF398/AF$363,0)</f>
        <v>0</v>
      </c>
      <c r="AF398" s="1157">
        <f>+SUM(AF381:AF397)</f>
        <v>0</v>
      </c>
      <c r="AG398" s="1155" t="s">
        <v>119</v>
      </c>
      <c r="AH398" s="1156">
        <f>IFERROR(AI398/AI$363,0)</f>
        <v>0</v>
      </c>
      <c r="AI398" s="1157">
        <f>+SUM(AI381:AI397)</f>
        <v>0</v>
      </c>
      <c r="AJ398" s="1155" t="s">
        <v>119</v>
      </c>
      <c r="AK398" s="1156">
        <f>IFERROR(AL398/AL$363,0)</f>
        <v>0</v>
      </c>
      <c r="AL398" s="1157">
        <f>+SUM(AL381:AL397)</f>
        <v>0</v>
      </c>
      <c r="AM398" s="1155" t="s">
        <v>119</v>
      </c>
      <c r="AN398" s="1156">
        <f>IFERROR(AO398/AO$363,0)</f>
        <v>0</v>
      </c>
      <c r="AO398" s="1157">
        <f>+SUM(AO381:AO397)</f>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66"/>
        <v>Boutique</v>
      </c>
      <c r="B399" s="744"/>
      <c r="C399" s="744"/>
      <c r="D399" s="751"/>
      <c r="E399" s="745"/>
      <c r="F399" s="744"/>
      <c r="G399" s="751"/>
      <c r="H399" s="745"/>
      <c r="I399" s="744"/>
      <c r="J399" s="751"/>
      <c r="K399" s="745"/>
      <c r="L399" s="744"/>
      <c r="M399" s="751"/>
      <c r="N399" s="745"/>
      <c r="O399" s="744"/>
      <c r="P399" s="751"/>
      <c r="Q399" s="745"/>
      <c r="R399" s="744"/>
      <c r="S399" s="751"/>
      <c r="T399" s="745"/>
      <c r="U399" s="744"/>
      <c r="V399" s="751"/>
      <c r="W399" s="745"/>
      <c r="X399" s="744"/>
      <c r="Y399" s="751"/>
      <c r="Z399" s="745"/>
      <c r="AA399" s="744"/>
      <c r="AB399" s="751"/>
      <c r="AC399" s="745"/>
      <c r="AD399" s="744"/>
      <c r="AE399" s="751"/>
      <c r="AF399" s="745"/>
      <c r="AG399" s="744"/>
      <c r="AH399" s="751"/>
      <c r="AI399" s="745"/>
      <c r="AJ399" s="744"/>
      <c r="AK399" s="751"/>
      <c r="AL399" s="745"/>
      <c r="AM399" s="744"/>
      <c r="AN399" s="751"/>
      <c r="AO399" s="745"/>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66"/>
        <v>BoutiqueTOTAL DES DÉPENSES</v>
      </c>
      <c r="B400" s="1154" t="s">
        <v>144</v>
      </c>
      <c r="C400" s="1155" t="s">
        <v>119</v>
      </c>
      <c r="D400" s="1156">
        <f>IFERROR(E400/E$363,0)</f>
        <v>0</v>
      </c>
      <c r="E400" s="1157">
        <f>E380+E398</f>
        <v>0</v>
      </c>
      <c r="F400" s="1155" t="s">
        <v>119</v>
      </c>
      <c r="G400" s="1156">
        <f>IFERROR(H400/H$363,0)</f>
        <v>0</v>
      </c>
      <c r="H400" s="1157">
        <f>H380+H398</f>
        <v>0</v>
      </c>
      <c r="I400" s="1155" t="s">
        <v>119</v>
      </c>
      <c r="J400" s="1156">
        <f>IFERROR(K400/K$363,0)</f>
        <v>0</v>
      </c>
      <c r="K400" s="1157">
        <f>K380+K398</f>
        <v>0</v>
      </c>
      <c r="L400" s="1155" t="s">
        <v>119</v>
      </c>
      <c r="M400" s="1156">
        <f>IFERROR(N400/N$363,0)</f>
        <v>0</v>
      </c>
      <c r="N400" s="1157">
        <f>N380+N398</f>
        <v>0</v>
      </c>
      <c r="O400" s="1155" t="s">
        <v>119</v>
      </c>
      <c r="P400" s="1156">
        <f>IFERROR(Q400/Q$363,0)</f>
        <v>0</v>
      </c>
      <c r="Q400" s="1157">
        <f>Q380+Q398</f>
        <v>0</v>
      </c>
      <c r="R400" s="1155" t="s">
        <v>119</v>
      </c>
      <c r="S400" s="1156">
        <f>IFERROR(T400/T$363,0)</f>
        <v>0</v>
      </c>
      <c r="T400" s="1157">
        <f>T380+T398</f>
        <v>0</v>
      </c>
      <c r="U400" s="1155" t="s">
        <v>119</v>
      </c>
      <c r="V400" s="1156">
        <f>IFERROR(W400/W$363,0)</f>
        <v>0</v>
      </c>
      <c r="W400" s="1157">
        <f>W380+W398</f>
        <v>0</v>
      </c>
      <c r="X400" s="1155" t="s">
        <v>119</v>
      </c>
      <c r="Y400" s="1156">
        <f>IFERROR(Z400/Z$363,0)</f>
        <v>0</v>
      </c>
      <c r="Z400" s="1157">
        <f>Z380+Z398</f>
        <v>0</v>
      </c>
      <c r="AA400" s="1155" t="s">
        <v>119</v>
      </c>
      <c r="AB400" s="1156">
        <f>IFERROR(AC400/AC$363,0)</f>
        <v>0</v>
      </c>
      <c r="AC400" s="1157">
        <f>AC380+AC398</f>
        <v>0</v>
      </c>
      <c r="AD400" s="1155" t="s">
        <v>119</v>
      </c>
      <c r="AE400" s="1156">
        <f>IFERROR(AF400/AF$363,0)</f>
        <v>0</v>
      </c>
      <c r="AF400" s="1157">
        <f>AF380+AF398</f>
        <v>0</v>
      </c>
      <c r="AG400" s="1155" t="s">
        <v>119</v>
      </c>
      <c r="AH400" s="1156">
        <f>IFERROR(AI400/AI$363,0)</f>
        <v>0</v>
      </c>
      <c r="AI400" s="1157">
        <f>AI380+AI398</f>
        <v>0</v>
      </c>
      <c r="AJ400" s="1155" t="s">
        <v>119</v>
      </c>
      <c r="AK400" s="1156">
        <f>IFERROR(AL400/AL$363,0)</f>
        <v>0</v>
      </c>
      <c r="AL400" s="1157">
        <f>AL380+AL398</f>
        <v>0</v>
      </c>
      <c r="AM400" s="1155" t="s">
        <v>119</v>
      </c>
      <c r="AN400" s="1156">
        <f>IFERROR(AO400/AO$363,0)</f>
        <v>0</v>
      </c>
      <c r="AO400" s="1157">
        <f>AO380+AO398</f>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66"/>
        <v>Boutique</v>
      </c>
      <c r="B401" s="744"/>
      <c r="C401" s="744"/>
      <c r="D401" s="751"/>
      <c r="E401" s="752"/>
      <c r="F401" s="744"/>
      <c r="G401" s="751"/>
      <c r="H401" s="752"/>
      <c r="I401" s="744"/>
      <c r="J401" s="751"/>
      <c r="K401" s="752"/>
      <c r="L401" s="744"/>
      <c r="M401" s="751"/>
      <c r="N401" s="752"/>
      <c r="O401" s="744"/>
      <c r="P401" s="751"/>
      <c r="Q401" s="752"/>
      <c r="R401" s="744"/>
      <c r="S401" s="751"/>
      <c r="T401" s="752"/>
      <c r="U401" s="744"/>
      <c r="V401" s="751"/>
      <c r="W401" s="752"/>
      <c r="X401" s="744"/>
      <c r="Y401" s="751"/>
      <c r="Z401" s="752"/>
      <c r="AA401" s="744"/>
      <c r="AB401" s="751"/>
      <c r="AC401" s="752"/>
      <c r="AD401" s="744"/>
      <c r="AE401" s="751"/>
      <c r="AF401" s="752"/>
      <c r="AG401" s="744"/>
      <c r="AH401" s="751"/>
      <c r="AI401" s="752"/>
      <c r="AJ401" s="744"/>
      <c r="AK401" s="751"/>
      <c r="AL401" s="752"/>
      <c r="AM401" s="744"/>
      <c r="AN401" s="751"/>
      <c r="AO401" s="752"/>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66"/>
        <v>BoutiquePROFIT DÉPARTEMENTAL</v>
      </c>
      <c r="B402" s="1208" t="s">
        <v>151</v>
      </c>
      <c r="C402" s="829"/>
      <c r="D402" s="830"/>
      <c r="E402" s="831">
        <f>E365-E400</f>
        <v>0</v>
      </c>
      <c r="F402" s="829"/>
      <c r="G402" s="830"/>
      <c r="H402" s="831">
        <f>H365-H400</f>
        <v>0</v>
      </c>
      <c r="I402" s="829"/>
      <c r="J402" s="830"/>
      <c r="K402" s="831">
        <f>K365-K400</f>
        <v>0</v>
      </c>
      <c r="L402" s="829"/>
      <c r="M402" s="830"/>
      <c r="N402" s="831">
        <f>N365-N400</f>
        <v>0</v>
      </c>
      <c r="O402" s="829"/>
      <c r="P402" s="830"/>
      <c r="Q402" s="831">
        <f>Q365-Q400</f>
        <v>0</v>
      </c>
      <c r="R402" s="829"/>
      <c r="S402" s="830"/>
      <c r="T402" s="831">
        <f>T365-T400</f>
        <v>0</v>
      </c>
      <c r="U402" s="829"/>
      <c r="V402" s="830"/>
      <c r="W402" s="831">
        <f>W365-W400</f>
        <v>0</v>
      </c>
      <c r="X402" s="829"/>
      <c r="Y402" s="830"/>
      <c r="Z402" s="831">
        <f>Z365-Z400</f>
        <v>0</v>
      </c>
      <c r="AA402" s="829"/>
      <c r="AB402" s="830"/>
      <c r="AC402" s="831">
        <f>AC365-AC400</f>
        <v>0</v>
      </c>
      <c r="AD402" s="829"/>
      <c r="AE402" s="830"/>
      <c r="AF402" s="831">
        <f>AF365-AF400</f>
        <v>0</v>
      </c>
      <c r="AG402" s="829"/>
      <c r="AH402" s="830"/>
      <c r="AI402" s="831">
        <f>AI365-AI400</f>
        <v>0</v>
      </c>
      <c r="AJ402" s="829"/>
      <c r="AK402" s="830"/>
      <c r="AL402" s="831">
        <f>AL365-AL400</f>
        <v>0</v>
      </c>
      <c r="AM402" s="829"/>
      <c r="AN402" s="830"/>
      <c r="AO402" s="831">
        <f>AO365-AO400</f>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792"/>
      <c r="C403" s="792"/>
      <c r="D403" s="792"/>
      <c r="E403" s="828"/>
      <c r="F403" s="792"/>
      <c r="G403" s="792"/>
      <c r="H403" s="828"/>
      <c r="I403" s="792"/>
      <c r="J403" s="792"/>
      <c r="K403" s="828"/>
      <c r="L403" s="792"/>
      <c r="M403" s="792"/>
      <c r="N403" s="828"/>
      <c r="O403" s="792"/>
      <c r="P403" s="792"/>
      <c r="Q403" s="828"/>
      <c r="R403" s="792"/>
      <c r="S403" s="792"/>
      <c r="T403" s="828"/>
      <c r="U403" s="792"/>
      <c r="V403" s="792"/>
      <c r="W403" s="828"/>
      <c r="X403" s="792"/>
      <c r="Y403" s="792"/>
      <c r="Z403" s="828"/>
      <c r="AA403" s="792"/>
      <c r="AB403" s="792"/>
      <c r="AC403" s="828"/>
      <c r="AD403" s="792"/>
      <c r="AE403" s="792"/>
      <c r="AF403" s="828"/>
      <c r="AG403" s="792"/>
      <c r="AH403" s="792"/>
      <c r="AI403" s="828"/>
      <c r="AJ403" s="792"/>
      <c r="AK403" s="792"/>
      <c r="AL403" s="828"/>
      <c r="AM403" s="792"/>
      <c r="AN403" s="792"/>
      <c r="AO403" s="82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751"/>
      <c r="C404" s="751"/>
      <c r="D404" s="751"/>
      <c r="E404" s="764"/>
      <c r="F404" s="751"/>
      <c r="G404" s="751"/>
      <c r="H404" s="764"/>
      <c r="I404" s="751"/>
      <c r="J404" s="751"/>
      <c r="K404" s="764"/>
      <c r="L404" s="751"/>
      <c r="M404" s="751"/>
      <c r="N404" s="764"/>
      <c r="O404" s="751"/>
      <c r="P404" s="751"/>
      <c r="Q404" s="764"/>
      <c r="R404" s="751"/>
      <c r="S404" s="751"/>
      <c r="T404" s="764"/>
      <c r="U404" s="751"/>
      <c r="V404" s="751"/>
      <c r="W404" s="764"/>
      <c r="X404" s="751"/>
      <c r="Y404" s="751"/>
      <c r="Z404" s="764"/>
      <c r="AA404" s="751"/>
      <c r="AB404" s="751"/>
      <c r="AC404" s="764"/>
      <c r="AD404" s="751"/>
      <c r="AE404" s="751"/>
      <c r="AF404" s="764"/>
      <c r="AG404" s="751"/>
      <c r="AH404" s="751"/>
      <c r="AI404" s="764"/>
      <c r="AJ404" s="751"/>
      <c r="AK404" s="751"/>
      <c r="AL404" s="764"/>
      <c r="AM404" s="751"/>
      <c r="AN404" s="751"/>
      <c r="AO404" s="764"/>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1173" t="str">
        <f>B4</f>
        <v>Budget 2025</v>
      </c>
      <c r="C405" s="784" t="s">
        <v>198</v>
      </c>
      <c r="D405" s="784"/>
      <c r="E405" s="784"/>
      <c r="F405" s="784"/>
      <c r="G405" s="784"/>
      <c r="H405" s="784"/>
      <c r="I405" s="784"/>
      <c r="J405" s="784"/>
      <c r="K405" s="784"/>
      <c r="L405" s="784"/>
      <c r="M405" s="784"/>
      <c r="N405" s="784"/>
      <c r="O405" s="784"/>
      <c r="P405" s="784"/>
      <c r="Q405" s="784"/>
      <c r="R405" s="784"/>
      <c r="S405" s="784"/>
      <c r="T405" s="784"/>
      <c r="U405" s="784"/>
      <c r="V405" s="784"/>
      <c r="W405" s="784"/>
      <c r="X405" s="784"/>
      <c r="Y405" s="784"/>
      <c r="Z405" s="784"/>
      <c r="AA405" s="784"/>
      <c r="AB405" s="784"/>
      <c r="AC405" s="784"/>
      <c r="AD405" s="784"/>
      <c r="AE405" s="784"/>
      <c r="AF405" s="784"/>
      <c r="AG405" s="784"/>
      <c r="AH405" s="784"/>
      <c r="AI405" s="784"/>
      <c r="AJ405" s="784"/>
      <c r="AK405" s="784"/>
      <c r="AL405" s="784"/>
      <c r="AM405" s="784"/>
      <c r="AN405" s="784"/>
      <c r="AO405" s="784"/>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1209"/>
      <c r="C406" s="832"/>
      <c r="D406" s="832"/>
      <c r="E406" s="832"/>
      <c r="F406" s="833"/>
      <c r="G406" s="833"/>
      <c r="H406" s="833"/>
      <c r="I406" s="833"/>
      <c r="J406" s="833"/>
      <c r="K406" s="833"/>
      <c r="L406" s="833"/>
      <c r="M406" s="833"/>
      <c r="N406" s="833"/>
      <c r="O406" s="833"/>
      <c r="P406" s="833"/>
      <c r="Q406" s="833"/>
      <c r="R406" s="833"/>
      <c r="S406" s="833"/>
      <c r="T406" s="833"/>
      <c r="U406" s="833"/>
      <c r="V406" s="833"/>
      <c r="W406" s="833"/>
      <c r="X406" s="833"/>
      <c r="Y406" s="833"/>
      <c r="Z406" s="833"/>
      <c r="AA406" s="833"/>
      <c r="AB406" s="833"/>
      <c r="AC406" s="833"/>
      <c r="AD406" s="833"/>
      <c r="AE406" s="833"/>
      <c r="AF406" s="833"/>
      <c r="AG406" s="833"/>
      <c r="AH406" s="833"/>
      <c r="AI406" s="833"/>
      <c r="AJ406" s="833"/>
      <c r="AK406" s="833"/>
      <c r="AL406" s="833"/>
      <c r="AM406" s="833"/>
      <c r="AN406" s="833"/>
      <c r="AO406" s="833"/>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1210" t="s">
        <v>3</v>
      </c>
      <c r="C407" s="1287">
        <v>2023</v>
      </c>
      <c r="D407" s="1288"/>
      <c r="E407" s="1289"/>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1211"/>
      <c r="C408" s="835" t="s">
        <v>199</v>
      </c>
      <c r="D408" s="836" t="s">
        <v>200</v>
      </c>
      <c r="E408" s="837" t="s">
        <v>201</v>
      </c>
      <c r="F408" s="835" t="s">
        <v>199</v>
      </c>
      <c r="G408" s="836" t="s">
        <v>200</v>
      </c>
      <c r="H408" s="837" t="s">
        <v>201</v>
      </c>
      <c r="I408" s="835" t="s">
        <v>199</v>
      </c>
      <c r="J408" s="836" t="s">
        <v>200</v>
      </c>
      <c r="K408" s="837" t="s">
        <v>201</v>
      </c>
      <c r="L408" s="835" t="s">
        <v>199</v>
      </c>
      <c r="M408" s="836" t="s">
        <v>200</v>
      </c>
      <c r="N408" s="837" t="s">
        <v>201</v>
      </c>
      <c r="O408" s="835" t="s">
        <v>199</v>
      </c>
      <c r="P408" s="836" t="s">
        <v>200</v>
      </c>
      <c r="Q408" s="837" t="s">
        <v>201</v>
      </c>
      <c r="R408" s="835" t="s">
        <v>199</v>
      </c>
      <c r="S408" s="836" t="s">
        <v>200</v>
      </c>
      <c r="T408" s="837" t="s">
        <v>201</v>
      </c>
      <c r="U408" s="835" t="s">
        <v>199</v>
      </c>
      <c r="V408" s="836" t="s">
        <v>200</v>
      </c>
      <c r="W408" s="837" t="s">
        <v>201</v>
      </c>
      <c r="X408" s="835" t="s">
        <v>199</v>
      </c>
      <c r="Y408" s="836" t="s">
        <v>200</v>
      </c>
      <c r="Z408" s="837" t="s">
        <v>201</v>
      </c>
      <c r="AA408" s="835" t="s">
        <v>199</v>
      </c>
      <c r="AB408" s="836" t="s">
        <v>200</v>
      </c>
      <c r="AC408" s="837" t="s">
        <v>201</v>
      </c>
      <c r="AD408" s="835" t="s">
        <v>199</v>
      </c>
      <c r="AE408" s="836" t="s">
        <v>200</v>
      </c>
      <c r="AF408" s="837" t="s">
        <v>201</v>
      </c>
      <c r="AG408" s="835" t="s">
        <v>199</v>
      </c>
      <c r="AH408" s="836" t="s">
        <v>200</v>
      </c>
      <c r="AI408" s="837" t="s">
        <v>201</v>
      </c>
      <c r="AJ408" s="835" t="s">
        <v>199</v>
      </c>
      <c r="AK408" s="836" t="s">
        <v>200</v>
      </c>
      <c r="AL408" s="837" t="s">
        <v>201</v>
      </c>
      <c r="AM408" s="835" t="s">
        <v>199</v>
      </c>
      <c r="AN408" s="836" t="s">
        <v>200</v>
      </c>
      <c r="AO408" s="83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9">B409</f>
        <v>Ventes nettes</v>
      </c>
      <c r="B409" s="852" t="s">
        <v>96</v>
      </c>
      <c r="C409" s="838"/>
      <c r="D409" s="839"/>
      <c r="E409" s="840">
        <f>+SUM(H409,K409,N409,Q409,T409,W409,Z409,AC409,AF409,AI409,AL409,AO409)</f>
        <v>66341550.865965143</v>
      </c>
      <c r="F409" s="838"/>
      <c r="G409" s="839"/>
      <c r="H409" s="840">
        <f>+F365+F317+G197+G253+H96+H8</f>
        <v>4239492.1414148333</v>
      </c>
      <c r="I409" s="838"/>
      <c r="J409" s="839"/>
      <c r="K409" s="840">
        <f>+I365+I317+J197+J253+K96+K8</f>
        <v>4351203.6706626099</v>
      </c>
      <c r="L409" s="838"/>
      <c r="M409" s="839"/>
      <c r="N409" s="840">
        <f>+L365+L317+M197+M253+N96+N8</f>
        <v>5997705.5714576384</v>
      </c>
      <c r="O409" s="838"/>
      <c r="P409" s="839"/>
      <c r="Q409" s="840">
        <f>+O365+O317+P197+P253+Q96+Q8</f>
        <v>6269006.9922183678</v>
      </c>
      <c r="R409" s="838"/>
      <c r="S409" s="839"/>
      <c r="T409" s="840">
        <f>+R365+R317+S197+S253+T96+T8</f>
        <v>6678020.9962319955</v>
      </c>
      <c r="U409" s="838"/>
      <c r="V409" s="839"/>
      <c r="W409" s="840">
        <f>+U365+U317+V197+V253+W96+W8</f>
        <v>6372453.4205906205</v>
      </c>
      <c r="X409" s="838"/>
      <c r="Y409" s="839"/>
      <c r="Z409" s="840">
        <f>+X365+X317+Y197+Y253+Z96+Z8</f>
        <v>6048078.8339877855</v>
      </c>
      <c r="AA409" s="838"/>
      <c r="AB409" s="839"/>
      <c r="AC409" s="840">
        <f>+AA365+AA317+AB197+AB253+AC96+AC8</f>
        <v>5727886.5536490418</v>
      </c>
      <c r="AD409" s="838"/>
      <c r="AE409" s="839"/>
      <c r="AF409" s="840">
        <f>+AD365+AD317+AE197+AE253+AF96+AF8</f>
        <v>5522386.01119872</v>
      </c>
      <c r="AG409" s="838"/>
      <c r="AH409" s="839"/>
      <c r="AI409" s="840">
        <f>+AG365+AG317+AH197+AH253+AI96+AI8</f>
        <v>5711342.3284483319</v>
      </c>
      <c r="AJ409" s="838"/>
      <c r="AK409" s="839"/>
      <c r="AL409" s="840">
        <f>+AJ365+AJ317+AK197+AK253+AL96+AL8</f>
        <v>5194817.886756843</v>
      </c>
      <c r="AM409" s="838"/>
      <c r="AN409" s="839"/>
      <c r="AO409" s="840">
        <f>+AM365+AM317+AN197+AN253+AO96+AO8</f>
        <v>4229156.4593483405</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9"/>
        <v>Profit brut</v>
      </c>
      <c r="B410" s="1212" t="s">
        <v>202</v>
      </c>
      <c r="C410" s="841"/>
      <c r="D410" s="842"/>
      <c r="E410" s="843">
        <f>E30+E111+E197+E253+E317+E365</f>
        <v>9580112.1784297228</v>
      </c>
      <c r="F410" s="841"/>
      <c r="G410" s="842"/>
      <c r="H410" s="843">
        <f>H30+H111+H197+H253+H317+H365</f>
        <v>613340.81213010126</v>
      </c>
      <c r="I410" s="841"/>
      <c r="J410" s="842"/>
      <c r="K410" s="843">
        <f>K30+K111+K197+K253+K317+K365</f>
        <v>620665.88153250644</v>
      </c>
      <c r="L410" s="841"/>
      <c r="M410" s="842"/>
      <c r="N410" s="843">
        <f>N30+N111+N197+N253+N317+N365</f>
        <v>846818.47755592177</v>
      </c>
      <c r="O410" s="841"/>
      <c r="P410" s="842"/>
      <c r="Q410" s="843">
        <f>Q30+Q111+Q197+Q253+Q317+Q365</f>
        <v>899225.55833126977</v>
      </c>
      <c r="R410" s="841"/>
      <c r="S410" s="842"/>
      <c r="T410" s="843">
        <f>T30+T111+T197+T253+T317+T365</f>
        <v>957253.30651521997</v>
      </c>
      <c r="U410" s="841"/>
      <c r="V410" s="842"/>
      <c r="W410" s="843">
        <f>W30+W111+W197+W253+W317+W365</f>
        <v>865057.30460504419</v>
      </c>
      <c r="X410" s="841"/>
      <c r="Y410" s="842"/>
      <c r="Z410" s="843">
        <f>Z30+Z111+Z197+Z253+Z317+Z365</f>
        <v>820199.25630673091</v>
      </c>
      <c r="AA410" s="841"/>
      <c r="AB410" s="842"/>
      <c r="AC410" s="843">
        <f>AC30+AC111+AC197+AC253+AC317+AC365</f>
        <v>795151.24397258356</v>
      </c>
      <c r="AD410" s="841"/>
      <c r="AE410" s="842"/>
      <c r="AF410" s="843">
        <f>AF30+AF111+AF197+AF253+AF317+AF365</f>
        <v>829261.57712987345</v>
      </c>
      <c r="AG410" s="841"/>
      <c r="AH410" s="842"/>
      <c r="AI410" s="843">
        <f>AI30+AI111+AI197+AI253+AI317+AI365</f>
        <v>831307.49252913101</v>
      </c>
      <c r="AJ410" s="841"/>
      <c r="AK410" s="842"/>
      <c r="AL410" s="843">
        <f>AL30+AL111+AL197+AL253+AL317+AL365</f>
        <v>859264.42562108138</v>
      </c>
      <c r="AM410" s="841"/>
      <c r="AN410" s="842"/>
      <c r="AO410" s="843">
        <f>AO30+AO111+AO197+AO253+AO317+AO365</f>
        <v>642566.84220025805</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9"/>
        <v>DÉPENSES</v>
      </c>
      <c r="B411" s="1213" t="s">
        <v>203</v>
      </c>
      <c r="C411" s="844"/>
      <c r="D411" s="845"/>
      <c r="E411" s="846"/>
      <c r="F411" s="844"/>
      <c r="G411" s="845"/>
      <c r="H411" s="846"/>
      <c r="I411" s="844"/>
      <c r="J411" s="845"/>
      <c r="K411" s="846"/>
      <c r="L411" s="844"/>
      <c r="M411" s="845"/>
      <c r="N411" s="846"/>
      <c r="O411" s="844"/>
      <c r="P411" s="845"/>
      <c r="Q411" s="846"/>
      <c r="R411" s="844"/>
      <c r="S411" s="845"/>
      <c r="T411" s="846"/>
      <c r="U411" s="844"/>
      <c r="V411" s="845"/>
      <c r="W411" s="846"/>
      <c r="X411" s="844"/>
      <c r="Y411" s="845"/>
      <c r="Z411" s="846"/>
      <c r="AA411" s="844"/>
      <c r="AB411" s="845"/>
      <c r="AC411" s="846"/>
      <c r="AD411" s="844"/>
      <c r="AE411" s="845"/>
      <c r="AF411" s="846"/>
      <c r="AG411" s="844"/>
      <c r="AH411" s="845"/>
      <c r="AI411" s="846"/>
      <c r="AJ411" s="844"/>
      <c r="AK411" s="845"/>
      <c r="AL411" s="846"/>
      <c r="AM411" s="844"/>
      <c r="AN411" s="845"/>
      <c r="AO411" s="84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9"/>
        <v>Comm. vendeurs</v>
      </c>
      <c r="B412" s="849" t="s">
        <v>111</v>
      </c>
      <c r="C412" s="847">
        <f>E412/(E100+E20+E18+E16)</f>
        <v>0.31269263156561783</v>
      </c>
      <c r="D412" s="848">
        <f>IF(E412=0,0,E412/(C$16+C$100+C18+C20))</f>
        <v>598.2895468093102</v>
      </c>
      <c r="E412" s="846">
        <f t="shared" ref="E412:E421" si="70">+SUM(H412,K412,N412,Q412,T412,W412,Z412,AC412,AF412,AI412,AL412,AO412)</f>
        <v>780767.85858614987</v>
      </c>
      <c r="F412" s="849"/>
      <c r="G412" s="848">
        <f t="shared" ref="G412:G418" si="71">IF(H412=0,0,H412/(F$16+F$100))</f>
        <v>667.81724968382821</v>
      </c>
      <c r="H412" s="846">
        <f t="shared" ref="H412:H421" si="72">+SUMIF($B$4:$B$402,$B412,H$4:H$402)</f>
        <v>51421.928225654774</v>
      </c>
      <c r="I412" s="849"/>
      <c r="J412" s="848">
        <f t="shared" ref="J412:J418" si="73">IF(K412=0,0,K412/(I$16+I$100))</f>
        <v>666.9081705732774</v>
      </c>
      <c r="K412" s="846">
        <f t="shared" ref="K412:K421" si="74">+SUMIF($B$4:$B$402,$B412,K$4:K$402)</f>
        <v>54019.561816435467</v>
      </c>
      <c r="L412" s="849"/>
      <c r="M412" s="848">
        <f t="shared" ref="M412:M418" si="75">IF(N412=0,0,N412/(L$16+L$100))</f>
        <v>630.25851603707622</v>
      </c>
      <c r="N412" s="846">
        <f t="shared" ref="N412:N421" si="76">+SUMIF($B$4:$B$402,$B412,N$4:N$402)</f>
        <v>75000.763408412065</v>
      </c>
      <c r="O412" s="849"/>
      <c r="P412" s="848">
        <f t="shared" ref="P412:P418" si="77">IF(Q412=0,0,Q412/(O$16+O$100))</f>
        <v>625.85208477328581</v>
      </c>
      <c r="Q412" s="846">
        <f t="shared" ref="Q412:Q421" si="78">+SUMIF($B$4:$B$402,$B412,Q$4:Q$402)</f>
        <v>76979.806427114148</v>
      </c>
      <c r="R412" s="849"/>
      <c r="S412" s="848">
        <f t="shared" ref="S412:S418" si="79">IF(T412=0,0,T412/(R$16+R$100))</f>
        <v>638.1348049437097</v>
      </c>
      <c r="T412" s="846">
        <f t="shared" ref="T412:T421" si="80">+SUMIF($B$4:$B$402,$B412,T$4:T$402)</f>
        <v>81681.255032794841</v>
      </c>
      <c r="U412" s="849"/>
      <c r="V412" s="848">
        <f t="shared" ref="V412:V418" si="81">IF(W412=0,0,W412/(U$16+U$100))</f>
        <v>626.85860002314735</v>
      </c>
      <c r="W412" s="846">
        <f t="shared" ref="W412:W421" si="82">+SUMIF($B$4:$B$402,$B412,W$4:W$402)</f>
        <v>73969.314802731387</v>
      </c>
      <c r="X412" s="849"/>
      <c r="Y412" s="848">
        <f t="shared" ref="Y412:Y418" si="83">IF(Z412=0,0,Z412/(X$16+X$100))</f>
        <v>649.05395388232785</v>
      </c>
      <c r="Z412" s="846">
        <f t="shared" ref="Z412:Z421" si="84">+SUMIF($B$4:$B$402,$B412,Z$4:Z$402)</f>
        <v>70097.827019291406</v>
      </c>
      <c r="AA412" s="849"/>
      <c r="AB412" s="848">
        <f t="shared" ref="AB412:AB418" si="85">IF(AC412=0,0,AC412/(AA$16+AA$100))</f>
        <v>627.89082955662195</v>
      </c>
      <c r="AC412" s="846">
        <f t="shared" ref="AC412:AC421" si="86">+SUMIF($B$4:$B$402,$B412,AC$4:AC$402)</f>
        <v>64044.864614775433</v>
      </c>
      <c r="AD412" s="849"/>
      <c r="AE412" s="848">
        <f t="shared" ref="AE412:AE418" si="87">IF(AF412=0,0,AF412/(AD$16+AD$100))</f>
        <v>628.75821596073354</v>
      </c>
      <c r="AF412" s="846">
        <f t="shared" ref="AF412:AF421" si="88">+SUMIF($B$4:$B$402,$B412,AF$4:AF$402)</f>
        <v>62875.821596073351</v>
      </c>
      <c r="AG412" s="849"/>
      <c r="AH412" s="848">
        <f t="shared" ref="AH412:AH418" si="89">IF(AI412=0,0,AI412/(AG$16+AG$100))</f>
        <v>651.51444907239545</v>
      </c>
      <c r="AI412" s="846">
        <f t="shared" ref="AI412:AI421" si="90">+SUMIF($B$4:$B$402,$B412,AI$4:AI$402)</f>
        <v>63848.416009094755</v>
      </c>
      <c r="AJ412" s="849"/>
      <c r="AK412" s="848">
        <f t="shared" ref="AK412:AK418" si="91">IF(AL412=0,0,AL412/(AJ$16+AJ$100))</f>
        <v>640.68199784636056</v>
      </c>
      <c r="AL412" s="846">
        <f t="shared" ref="AL412:AL421" si="92">+SUMIF($B$4:$B$402,$B412,AL$4:AL$402)</f>
        <v>55739.333812633369</v>
      </c>
      <c r="AM412" s="849"/>
      <c r="AN412" s="848">
        <f t="shared" ref="AN412:AN418" si="93">IF(AO412=0,0,AO412/(AM$16+AM$100))</f>
        <v>681.18621094851756</v>
      </c>
      <c r="AO412" s="846">
        <f t="shared" ref="AO412:AO421" si="94">+SUMIF($B$4:$B$402,$B412,AO$4:AO$402)</f>
        <v>51088.965821138816</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9"/>
        <v>Comm. F&amp;I</v>
      </c>
      <c r="B413" s="852" t="s">
        <v>112</v>
      </c>
      <c r="C413" s="850">
        <f>E413/(E108+E27)</f>
        <v>0.23239553165080681</v>
      </c>
      <c r="D413" s="851">
        <f>IF(E413=0,0,E413/(C$16+C$100))</f>
        <v>369.53947368421058</v>
      </c>
      <c r="E413" s="840">
        <f t="shared" si="70"/>
        <v>449360.00000000006</v>
      </c>
      <c r="F413" s="852"/>
      <c r="G413" s="851">
        <f t="shared" si="71"/>
        <v>366.25436237771044</v>
      </c>
      <c r="H413" s="840">
        <f t="shared" si="72"/>
        <v>28201.585903083702</v>
      </c>
      <c r="I413" s="852"/>
      <c r="J413" s="851">
        <f t="shared" si="73"/>
        <v>364.07026703649319</v>
      </c>
      <c r="K413" s="840">
        <f t="shared" si="74"/>
        <v>29489.691629955949</v>
      </c>
      <c r="L413" s="852"/>
      <c r="M413" s="851">
        <f t="shared" si="75"/>
        <v>364.16638902256932</v>
      </c>
      <c r="N413" s="840">
        <f t="shared" si="76"/>
        <v>43335.800293685752</v>
      </c>
      <c r="O413" s="852"/>
      <c r="P413" s="851">
        <f t="shared" si="77"/>
        <v>364.26966560414502</v>
      </c>
      <c r="Q413" s="840">
        <f t="shared" si="78"/>
        <v>44805.16886930984</v>
      </c>
      <c r="R413" s="852"/>
      <c r="S413" s="851">
        <f t="shared" si="79"/>
        <v>363.85370778267253</v>
      </c>
      <c r="T413" s="840">
        <f t="shared" si="80"/>
        <v>46573.274596182084</v>
      </c>
      <c r="U413" s="852"/>
      <c r="V413" s="851">
        <f t="shared" si="81"/>
        <v>368.53978446452123</v>
      </c>
      <c r="W413" s="840">
        <f t="shared" si="82"/>
        <v>43487.694566813509</v>
      </c>
      <c r="X413" s="852"/>
      <c r="Y413" s="851">
        <f t="shared" si="83"/>
        <v>371.87143090226789</v>
      </c>
      <c r="Z413" s="840">
        <f t="shared" si="84"/>
        <v>40162.114537444933</v>
      </c>
      <c r="AA413" s="852"/>
      <c r="AB413" s="851">
        <f t="shared" si="85"/>
        <v>373.48305548357382</v>
      </c>
      <c r="AC413" s="840">
        <f t="shared" si="86"/>
        <v>38095.271659324528</v>
      </c>
      <c r="AD413" s="852"/>
      <c r="AE413" s="851">
        <f t="shared" si="87"/>
        <v>375.56534508076356</v>
      </c>
      <c r="AF413" s="840">
        <f t="shared" si="88"/>
        <v>37556.534508076358</v>
      </c>
      <c r="AG413" s="852"/>
      <c r="AH413" s="851">
        <f t="shared" si="89"/>
        <v>375.58332584134979</v>
      </c>
      <c r="AI413" s="840">
        <f t="shared" si="90"/>
        <v>36807.165932452277</v>
      </c>
      <c r="AJ413" s="852"/>
      <c r="AK413" s="851">
        <f t="shared" si="91"/>
        <v>376.90752274376763</v>
      </c>
      <c r="AL413" s="840">
        <f t="shared" si="92"/>
        <v>32790.954478707783</v>
      </c>
      <c r="AM413" s="852"/>
      <c r="AN413" s="851">
        <f t="shared" si="93"/>
        <v>374.06324033284386</v>
      </c>
      <c r="AO413" s="840">
        <f t="shared" si="94"/>
        <v>28054.743024963289</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9"/>
        <v>Frais de livraison</v>
      </c>
      <c r="B414" s="849" t="s">
        <v>113</v>
      </c>
      <c r="C414" s="849"/>
      <c r="D414" s="848">
        <f>IF(E414=0,0,E414/($C$27+C$100))</f>
        <v>69.593152866242036</v>
      </c>
      <c r="E414" s="846">
        <f t="shared" si="70"/>
        <v>87409</v>
      </c>
      <c r="F414" s="849"/>
      <c r="G414" s="848">
        <f t="shared" si="71"/>
        <v>75.012987012987011</v>
      </c>
      <c r="H414" s="846">
        <f t="shared" si="72"/>
        <v>5776</v>
      </c>
      <c r="I414" s="849"/>
      <c r="J414" s="848">
        <f t="shared" si="73"/>
        <v>75.666666666666671</v>
      </c>
      <c r="K414" s="846">
        <f t="shared" si="74"/>
        <v>6129</v>
      </c>
      <c r="L414" s="849"/>
      <c r="M414" s="848">
        <f t="shared" si="75"/>
        <v>74.806722689075627</v>
      </c>
      <c r="N414" s="846">
        <f t="shared" si="76"/>
        <v>8902</v>
      </c>
      <c r="O414" s="849"/>
      <c r="P414" s="848">
        <f t="shared" si="77"/>
        <v>74.373983739837399</v>
      </c>
      <c r="Q414" s="846">
        <f t="shared" si="78"/>
        <v>9148</v>
      </c>
      <c r="R414" s="849"/>
      <c r="S414" s="848">
        <f t="shared" si="79"/>
        <v>74.2890625</v>
      </c>
      <c r="T414" s="846">
        <f t="shared" si="80"/>
        <v>9509</v>
      </c>
      <c r="U414" s="849"/>
      <c r="V414" s="848">
        <f t="shared" si="81"/>
        <v>72.652542372881356</v>
      </c>
      <c r="W414" s="846">
        <f t="shared" si="82"/>
        <v>8573</v>
      </c>
      <c r="X414" s="849"/>
      <c r="Y414" s="848">
        <f t="shared" si="83"/>
        <v>71.703703703703709</v>
      </c>
      <c r="Z414" s="846">
        <f t="shared" si="84"/>
        <v>7744</v>
      </c>
      <c r="AA414" s="849"/>
      <c r="AB414" s="848">
        <f t="shared" si="85"/>
        <v>69.078431372549019</v>
      </c>
      <c r="AC414" s="846">
        <f t="shared" si="86"/>
        <v>7046</v>
      </c>
      <c r="AD414" s="849"/>
      <c r="AE414" s="848">
        <f t="shared" si="87"/>
        <v>68.16</v>
      </c>
      <c r="AF414" s="846">
        <f t="shared" si="88"/>
        <v>6816</v>
      </c>
      <c r="AG414" s="849"/>
      <c r="AH414" s="848">
        <f t="shared" si="89"/>
        <v>68.295918367346943</v>
      </c>
      <c r="AI414" s="846">
        <f t="shared" si="90"/>
        <v>6693</v>
      </c>
      <c r="AJ414" s="849"/>
      <c r="AK414" s="848">
        <f t="shared" si="91"/>
        <v>68.540229885057471</v>
      </c>
      <c r="AL414" s="846">
        <f t="shared" si="92"/>
        <v>5963</v>
      </c>
      <c r="AM414" s="849"/>
      <c r="AN414" s="848">
        <f t="shared" si="93"/>
        <v>68.13333333333334</v>
      </c>
      <c r="AO414" s="846">
        <f t="shared" si="94"/>
        <v>5110</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9"/>
        <v>Service gratuit 1</v>
      </c>
      <c r="B415" s="849" t="s">
        <v>114</v>
      </c>
      <c r="C415" s="849"/>
      <c r="D415" s="848">
        <f>IF(E415=0,0,E415/($C$27+C$100))</f>
        <v>26.97452229299363</v>
      </c>
      <c r="E415" s="846">
        <f t="shared" si="70"/>
        <v>33880</v>
      </c>
      <c r="F415" s="849"/>
      <c r="G415" s="848">
        <f t="shared" si="71"/>
        <v>27.012987012987011</v>
      </c>
      <c r="H415" s="846">
        <f t="shared" si="72"/>
        <v>2080</v>
      </c>
      <c r="I415" s="849"/>
      <c r="J415" s="848">
        <f t="shared" si="73"/>
        <v>26.666666666666668</v>
      </c>
      <c r="K415" s="846">
        <f t="shared" si="74"/>
        <v>2160</v>
      </c>
      <c r="L415" s="849"/>
      <c r="M415" s="848">
        <f t="shared" si="75"/>
        <v>26.806722689075631</v>
      </c>
      <c r="N415" s="846">
        <f t="shared" si="76"/>
        <v>3190</v>
      </c>
      <c r="O415" s="849"/>
      <c r="P415" s="848">
        <f t="shared" si="77"/>
        <v>26.910569105691057</v>
      </c>
      <c r="Q415" s="846">
        <f t="shared" si="78"/>
        <v>3310</v>
      </c>
      <c r="R415" s="849"/>
      <c r="S415" s="848">
        <f t="shared" si="79"/>
        <v>26.875</v>
      </c>
      <c r="T415" s="846">
        <f t="shared" si="80"/>
        <v>3440</v>
      </c>
      <c r="U415" s="849"/>
      <c r="V415" s="848">
        <f t="shared" si="81"/>
        <v>27.627118644067796</v>
      </c>
      <c r="W415" s="846">
        <f t="shared" si="82"/>
        <v>3260</v>
      </c>
      <c r="X415" s="849"/>
      <c r="Y415" s="848">
        <f t="shared" si="83"/>
        <v>28.148148148148149</v>
      </c>
      <c r="Z415" s="846">
        <f t="shared" si="84"/>
        <v>3040</v>
      </c>
      <c r="AA415" s="849"/>
      <c r="AB415" s="848">
        <f t="shared" si="85"/>
        <v>28.725490196078432</v>
      </c>
      <c r="AC415" s="846">
        <f t="shared" si="86"/>
        <v>2930</v>
      </c>
      <c r="AD415" s="849"/>
      <c r="AE415" s="848">
        <f t="shared" si="87"/>
        <v>29.1</v>
      </c>
      <c r="AF415" s="846">
        <f t="shared" si="88"/>
        <v>2910</v>
      </c>
      <c r="AG415" s="849"/>
      <c r="AH415" s="848">
        <f t="shared" si="89"/>
        <v>29.081632653061224</v>
      </c>
      <c r="AI415" s="846">
        <f t="shared" si="90"/>
        <v>2850</v>
      </c>
      <c r="AJ415" s="849"/>
      <c r="AK415" s="848">
        <f t="shared" si="91"/>
        <v>29.195402298850574</v>
      </c>
      <c r="AL415" s="846">
        <f t="shared" si="92"/>
        <v>2540</v>
      </c>
      <c r="AM415" s="849"/>
      <c r="AN415" s="848">
        <f t="shared" si="93"/>
        <v>28.933333333333334</v>
      </c>
      <c r="AO415" s="846">
        <f t="shared" si="94"/>
        <v>2170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9"/>
        <v>Entretien stock</v>
      </c>
      <c r="B416" s="852" t="s">
        <v>115</v>
      </c>
      <c r="C416" s="852"/>
      <c r="D416" s="851">
        <f>IF(E416=0,0,E416/($C$27+C$100))</f>
        <v>141.21815286624204</v>
      </c>
      <c r="E416" s="840">
        <f t="shared" si="70"/>
        <v>177370</v>
      </c>
      <c r="F416" s="852"/>
      <c r="G416" s="851">
        <f t="shared" si="71"/>
        <v>145.45454545454547</v>
      </c>
      <c r="H416" s="840">
        <f t="shared" si="72"/>
        <v>11200</v>
      </c>
      <c r="I416" s="852"/>
      <c r="J416" s="851">
        <f t="shared" si="73"/>
        <v>144.81481481481481</v>
      </c>
      <c r="K416" s="840">
        <f t="shared" si="74"/>
        <v>11730</v>
      </c>
      <c r="L416" s="852"/>
      <c r="M416" s="851">
        <f t="shared" si="75"/>
        <v>144.62184873949579</v>
      </c>
      <c r="N416" s="840">
        <f t="shared" si="76"/>
        <v>17210</v>
      </c>
      <c r="O416" s="852"/>
      <c r="P416" s="851">
        <f t="shared" si="77"/>
        <v>144.63414634146341</v>
      </c>
      <c r="Q416" s="840">
        <f t="shared" si="78"/>
        <v>17790</v>
      </c>
      <c r="R416" s="852"/>
      <c r="S416" s="851">
        <f t="shared" si="79"/>
        <v>144.453125</v>
      </c>
      <c r="T416" s="840">
        <f t="shared" si="80"/>
        <v>18490</v>
      </c>
      <c r="U416" s="852"/>
      <c r="V416" s="851">
        <f t="shared" si="81"/>
        <v>145.67796610169492</v>
      </c>
      <c r="W416" s="840">
        <f t="shared" si="82"/>
        <v>17190</v>
      </c>
      <c r="X416" s="852"/>
      <c r="Y416" s="851">
        <f t="shared" si="83"/>
        <v>146.66666666666666</v>
      </c>
      <c r="Z416" s="840">
        <f t="shared" si="84"/>
        <v>15840</v>
      </c>
      <c r="AA416" s="852"/>
      <c r="AB416" s="851">
        <f t="shared" si="85"/>
        <v>146.56862745098039</v>
      </c>
      <c r="AC416" s="840">
        <f t="shared" si="86"/>
        <v>14950</v>
      </c>
      <c r="AD416" s="852"/>
      <c r="AE416" s="851">
        <f t="shared" si="87"/>
        <v>147.1</v>
      </c>
      <c r="AF416" s="840">
        <f t="shared" si="88"/>
        <v>14710</v>
      </c>
      <c r="AG416" s="852"/>
      <c r="AH416" s="851">
        <f t="shared" si="89"/>
        <v>147.14285714285714</v>
      </c>
      <c r="AI416" s="840">
        <f t="shared" si="90"/>
        <v>14420</v>
      </c>
      <c r="AJ416" s="852"/>
      <c r="AK416" s="851">
        <f t="shared" si="91"/>
        <v>147.70114942528735</v>
      </c>
      <c r="AL416" s="840">
        <f t="shared" si="92"/>
        <v>12850</v>
      </c>
      <c r="AM416" s="852"/>
      <c r="AN416" s="851">
        <f t="shared" si="93"/>
        <v>146.53333333333333</v>
      </c>
      <c r="AO416" s="840">
        <f t="shared" si="94"/>
        <v>10990</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9"/>
        <v>Publicité 1</v>
      </c>
      <c r="B417" s="849" t="s">
        <v>116</v>
      </c>
      <c r="C417" s="849"/>
      <c r="D417" s="848">
        <f>IF(E417=0,0,E417/($C$27+C$100))</f>
        <v>133.10907643312103</v>
      </c>
      <c r="E417" s="846">
        <f t="shared" si="70"/>
        <v>167185</v>
      </c>
      <c r="F417" s="849"/>
      <c r="G417" s="848">
        <f t="shared" si="71"/>
        <v>270.16558441558442</v>
      </c>
      <c r="H417" s="846">
        <f t="shared" si="72"/>
        <v>20802.75</v>
      </c>
      <c r="I417" s="849"/>
      <c r="J417" s="848">
        <f t="shared" si="73"/>
        <v>172.03395061728395</v>
      </c>
      <c r="K417" s="846">
        <f t="shared" si="74"/>
        <v>13934.75</v>
      </c>
      <c r="L417" s="849"/>
      <c r="M417" s="848">
        <f t="shared" si="75"/>
        <v>74.661764705882348</v>
      </c>
      <c r="N417" s="846">
        <f t="shared" si="76"/>
        <v>8884.75</v>
      </c>
      <c r="O417" s="849"/>
      <c r="P417" s="848">
        <f t="shared" si="77"/>
        <v>165.72967479674796</v>
      </c>
      <c r="Q417" s="846">
        <f t="shared" si="78"/>
        <v>20384.75</v>
      </c>
      <c r="R417" s="849"/>
      <c r="S417" s="848">
        <f t="shared" si="79"/>
        <v>60.427734375</v>
      </c>
      <c r="T417" s="846">
        <f t="shared" si="80"/>
        <v>7734.75</v>
      </c>
      <c r="U417" s="849"/>
      <c r="V417" s="848">
        <f t="shared" si="81"/>
        <v>77.413135593220332</v>
      </c>
      <c r="W417" s="846">
        <f t="shared" si="82"/>
        <v>9134.75</v>
      </c>
      <c r="X417" s="849"/>
      <c r="Y417" s="848">
        <f t="shared" si="83"/>
        <v>97.081018518518519</v>
      </c>
      <c r="Z417" s="846">
        <f t="shared" si="84"/>
        <v>10484.75</v>
      </c>
      <c r="AA417" s="849"/>
      <c r="AB417" s="848">
        <f t="shared" si="85"/>
        <v>112.59558823529412</v>
      </c>
      <c r="AC417" s="846">
        <f t="shared" si="86"/>
        <v>11484.75</v>
      </c>
      <c r="AD417" s="849"/>
      <c r="AE417" s="848">
        <f t="shared" si="87"/>
        <v>117.8475</v>
      </c>
      <c r="AF417" s="846">
        <f t="shared" si="88"/>
        <v>11784.75</v>
      </c>
      <c r="AG417" s="849"/>
      <c r="AH417" s="848">
        <f t="shared" si="89"/>
        <v>122.80357142857143</v>
      </c>
      <c r="AI417" s="846">
        <f t="shared" si="90"/>
        <v>12034.75</v>
      </c>
      <c r="AJ417" s="849"/>
      <c r="AK417" s="848">
        <f t="shared" si="91"/>
        <v>292.35344827586209</v>
      </c>
      <c r="AL417" s="846">
        <f t="shared" si="92"/>
        <v>25434.75</v>
      </c>
      <c r="AM417" s="849"/>
      <c r="AN417" s="848">
        <f t="shared" si="93"/>
        <v>201.13</v>
      </c>
      <c r="AO417" s="846">
        <f t="shared" si="94"/>
        <v>15084.75</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9"/>
        <v>Intérêt de gros</v>
      </c>
      <c r="B418" s="849" t="s">
        <v>117</v>
      </c>
      <c r="C418" s="849"/>
      <c r="D418" s="848">
        <f>IF(E418=0,0,E418/($C$27+C$100))</f>
        <v>202.86060009188716</v>
      </c>
      <c r="E418" s="846">
        <f t="shared" si="70"/>
        <v>254792.91371541028</v>
      </c>
      <c r="F418" s="849"/>
      <c r="G418" s="848">
        <f t="shared" si="71"/>
        <v>250.99398442130033</v>
      </c>
      <c r="H418" s="846">
        <f t="shared" si="72"/>
        <v>19326.536800440124</v>
      </c>
      <c r="I418" s="849"/>
      <c r="J418" s="848">
        <f t="shared" si="73"/>
        <v>264.33050816385065</v>
      </c>
      <c r="K418" s="846">
        <f t="shared" si="74"/>
        <v>21410.771161271903</v>
      </c>
      <c r="L418" s="849"/>
      <c r="M418" s="848">
        <f t="shared" si="75"/>
        <v>200.2234307674531</v>
      </c>
      <c r="N418" s="846">
        <f t="shared" si="76"/>
        <v>23826.588261326917</v>
      </c>
      <c r="O418" s="849"/>
      <c r="P418" s="848">
        <f t="shared" si="77"/>
        <v>196.98556459080834</v>
      </c>
      <c r="Q418" s="846">
        <f t="shared" si="78"/>
        <v>24229.224444669424</v>
      </c>
      <c r="R418" s="849"/>
      <c r="S418" s="848">
        <f t="shared" si="79"/>
        <v>187.07039584525285</v>
      </c>
      <c r="T418" s="846">
        <f t="shared" si="80"/>
        <v>23945.010668192364</v>
      </c>
      <c r="U418" s="849"/>
      <c r="V418" s="848">
        <f t="shared" si="81"/>
        <v>191.68372636694414</v>
      </c>
      <c r="W418" s="846">
        <f t="shared" si="82"/>
        <v>22618.67971129941</v>
      </c>
      <c r="X418" s="849"/>
      <c r="Y418" s="848">
        <f t="shared" si="83"/>
        <v>198.46718187634252</v>
      </c>
      <c r="Z418" s="846">
        <f t="shared" si="84"/>
        <v>21434.455642644993</v>
      </c>
      <c r="AA418" s="849"/>
      <c r="AB418" s="848">
        <f t="shared" si="85"/>
        <v>203.17569805345431</v>
      </c>
      <c r="AC418" s="846">
        <f t="shared" si="86"/>
        <v>20723.92120145234</v>
      </c>
      <c r="AD418" s="849"/>
      <c r="AE418" s="848">
        <f t="shared" si="87"/>
        <v>204.63391906348369</v>
      </c>
      <c r="AF418" s="846">
        <f t="shared" si="88"/>
        <v>20463.39190634837</v>
      </c>
      <c r="AG418" s="849"/>
      <c r="AH418" s="848">
        <f t="shared" si="89"/>
        <v>202.76816195939958</v>
      </c>
      <c r="AI418" s="846">
        <f t="shared" si="90"/>
        <v>19871.279872021158</v>
      </c>
      <c r="AJ418" s="849"/>
      <c r="AK418" s="848">
        <f t="shared" si="91"/>
        <v>215.06598028436582</v>
      </c>
      <c r="AL418" s="846">
        <f t="shared" si="92"/>
        <v>18710.740284739826</v>
      </c>
      <c r="AM418" s="849"/>
      <c r="AN418" s="848">
        <f t="shared" si="93"/>
        <v>243.0975168133792</v>
      </c>
      <c r="AO418" s="846">
        <f t="shared" si="94"/>
        <v>18232.313761003439</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9"/>
        <v>[...]</v>
      </c>
      <c r="B419" s="883" t="s">
        <v>59</v>
      </c>
      <c r="C419" s="849"/>
      <c r="D419" s="848"/>
      <c r="E419" s="846">
        <f t="shared" si="70"/>
        <v>0</v>
      </c>
      <c r="F419" s="849"/>
      <c r="G419" s="848"/>
      <c r="H419" s="846">
        <f t="shared" si="72"/>
        <v>0</v>
      </c>
      <c r="I419" s="849"/>
      <c r="J419" s="848"/>
      <c r="K419" s="846">
        <f t="shared" si="74"/>
        <v>0</v>
      </c>
      <c r="L419" s="849"/>
      <c r="M419" s="848"/>
      <c r="N419" s="846">
        <f t="shared" si="76"/>
        <v>0</v>
      </c>
      <c r="O419" s="849"/>
      <c r="P419" s="848"/>
      <c r="Q419" s="846">
        <f t="shared" si="78"/>
        <v>0</v>
      </c>
      <c r="R419" s="849"/>
      <c r="S419" s="848"/>
      <c r="T419" s="846">
        <f t="shared" si="80"/>
        <v>0</v>
      </c>
      <c r="U419" s="849"/>
      <c r="V419" s="848"/>
      <c r="W419" s="846">
        <f t="shared" si="82"/>
        <v>0</v>
      </c>
      <c r="X419" s="849"/>
      <c r="Y419" s="848"/>
      <c r="Z419" s="846">
        <f t="shared" si="84"/>
        <v>0</v>
      </c>
      <c r="AA419" s="849"/>
      <c r="AB419" s="848"/>
      <c r="AC419" s="846">
        <f t="shared" si="86"/>
        <v>0</v>
      </c>
      <c r="AD419" s="849"/>
      <c r="AE419" s="848"/>
      <c r="AF419" s="846">
        <f t="shared" si="88"/>
        <v>0</v>
      </c>
      <c r="AG419" s="849"/>
      <c r="AH419" s="848"/>
      <c r="AI419" s="846">
        <f t="shared" si="90"/>
        <v>0</v>
      </c>
      <c r="AJ419" s="849"/>
      <c r="AK419" s="848"/>
      <c r="AL419" s="846">
        <f t="shared" si="92"/>
        <v>0</v>
      </c>
      <c r="AM419" s="849"/>
      <c r="AN419" s="848"/>
      <c r="AO419" s="846">
        <f t="shared" si="94"/>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9"/>
        <v>[...]</v>
      </c>
      <c r="B420" s="883" t="s">
        <v>59</v>
      </c>
      <c r="C420" s="849"/>
      <c r="D420" s="848"/>
      <c r="E420" s="846">
        <f t="shared" si="70"/>
        <v>0</v>
      </c>
      <c r="F420" s="849"/>
      <c r="G420" s="848"/>
      <c r="H420" s="846">
        <f t="shared" si="72"/>
        <v>0</v>
      </c>
      <c r="I420" s="849"/>
      <c r="J420" s="848"/>
      <c r="K420" s="846">
        <f t="shared" si="74"/>
        <v>0</v>
      </c>
      <c r="L420" s="849"/>
      <c r="M420" s="848"/>
      <c r="N420" s="846">
        <f t="shared" si="76"/>
        <v>0</v>
      </c>
      <c r="O420" s="849"/>
      <c r="P420" s="848"/>
      <c r="Q420" s="846">
        <f t="shared" si="78"/>
        <v>0</v>
      </c>
      <c r="R420" s="849"/>
      <c r="S420" s="848"/>
      <c r="T420" s="846">
        <f t="shared" si="80"/>
        <v>0</v>
      </c>
      <c r="U420" s="849"/>
      <c r="V420" s="848"/>
      <c r="W420" s="846">
        <f t="shared" si="82"/>
        <v>0</v>
      </c>
      <c r="X420" s="849"/>
      <c r="Y420" s="848"/>
      <c r="Z420" s="846">
        <f t="shared" si="84"/>
        <v>0</v>
      </c>
      <c r="AA420" s="849"/>
      <c r="AB420" s="848"/>
      <c r="AC420" s="846">
        <f t="shared" si="86"/>
        <v>0</v>
      </c>
      <c r="AD420" s="849"/>
      <c r="AE420" s="848"/>
      <c r="AF420" s="846">
        <f t="shared" si="88"/>
        <v>0</v>
      </c>
      <c r="AG420" s="849"/>
      <c r="AH420" s="848"/>
      <c r="AI420" s="846">
        <f t="shared" si="90"/>
        <v>0</v>
      </c>
      <c r="AJ420" s="849"/>
      <c r="AK420" s="848"/>
      <c r="AL420" s="846">
        <f t="shared" si="92"/>
        <v>0</v>
      </c>
      <c r="AM420" s="849"/>
      <c r="AN420" s="848"/>
      <c r="AO420" s="846">
        <f t="shared" si="94"/>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9"/>
        <v>[...]</v>
      </c>
      <c r="B421" s="1211" t="s">
        <v>59</v>
      </c>
      <c r="C421" s="849"/>
      <c r="D421" s="848"/>
      <c r="E421" s="846">
        <f t="shared" si="70"/>
        <v>0</v>
      </c>
      <c r="F421" s="849"/>
      <c r="G421" s="848"/>
      <c r="H421" s="846">
        <f t="shared" si="72"/>
        <v>0</v>
      </c>
      <c r="I421" s="849"/>
      <c r="J421" s="848"/>
      <c r="K421" s="846">
        <f t="shared" si="74"/>
        <v>0</v>
      </c>
      <c r="L421" s="849"/>
      <c r="M421" s="848"/>
      <c r="N421" s="846">
        <f t="shared" si="76"/>
        <v>0</v>
      </c>
      <c r="O421" s="849"/>
      <c r="P421" s="848"/>
      <c r="Q421" s="846">
        <f t="shared" si="78"/>
        <v>0</v>
      </c>
      <c r="R421" s="849"/>
      <c r="S421" s="848"/>
      <c r="T421" s="846">
        <f t="shared" si="80"/>
        <v>0</v>
      </c>
      <c r="U421" s="849"/>
      <c r="V421" s="848"/>
      <c r="W421" s="846">
        <f t="shared" si="82"/>
        <v>0</v>
      </c>
      <c r="X421" s="849"/>
      <c r="Y421" s="848"/>
      <c r="Z421" s="846">
        <f t="shared" si="84"/>
        <v>0</v>
      </c>
      <c r="AA421" s="849"/>
      <c r="AB421" s="848"/>
      <c r="AC421" s="846">
        <f t="shared" si="86"/>
        <v>0</v>
      </c>
      <c r="AD421" s="849"/>
      <c r="AE421" s="848"/>
      <c r="AF421" s="846">
        <f t="shared" si="88"/>
        <v>0</v>
      </c>
      <c r="AG421" s="849"/>
      <c r="AH421" s="848"/>
      <c r="AI421" s="846">
        <f t="shared" si="90"/>
        <v>0</v>
      </c>
      <c r="AJ421" s="849"/>
      <c r="AK421" s="848"/>
      <c r="AL421" s="846">
        <f t="shared" si="92"/>
        <v>0</v>
      </c>
      <c r="AM421" s="849"/>
      <c r="AN421" s="848"/>
      <c r="AO421" s="846">
        <f t="shared" si="94"/>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9"/>
        <v>TOTAL VARIABLES</v>
      </c>
      <c r="B422" s="1214" t="s">
        <v>118</v>
      </c>
      <c r="C422" s="1215">
        <f>IFERROR(E422/E410,0)</f>
        <v>0.2036265062421545</v>
      </c>
      <c r="D422" s="1216">
        <f>SUM(D412:D418)</f>
        <v>1541.5845250440068</v>
      </c>
      <c r="E422" s="1217">
        <f>SUM(E412:E418)</f>
        <v>1950764.7723015603</v>
      </c>
      <c r="F422" s="1215">
        <f>IFERROR(H422/H410,0)</f>
        <v>0.22631593754066803</v>
      </c>
      <c r="G422" s="1218"/>
      <c r="H422" s="1217">
        <f>SUM(H412:H418)</f>
        <v>138808.8009291786</v>
      </c>
      <c r="I422" s="1215">
        <f>IFERROR(K422/K410,0)</f>
        <v>0.22374965136599026</v>
      </c>
      <c r="J422" s="1218"/>
      <c r="K422" s="1217">
        <f>SUM(K412:K418)</f>
        <v>138873.77460766333</v>
      </c>
      <c r="L422" s="1215">
        <f>IFERROR(N422/N410,0)</f>
        <v>0.21297350818790425</v>
      </c>
      <c r="M422" s="1218"/>
      <c r="N422" s="1217">
        <f>SUM(N412:N418)</f>
        <v>180349.90196342472</v>
      </c>
      <c r="O422" s="1215">
        <f>IFERROR(Q422/Q410,0)</f>
        <v>0.21868478705834313</v>
      </c>
      <c r="P422" s="1218"/>
      <c r="Q422" s="1217">
        <f>SUM(Q412:Q418)</f>
        <v>196646.94974109344</v>
      </c>
      <c r="R422" s="1215">
        <f>IFERROR(T422/T410,0)</f>
        <v>0.19991917394763947</v>
      </c>
      <c r="S422" s="1218"/>
      <c r="T422" s="1217">
        <f>SUM(T412:T418)</f>
        <v>191373.2902971693</v>
      </c>
      <c r="U422" s="1215">
        <f>IFERROR(W422/W410,0)</f>
        <v>0.20603656905968748</v>
      </c>
      <c r="V422" s="1218"/>
      <c r="W422" s="1217">
        <f>SUM(W412:W418)</f>
        <v>178233.43908084428</v>
      </c>
      <c r="X422" s="1215">
        <f>IFERROR(Z422/Z410,0)</f>
        <v>0.20580748629239648</v>
      </c>
      <c r="Y422" s="1218"/>
      <c r="Z422" s="1217">
        <f>SUM(Z412:Z418)</f>
        <v>168803.14719938132</v>
      </c>
      <c r="AA422" s="1215">
        <f>IFERROR(AC422/AC410,0)</f>
        <v>0.20030756247052295</v>
      </c>
      <c r="AB422" s="1218"/>
      <c r="AC422" s="1217">
        <f>SUM(AC412:AC418)</f>
        <v>159274.80747555231</v>
      </c>
      <c r="AD422" s="1215">
        <f>IFERROR(AF422/AF410,0)</f>
        <v>0.1894655466303988</v>
      </c>
      <c r="AE422" s="1218"/>
      <c r="AF422" s="1217">
        <f>SUM(AF412:AF418)</f>
        <v>157116.49801049809</v>
      </c>
      <c r="AG422" s="1215">
        <f>IFERROR(AI422/AI410,0)</f>
        <v>0.18828726219869024</v>
      </c>
      <c r="AH422" s="1218"/>
      <c r="AI422" s="1217">
        <f>SUM(AI412:AI418)</f>
        <v>156524.61181356822</v>
      </c>
      <c r="AJ422" s="1215">
        <f>IFERROR(AL422/AL410,0)</f>
        <v>0.17925655244571317</v>
      </c>
      <c r="AK422" s="1218"/>
      <c r="AL422" s="1217">
        <f>SUM(AL412:AL418)</f>
        <v>154028.77857608098</v>
      </c>
      <c r="AM422" s="1215">
        <f>IFERROR(AO422/AO410,0)</f>
        <v>0.20345085370334576</v>
      </c>
      <c r="AN422" s="1218"/>
      <c r="AO422" s="1217">
        <f>SUM(AO412:AO418)</f>
        <v>130730.77260710555</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9"/>
        <v>Salaires propriétaire</v>
      </c>
      <c r="B423" s="849" t="s">
        <v>204</v>
      </c>
      <c r="C423" s="849"/>
      <c r="D423" s="848"/>
      <c r="E423" s="846">
        <f t="shared" ref="E423:E435" si="95">+SUM(H423,K423,N423,Q423,T423,W423,Z423,AC423,AF423,AI423,AL423,AO423)</f>
        <v>169692.29</v>
      </c>
      <c r="F423" s="849"/>
      <c r="G423" s="848"/>
      <c r="H423" s="853">
        <f>[1]Salaire!$E$15</f>
        <v>13053.253076923074</v>
      </c>
      <c r="I423" s="849"/>
      <c r="J423" s="848"/>
      <c r="K423" s="853">
        <f>[1]Salaire!$F$15</f>
        <v>13053.253076923074</v>
      </c>
      <c r="L423" s="849"/>
      <c r="M423" s="848"/>
      <c r="N423" s="853">
        <f>[1]Salaire!$G$15</f>
        <v>13053.253076923074</v>
      </c>
      <c r="O423" s="849"/>
      <c r="P423" s="848"/>
      <c r="Q423" s="853">
        <f>[1]Salaire!$H$15</f>
        <v>13053.253076923074</v>
      </c>
      <c r="R423" s="849"/>
      <c r="S423" s="848"/>
      <c r="T423" s="853">
        <f>[1]Salaire!$I$15</f>
        <v>16316.566346153846</v>
      </c>
      <c r="U423" s="849"/>
      <c r="V423" s="848"/>
      <c r="W423" s="853">
        <f>[1]Salaire!$J$15</f>
        <v>13053.253076923074</v>
      </c>
      <c r="X423" s="849"/>
      <c r="Y423" s="848"/>
      <c r="Z423" s="853">
        <f>[1]Salaire!$K$15</f>
        <v>16316.566346153846</v>
      </c>
      <c r="AA423" s="849"/>
      <c r="AB423" s="848"/>
      <c r="AC423" s="853">
        <f>[1]Salaire!$L$15</f>
        <v>13053.253076923074</v>
      </c>
      <c r="AD423" s="849"/>
      <c r="AE423" s="848"/>
      <c r="AF423" s="853">
        <f>[1]Salaire!$M$15</f>
        <v>13053.253076923074</v>
      </c>
      <c r="AG423" s="849"/>
      <c r="AH423" s="848"/>
      <c r="AI423" s="853">
        <f>[1]Salaire!$N$15</f>
        <v>16316.566346153846</v>
      </c>
      <c r="AJ423" s="849"/>
      <c r="AK423" s="848"/>
      <c r="AL423" s="853">
        <f>[1]Salaire!$O$15</f>
        <v>13053.253076923074</v>
      </c>
      <c r="AM423" s="849"/>
      <c r="AN423" s="848"/>
      <c r="AO423" s="853">
        <f>[1]Salaire!$P$15</f>
        <v>16316.566346153846</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9"/>
        <v>Salaires cadres</v>
      </c>
      <c r="B424" s="849" t="s">
        <v>120</v>
      </c>
      <c r="C424" s="849"/>
      <c r="D424" s="848"/>
      <c r="E424" s="846">
        <f t="shared" si="95"/>
        <v>561384.08333333326</v>
      </c>
      <c r="F424" s="849"/>
      <c r="G424" s="848"/>
      <c r="H424" s="846">
        <f t="shared" ref="H424:H435" si="96">+SUMIF($B$4:$B$402,$B424,H$4:H$402)</f>
        <v>56733.442307692305</v>
      </c>
      <c r="I424" s="849"/>
      <c r="J424" s="848"/>
      <c r="K424" s="846">
        <f t="shared" ref="K424:K435" si="97">+SUMIF($B$4:$B$402,$B424,K$4:K$402)</f>
        <v>43849.358974358969</v>
      </c>
      <c r="L424" s="849"/>
      <c r="M424" s="848"/>
      <c r="N424" s="846">
        <f t="shared" ref="N424:N435" si="98">+SUMIF($B$4:$B$402,$B424,N$4:N$402)</f>
        <v>43849.358974358969</v>
      </c>
      <c r="O424" s="849"/>
      <c r="P424" s="848"/>
      <c r="Q424" s="846">
        <f t="shared" ref="Q424:Q435" si="99">+SUMIF($B$4:$B$402,$B424,Q$4:Q$402)</f>
        <v>43849.358974358969</v>
      </c>
      <c r="R424" s="849"/>
      <c r="S424" s="848"/>
      <c r="T424" s="846">
        <f t="shared" ref="T424:T435" si="100">+SUMIF($B$4:$B$402,$B424,T$4:T$402)</f>
        <v>49426.282051282054</v>
      </c>
      <c r="U424" s="849"/>
      <c r="V424" s="848"/>
      <c r="W424" s="846">
        <f t="shared" ref="W424:W435" si="101">+SUMIF($B$4:$B$402,$B424,W$4:W$402)</f>
        <v>43849.358974358969</v>
      </c>
      <c r="X424" s="849"/>
      <c r="Y424" s="848"/>
      <c r="Z424" s="846">
        <f t="shared" ref="Z424:Z435" si="102">+SUMIF($B$4:$B$402,$B424,Z$4:Z$402)</f>
        <v>49426.282051282054</v>
      </c>
      <c r="AA424" s="849"/>
      <c r="AB424" s="848"/>
      <c r="AC424" s="846">
        <f t="shared" ref="AC424:AC435" si="103">+SUMIF($B$4:$B$402,$B424,AC$4:AC$402)</f>
        <v>43849.358974358969</v>
      </c>
      <c r="AD424" s="849"/>
      <c r="AE424" s="848"/>
      <c r="AF424" s="846">
        <f t="shared" ref="AF424:AF435" si="104">+SUMIF($B$4:$B$402,$B424,AF$4:AF$402)</f>
        <v>43849.358974358969</v>
      </c>
      <c r="AG424" s="849"/>
      <c r="AH424" s="848"/>
      <c r="AI424" s="846">
        <f t="shared" ref="AI424:AI435" si="105">+SUMIF($B$4:$B$402,$B424,AI$4:AI$402)</f>
        <v>49426.282051282054</v>
      </c>
      <c r="AJ424" s="849"/>
      <c r="AK424" s="848"/>
      <c r="AL424" s="846">
        <f t="shared" ref="AL424:AL435" si="106">+SUMIF($B$4:$B$402,$B424,AL$4:AL$402)</f>
        <v>43849.358974358969</v>
      </c>
      <c r="AM424" s="849"/>
      <c r="AN424" s="848"/>
      <c r="AO424" s="846">
        <f t="shared" ref="AO424:AO435" si="107">+SUMIF($B$4:$B$402,$B424,AO$4:AO$402)</f>
        <v>49426.282051282054</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9"/>
        <v>Salaires commis</v>
      </c>
      <c r="B425" s="852" t="s">
        <v>121</v>
      </c>
      <c r="C425" s="852"/>
      <c r="D425" s="851"/>
      <c r="E425" s="840">
        <f t="shared" si="95"/>
        <v>942302.30421893334</v>
      </c>
      <c r="F425" s="852"/>
      <c r="G425" s="851"/>
      <c r="H425" s="840">
        <f t="shared" si="96"/>
        <v>65834.93365786667</v>
      </c>
      <c r="I425" s="852"/>
      <c r="J425" s="851"/>
      <c r="K425" s="840">
        <f t="shared" si="97"/>
        <v>73396.516991199998</v>
      </c>
      <c r="L425" s="852"/>
      <c r="M425" s="851"/>
      <c r="N425" s="840">
        <f t="shared" si="98"/>
        <v>73396.516991199998</v>
      </c>
      <c r="O425" s="852"/>
      <c r="P425" s="851"/>
      <c r="Q425" s="840">
        <f t="shared" si="99"/>
        <v>73396.516991199998</v>
      </c>
      <c r="R425" s="852"/>
      <c r="S425" s="851"/>
      <c r="T425" s="840">
        <f t="shared" si="100"/>
        <v>90672.937905666651</v>
      </c>
      <c r="U425" s="852"/>
      <c r="V425" s="851"/>
      <c r="W425" s="840">
        <f t="shared" si="101"/>
        <v>73396.516991199998</v>
      </c>
      <c r="X425" s="852"/>
      <c r="Y425" s="851"/>
      <c r="Z425" s="840">
        <f t="shared" si="102"/>
        <v>90672.937905666651</v>
      </c>
      <c r="AA425" s="852"/>
      <c r="AB425" s="851"/>
      <c r="AC425" s="840">
        <f t="shared" si="103"/>
        <v>73396.516991199998</v>
      </c>
      <c r="AD425" s="852"/>
      <c r="AE425" s="851"/>
      <c r="AF425" s="840">
        <f t="shared" si="104"/>
        <v>73396.516991199998</v>
      </c>
      <c r="AG425" s="852"/>
      <c r="AH425" s="851"/>
      <c r="AI425" s="840">
        <f t="shared" si="105"/>
        <v>90672.937905666651</v>
      </c>
      <c r="AJ425" s="852"/>
      <c r="AK425" s="851"/>
      <c r="AL425" s="840">
        <f t="shared" si="106"/>
        <v>73396.516991199998</v>
      </c>
      <c r="AM425" s="852"/>
      <c r="AN425" s="851"/>
      <c r="AO425" s="840">
        <f t="shared" si="107"/>
        <v>90672.937905666651</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9"/>
        <v>Salaires autres</v>
      </c>
      <c r="B426" s="849" t="s">
        <v>122</v>
      </c>
      <c r="C426" s="849"/>
      <c r="D426" s="848"/>
      <c r="E426" s="846">
        <f t="shared" si="95"/>
        <v>323527.80847400002</v>
      </c>
      <c r="F426" s="849"/>
      <c r="G426" s="848"/>
      <c r="H426" s="846">
        <f t="shared" si="96"/>
        <v>24198.78543133333</v>
      </c>
      <c r="I426" s="849"/>
      <c r="J426" s="848"/>
      <c r="K426" s="846">
        <f t="shared" si="97"/>
        <v>19891.452097999998</v>
      </c>
      <c r="L426" s="849"/>
      <c r="M426" s="848"/>
      <c r="N426" s="846">
        <f t="shared" si="98"/>
        <v>35049.351564666664</v>
      </c>
      <c r="O426" s="849"/>
      <c r="P426" s="848"/>
      <c r="Q426" s="846">
        <f t="shared" si="99"/>
        <v>35049.351564666664</v>
      </c>
      <c r="R426" s="849"/>
      <c r="S426" s="848"/>
      <c r="T426" s="846">
        <f t="shared" si="100"/>
        <v>24864.315122499997</v>
      </c>
      <c r="U426" s="849"/>
      <c r="V426" s="848"/>
      <c r="W426" s="846">
        <f t="shared" si="101"/>
        <v>19891.452097999998</v>
      </c>
      <c r="X426" s="849"/>
      <c r="Y426" s="848"/>
      <c r="Z426" s="846">
        <f t="shared" si="102"/>
        <v>24864.315122499997</v>
      </c>
      <c r="AA426" s="849"/>
      <c r="AB426" s="848"/>
      <c r="AC426" s="846">
        <f t="shared" si="103"/>
        <v>19891.452097999998</v>
      </c>
      <c r="AD426" s="849"/>
      <c r="AE426" s="848"/>
      <c r="AF426" s="846">
        <f t="shared" si="104"/>
        <v>19891.452097999998</v>
      </c>
      <c r="AG426" s="849"/>
      <c r="AH426" s="848"/>
      <c r="AI426" s="846">
        <f t="shared" si="105"/>
        <v>40022.214589166659</v>
      </c>
      <c r="AJ426" s="849"/>
      <c r="AK426" s="848"/>
      <c r="AL426" s="846">
        <f t="shared" si="106"/>
        <v>35049.351564666664</v>
      </c>
      <c r="AM426" s="849"/>
      <c r="AN426" s="848"/>
      <c r="AO426" s="846">
        <f t="shared" si="107"/>
        <v>24864.315122499997</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9"/>
        <v>Salaires spécialistes</v>
      </c>
      <c r="B427" s="849" t="s">
        <v>123</v>
      </c>
      <c r="C427" s="849"/>
      <c r="D427" s="848"/>
      <c r="E427" s="846">
        <f t="shared" si="95"/>
        <v>443650.36281249998</v>
      </c>
      <c r="F427" s="849"/>
      <c r="G427" s="848"/>
      <c r="H427" s="846">
        <f t="shared" si="96"/>
        <v>26582.196004975034</v>
      </c>
      <c r="I427" s="849"/>
      <c r="J427" s="848"/>
      <c r="K427" s="846">
        <f t="shared" si="97"/>
        <v>26214.917022316586</v>
      </c>
      <c r="L427" s="849"/>
      <c r="M427" s="848"/>
      <c r="N427" s="846">
        <f t="shared" si="98"/>
        <v>29097.697573702389</v>
      </c>
      <c r="O427" s="849"/>
      <c r="P427" s="848"/>
      <c r="Q427" s="846">
        <f t="shared" si="99"/>
        <v>42074.212906812798</v>
      </c>
      <c r="R427" s="849"/>
      <c r="S427" s="848"/>
      <c r="T427" s="846">
        <f t="shared" si="100"/>
        <v>45535.035739912259</v>
      </c>
      <c r="U427" s="849"/>
      <c r="V427" s="848"/>
      <c r="W427" s="846">
        <f t="shared" si="101"/>
        <v>34250.336052268896</v>
      </c>
      <c r="X427" s="849"/>
      <c r="Y427" s="848"/>
      <c r="Z427" s="846">
        <f t="shared" si="102"/>
        <v>38569.755532328607</v>
      </c>
      <c r="AA427" s="849"/>
      <c r="AB427" s="848"/>
      <c r="AC427" s="846">
        <f t="shared" si="103"/>
        <v>33775.083626791886</v>
      </c>
      <c r="AD427" s="849"/>
      <c r="AE427" s="848"/>
      <c r="AF427" s="846">
        <f t="shared" si="104"/>
        <v>33080.915935609577</v>
      </c>
      <c r="AG427" s="849"/>
      <c r="AH427" s="848"/>
      <c r="AI427" s="846">
        <f t="shared" si="105"/>
        <v>44587.883258591624</v>
      </c>
      <c r="AJ427" s="849"/>
      <c r="AK427" s="848"/>
      <c r="AL427" s="846">
        <f t="shared" si="106"/>
        <v>49632.426279108688</v>
      </c>
      <c r="AM427" s="849"/>
      <c r="AN427" s="848"/>
      <c r="AO427" s="846">
        <f t="shared" si="107"/>
        <v>40249.902880081616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9"/>
        <v>[...]</v>
      </c>
      <c r="B428" s="883" t="s">
        <v>59</v>
      </c>
      <c r="C428" s="849"/>
      <c r="D428" s="848"/>
      <c r="E428" s="846">
        <f t="shared" si="95"/>
        <v>0</v>
      </c>
      <c r="F428" s="849"/>
      <c r="G428" s="848"/>
      <c r="H428" s="846">
        <f t="shared" si="96"/>
        <v>0</v>
      </c>
      <c r="I428" s="849"/>
      <c r="J428" s="848"/>
      <c r="K428" s="846">
        <f t="shared" si="97"/>
        <v>0</v>
      </c>
      <c r="L428" s="849"/>
      <c r="M428" s="848"/>
      <c r="N428" s="846">
        <f t="shared" si="98"/>
        <v>0</v>
      </c>
      <c r="O428" s="849"/>
      <c r="P428" s="848"/>
      <c r="Q428" s="846">
        <f t="shared" si="99"/>
        <v>0</v>
      </c>
      <c r="R428" s="849"/>
      <c r="S428" s="848"/>
      <c r="T428" s="846">
        <f t="shared" si="100"/>
        <v>0</v>
      </c>
      <c r="U428" s="849"/>
      <c r="V428" s="848"/>
      <c r="W428" s="846">
        <f t="shared" si="101"/>
        <v>0</v>
      </c>
      <c r="X428" s="849"/>
      <c r="Y428" s="848"/>
      <c r="Z428" s="846">
        <f t="shared" si="102"/>
        <v>0</v>
      </c>
      <c r="AA428" s="849"/>
      <c r="AB428" s="848"/>
      <c r="AC428" s="846">
        <f t="shared" si="103"/>
        <v>0</v>
      </c>
      <c r="AD428" s="849"/>
      <c r="AE428" s="848"/>
      <c r="AF428" s="846">
        <f t="shared" si="104"/>
        <v>0</v>
      </c>
      <c r="AG428" s="849"/>
      <c r="AH428" s="848"/>
      <c r="AI428" s="846">
        <f t="shared" si="105"/>
        <v>0</v>
      </c>
      <c r="AJ428" s="849"/>
      <c r="AK428" s="848"/>
      <c r="AL428" s="846">
        <f t="shared" si="106"/>
        <v>0</v>
      </c>
      <c r="AM428" s="849"/>
      <c r="AN428" s="848"/>
      <c r="AO428" s="846">
        <f t="shared" si="107"/>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9"/>
        <v>[...]</v>
      </c>
      <c r="B429" s="883" t="s">
        <v>59</v>
      </c>
      <c r="C429" s="849"/>
      <c r="D429" s="848"/>
      <c r="E429" s="846">
        <f t="shared" si="95"/>
        <v>0</v>
      </c>
      <c r="F429" s="849"/>
      <c r="G429" s="848"/>
      <c r="H429" s="846">
        <f t="shared" si="96"/>
        <v>0</v>
      </c>
      <c r="I429" s="849"/>
      <c r="J429" s="848"/>
      <c r="K429" s="846">
        <f t="shared" si="97"/>
        <v>0</v>
      </c>
      <c r="L429" s="849"/>
      <c r="M429" s="848"/>
      <c r="N429" s="846">
        <f t="shared" si="98"/>
        <v>0</v>
      </c>
      <c r="O429" s="849"/>
      <c r="P429" s="848"/>
      <c r="Q429" s="846">
        <f t="shared" si="99"/>
        <v>0</v>
      </c>
      <c r="R429" s="849"/>
      <c r="S429" s="848"/>
      <c r="T429" s="846">
        <f t="shared" si="100"/>
        <v>0</v>
      </c>
      <c r="U429" s="849"/>
      <c r="V429" s="848"/>
      <c r="W429" s="846">
        <f t="shared" si="101"/>
        <v>0</v>
      </c>
      <c r="X429" s="849"/>
      <c r="Y429" s="848"/>
      <c r="Z429" s="846">
        <f t="shared" si="102"/>
        <v>0</v>
      </c>
      <c r="AA429" s="849"/>
      <c r="AB429" s="848"/>
      <c r="AC429" s="846">
        <f t="shared" si="103"/>
        <v>0</v>
      </c>
      <c r="AD429" s="849"/>
      <c r="AE429" s="848"/>
      <c r="AF429" s="846">
        <f t="shared" si="104"/>
        <v>0</v>
      </c>
      <c r="AG429" s="849"/>
      <c r="AH429" s="848"/>
      <c r="AI429" s="846">
        <f t="shared" si="105"/>
        <v>0</v>
      </c>
      <c r="AJ429" s="849"/>
      <c r="AK429" s="848"/>
      <c r="AL429" s="846">
        <f t="shared" si="106"/>
        <v>0</v>
      </c>
      <c r="AM429" s="849"/>
      <c r="AN429" s="848"/>
      <c r="AO429" s="846">
        <f t="shared" si="107"/>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9"/>
        <v>[...]</v>
      </c>
      <c r="B430" s="883" t="s">
        <v>59</v>
      </c>
      <c r="C430" s="849"/>
      <c r="D430" s="848"/>
      <c r="E430" s="846">
        <f t="shared" si="95"/>
        <v>0</v>
      </c>
      <c r="F430" s="849"/>
      <c r="G430" s="848"/>
      <c r="H430" s="846">
        <f t="shared" si="96"/>
        <v>0</v>
      </c>
      <c r="I430" s="849"/>
      <c r="J430" s="848"/>
      <c r="K430" s="846">
        <f t="shared" si="97"/>
        <v>0</v>
      </c>
      <c r="L430" s="849"/>
      <c r="M430" s="848"/>
      <c r="N430" s="846">
        <f t="shared" si="98"/>
        <v>0</v>
      </c>
      <c r="O430" s="849"/>
      <c r="P430" s="848"/>
      <c r="Q430" s="846">
        <f t="shared" si="99"/>
        <v>0</v>
      </c>
      <c r="R430" s="849"/>
      <c r="S430" s="848"/>
      <c r="T430" s="846">
        <f t="shared" si="100"/>
        <v>0</v>
      </c>
      <c r="U430" s="849"/>
      <c r="V430" s="848"/>
      <c r="W430" s="846">
        <f t="shared" si="101"/>
        <v>0</v>
      </c>
      <c r="X430" s="849"/>
      <c r="Y430" s="848"/>
      <c r="Z430" s="846">
        <f t="shared" si="102"/>
        <v>0</v>
      </c>
      <c r="AA430" s="849"/>
      <c r="AB430" s="848"/>
      <c r="AC430" s="846">
        <f t="shared" si="103"/>
        <v>0</v>
      </c>
      <c r="AD430" s="849"/>
      <c r="AE430" s="848"/>
      <c r="AF430" s="846">
        <f t="shared" si="104"/>
        <v>0</v>
      </c>
      <c r="AG430" s="849"/>
      <c r="AH430" s="848"/>
      <c r="AI430" s="846">
        <f t="shared" si="105"/>
        <v>0</v>
      </c>
      <c r="AJ430" s="849"/>
      <c r="AK430" s="848"/>
      <c r="AL430" s="846">
        <f t="shared" si="106"/>
        <v>0</v>
      </c>
      <c r="AM430" s="849"/>
      <c r="AN430" s="848"/>
      <c r="AO430" s="846">
        <f t="shared" si="107"/>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9"/>
        <v>Salaires en absences</v>
      </c>
      <c r="B431" s="852" t="s">
        <v>124</v>
      </c>
      <c r="C431" s="852"/>
      <c r="D431" s="854">
        <f>+E431/(SUM(E$423:E$427,E$412:E$413)+D$197-E$197)</f>
        <v>0.10981677069170581</v>
      </c>
      <c r="E431" s="840">
        <f t="shared" si="95"/>
        <v>540304.00894794601</v>
      </c>
      <c r="F431" s="852"/>
      <c r="G431" s="851"/>
      <c r="H431" s="840">
        <f t="shared" si="96"/>
        <v>39962.056021023025</v>
      </c>
      <c r="I431" s="852"/>
      <c r="J431" s="851"/>
      <c r="K431" s="840">
        <f t="shared" si="97"/>
        <v>36975.584803543505</v>
      </c>
      <c r="L431" s="852"/>
      <c r="M431" s="851"/>
      <c r="N431" s="840">
        <f t="shared" si="98"/>
        <v>44273.264722337386</v>
      </c>
      <c r="O431" s="852"/>
      <c r="P431" s="851"/>
      <c r="Q431" s="840">
        <f t="shared" si="99"/>
        <v>48951.061701426923</v>
      </c>
      <c r="R431" s="852"/>
      <c r="S431" s="851"/>
      <c r="T431" s="840">
        <f t="shared" si="100"/>
        <v>52145.808222932275</v>
      </c>
      <c r="U431" s="852"/>
      <c r="V431" s="851"/>
      <c r="W431" s="840">
        <f t="shared" si="101"/>
        <v>42126.315484455015</v>
      </c>
      <c r="X431" s="852"/>
      <c r="Y431" s="851"/>
      <c r="Z431" s="840">
        <f t="shared" si="102"/>
        <v>46596.231715034242</v>
      </c>
      <c r="AA431" s="852"/>
      <c r="AB431" s="851"/>
      <c r="AC431" s="840">
        <f t="shared" si="103"/>
        <v>43344.28868950122</v>
      </c>
      <c r="AD431" s="852"/>
      <c r="AE431" s="851"/>
      <c r="AF431" s="840">
        <f t="shared" si="104"/>
        <v>43632.246377594391</v>
      </c>
      <c r="AG431" s="852"/>
      <c r="AH431" s="851"/>
      <c r="AI431" s="840">
        <f t="shared" si="105"/>
        <v>51646.651814801051</v>
      </c>
      <c r="AJ431" s="852"/>
      <c r="AK431" s="851"/>
      <c r="AL431" s="840">
        <f t="shared" si="106"/>
        <v>49577.056426335628</v>
      </c>
      <c r="AM431" s="852"/>
      <c r="AN431" s="851"/>
      <c r="AO431" s="840">
        <f t="shared" si="107"/>
        <v>41073.442968961375</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9"/>
        <v>Déduction à la source</v>
      </c>
      <c r="B432" s="849" t="s">
        <v>125</v>
      </c>
      <c r="C432" s="849"/>
      <c r="D432" s="855">
        <f t="shared" ref="D432:D433" si="108">+E432/(SUM(E$423:E$427,E$412:E$413)+D$197-E$197)</f>
        <v>0.133521712382867</v>
      </c>
      <c r="E432" s="846">
        <f t="shared" si="95"/>
        <v>656933.50867679785</v>
      </c>
      <c r="F432" s="849"/>
      <c r="G432" s="848"/>
      <c r="H432" s="846">
        <f t="shared" si="96"/>
        <v>48588.226703975131</v>
      </c>
      <c r="I432" s="849"/>
      <c r="J432" s="848"/>
      <c r="K432" s="846">
        <f t="shared" si="97"/>
        <v>44957.09870386788</v>
      </c>
      <c r="L432" s="849"/>
      <c r="M432" s="848"/>
      <c r="N432" s="846">
        <f t="shared" si="98"/>
        <v>53830.048737291276</v>
      </c>
      <c r="O432" s="849"/>
      <c r="P432" s="848"/>
      <c r="Q432" s="846">
        <f t="shared" si="99"/>
        <v>59517.590438739338</v>
      </c>
      <c r="R432" s="849"/>
      <c r="S432" s="848"/>
      <c r="T432" s="846">
        <f t="shared" si="100"/>
        <v>63401.951848146724</v>
      </c>
      <c r="U432" s="849"/>
      <c r="V432" s="848"/>
      <c r="W432" s="846">
        <f t="shared" si="101"/>
        <v>51219.661117663367</v>
      </c>
      <c r="X432" s="849"/>
      <c r="Y432" s="848"/>
      <c r="Z432" s="846">
        <f t="shared" si="102"/>
        <v>56654.449133698028</v>
      </c>
      <c r="AA432" s="849"/>
      <c r="AB432" s="848"/>
      <c r="AC432" s="846">
        <f t="shared" si="103"/>
        <v>52700.544838336289</v>
      </c>
      <c r="AD432" s="849"/>
      <c r="AE432" s="848"/>
      <c r="AF432" s="846">
        <f t="shared" si="104"/>
        <v>53050.660793903313</v>
      </c>
      <c r="AG432" s="849"/>
      <c r="AH432" s="848"/>
      <c r="AI432" s="846">
        <f t="shared" si="105"/>
        <v>62795.048021520226</v>
      </c>
      <c r="AJ432" s="849"/>
      <c r="AK432" s="848"/>
      <c r="AL432" s="846">
        <f t="shared" si="106"/>
        <v>60278.711778275923</v>
      </c>
      <c r="AM432" s="849"/>
      <c r="AN432" s="848"/>
      <c r="AO432" s="846">
        <f t="shared" si="107"/>
        <v>49939.516561380355</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9"/>
        <v>Bénéfices marginaux</v>
      </c>
      <c r="B433" s="1219" t="s">
        <v>126</v>
      </c>
      <c r="C433" s="849"/>
      <c r="D433" s="855">
        <f t="shared" si="108"/>
        <v>6.879270833639016E-2</v>
      </c>
      <c r="E433" s="846">
        <f t="shared" si="95"/>
        <v>338463.56860087189</v>
      </c>
      <c r="F433" s="849"/>
      <c r="G433" s="848"/>
      <c r="H433" s="846">
        <f t="shared" si="96"/>
        <v>25033.499410526318</v>
      </c>
      <c r="I433" s="849"/>
      <c r="J433" s="848"/>
      <c r="K433" s="846">
        <f t="shared" si="97"/>
        <v>23162.679114818882</v>
      </c>
      <c r="L433" s="849"/>
      <c r="M433" s="848"/>
      <c r="N433" s="846">
        <f t="shared" si="98"/>
        <v>27734.177284213107</v>
      </c>
      <c r="O433" s="849"/>
      <c r="P433" s="848"/>
      <c r="Q433" s="846">
        <f t="shared" si="99"/>
        <v>30664.497682567871</v>
      </c>
      <c r="R433" s="849"/>
      <c r="S433" s="848"/>
      <c r="T433" s="846">
        <f t="shared" si="100"/>
        <v>32665.78823480603</v>
      </c>
      <c r="U433" s="849"/>
      <c r="V433" s="848"/>
      <c r="W433" s="846">
        <f t="shared" si="101"/>
        <v>26389.260184535251</v>
      </c>
      <c r="X433" s="849"/>
      <c r="Y433" s="848"/>
      <c r="Z433" s="846">
        <f t="shared" si="102"/>
        <v>29189.357488448764</v>
      </c>
      <c r="AA433" s="849"/>
      <c r="AB433" s="848"/>
      <c r="AC433" s="846">
        <f t="shared" si="103"/>
        <v>27152.237231925432</v>
      </c>
      <c r="AD433" s="849"/>
      <c r="AE433" s="848"/>
      <c r="AF433" s="846">
        <f t="shared" si="104"/>
        <v>27332.623061206701</v>
      </c>
      <c r="AG433" s="849"/>
      <c r="AH433" s="848"/>
      <c r="AI433" s="846">
        <f t="shared" si="105"/>
        <v>32353.100828478895</v>
      </c>
      <c r="AJ433" s="849"/>
      <c r="AK433" s="848"/>
      <c r="AL433" s="846">
        <f t="shared" si="106"/>
        <v>31056.640633589981</v>
      </c>
      <c r="AM433" s="849"/>
      <c r="AN433" s="848"/>
      <c r="AO433" s="846">
        <f t="shared" si="107"/>
        <v>25729.707445754659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9"/>
        <v>Csst</v>
      </c>
      <c r="B434" s="849" t="s">
        <v>127</v>
      </c>
      <c r="C434" s="849"/>
      <c r="D434" s="855">
        <f>+E434/(SUM(E$423:E$427,E$412:E$413)+D$197-E$197)</f>
        <v>2.9994007854122297E-2</v>
      </c>
      <c r="E434" s="846">
        <f t="shared" si="95"/>
        <v>147572.02006507778</v>
      </c>
      <c r="F434" s="849"/>
      <c r="G434" s="848"/>
      <c r="H434" s="846">
        <f t="shared" si="96"/>
        <v>10914.746578429194</v>
      </c>
      <c r="I434" s="849"/>
      <c r="J434" s="848"/>
      <c r="K434" s="846">
        <f t="shared" si="97"/>
        <v>10099.05840449206</v>
      </c>
      <c r="L434" s="849"/>
      <c r="M434" s="848"/>
      <c r="N434" s="846">
        <f t="shared" si="98"/>
        <v>12092.257325043693</v>
      </c>
      <c r="O434" s="849"/>
      <c r="P434" s="848"/>
      <c r="Q434" s="846">
        <f t="shared" si="99"/>
        <v>13369.89350435449</v>
      </c>
      <c r="R434" s="849"/>
      <c r="S434" s="848"/>
      <c r="T434" s="846">
        <f t="shared" si="100"/>
        <v>14242.467444148902</v>
      </c>
      <c r="U434" s="849"/>
      <c r="V434" s="848"/>
      <c r="W434" s="846">
        <f t="shared" si="101"/>
        <v>11505.865903243219</v>
      </c>
      <c r="X434" s="849"/>
      <c r="Y434" s="848"/>
      <c r="Z434" s="846">
        <f t="shared" si="102"/>
        <v>12726.724080758249</v>
      </c>
      <c r="AA434" s="849"/>
      <c r="AB434" s="848"/>
      <c r="AC434" s="846">
        <f t="shared" si="103"/>
        <v>11838.528188321921</v>
      </c>
      <c r="AD434" s="849"/>
      <c r="AE434" s="848"/>
      <c r="AF434" s="846">
        <f t="shared" si="104"/>
        <v>11917.177424717411</v>
      </c>
      <c r="AG434" s="849"/>
      <c r="AH434" s="848"/>
      <c r="AI434" s="846">
        <f t="shared" si="105"/>
        <v>14106.133975848743</v>
      </c>
      <c r="AJ434" s="849"/>
      <c r="AK434" s="848"/>
      <c r="AL434" s="846">
        <f t="shared" si="106"/>
        <v>13540.870037148939</v>
      </c>
      <c r="AM434" s="849"/>
      <c r="AN434" s="848"/>
      <c r="AO434" s="846">
        <f t="shared" si="107"/>
        <v>11218.297198570946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69"/>
        <v>[...]</v>
      </c>
      <c r="B435" s="883" t="s">
        <v>59</v>
      </c>
      <c r="C435" s="849"/>
      <c r="D435" s="848"/>
      <c r="E435" s="846">
        <f t="shared" si="95"/>
        <v>0</v>
      </c>
      <c r="F435" s="849"/>
      <c r="G435" s="848"/>
      <c r="H435" s="846">
        <f t="shared" si="96"/>
        <v>0</v>
      </c>
      <c r="I435" s="849"/>
      <c r="J435" s="848"/>
      <c r="K435" s="846">
        <f t="shared" si="97"/>
        <v>0</v>
      </c>
      <c r="L435" s="849"/>
      <c r="M435" s="848"/>
      <c r="N435" s="846">
        <f t="shared" si="98"/>
        <v>0</v>
      </c>
      <c r="O435" s="849"/>
      <c r="P435" s="848"/>
      <c r="Q435" s="846">
        <f t="shared" si="99"/>
        <v>0</v>
      </c>
      <c r="R435" s="849"/>
      <c r="S435" s="848"/>
      <c r="T435" s="846">
        <f t="shared" si="100"/>
        <v>0</v>
      </c>
      <c r="U435" s="849"/>
      <c r="V435" s="848"/>
      <c r="W435" s="846">
        <f t="shared" si="101"/>
        <v>0</v>
      </c>
      <c r="X435" s="849"/>
      <c r="Y435" s="848"/>
      <c r="Z435" s="846">
        <f t="shared" si="102"/>
        <v>0</v>
      </c>
      <c r="AA435" s="849"/>
      <c r="AB435" s="848"/>
      <c r="AC435" s="846">
        <f t="shared" si="103"/>
        <v>0</v>
      </c>
      <c r="AD435" s="849"/>
      <c r="AE435" s="848"/>
      <c r="AF435" s="846">
        <f t="shared" si="104"/>
        <v>0</v>
      </c>
      <c r="AG435" s="849"/>
      <c r="AH435" s="848"/>
      <c r="AI435" s="846">
        <f t="shared" si="105"/>
        <v>0</v>
      </c>
      <c r="AJ435" s="849"/>
      <c r="AK435" s="848"/>
      <c r="AL435" s="846">
        <f t="shared" si="106"/>
        <v>0</v>
      </c>
      <c r="AM435" s="849"/>
      <c r="AN435" s="848"/>
      <c r="AO435" s="846">
        <f t="shared" si="107"/>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9"/>
        <v>TOTAL PERSONNEL</v>
      </c>
      <c r="B436" s="1214" t="s">
        <v>128</v>
      </c>
      <c r="C436" s="1215">
        <f>IFERROR(E436/E410,0)</f>
        <v>0.43045737652368465</v>
      </c>
      <c r="D436" s="1220"/>
      <c r="E436" s="1217">
        <f>SUM(E423:E434)</f>
        <v>4123829.95512946</v>
      </c>
      <c r="F436" s="1215">
        <f>IFERROR(H436/H410,0)</f>
        <v>0.50689785033707491</v>
      </c>
      <c r="G436" s="1220"/>
      <c r="H436" s="1217">
        <f>SUM(H423:H434)</f>
        <v>310901.13919274404</v>
      </c>
      <c r="I436" s="1215">
        <f>IFERROR(K436/K410,0)</f>
        <v>0.4698178647576407</v>
      </c>
      <c r="J436" s="1220"/>
      <c r="K436" s="1217">
        <f>SUM(K423:K434)</f>
        <v>291599.91918952094</v>
      </c>
      <c r="L436" s="1215">
        <f>IFERROR(N436/N410,0)</f>
        <v>0.39249961480415063</v>
      </c>
      <c r="M436" s="1220"/>
      <c r="N436" s="1217">
        <f>SUM(N423:N434)</f>
        <v>332375.92624973657</v>
      </c>
      <c r="O436" s="1215">
        <f>IFERROR(Q436/Q410,0)</f>
        <v>0.40026190704474551</v>
      </c>
      <c r="P436" s="1220"/>
      <c r="Q436" s="1217">
        <f>SUM(Q423:Q434)</f>
        <v>359925.73684105009</v>
      </c>
      <c r="R436" s="1215">
        <f>IFERROR(T436/T410,0)</f>
        <v>0.40665427872236815</v>
      </c>
      <c r="S436" s="1220"/>
      <c r="T436" s="1217">
        <f>SUM(T423:T434)</f>
        <v>389271.15291554877</v>
      </c>
      <c r="U436" s="1215">
        <f>IFERROR(W436/W410,0)</f>
        <v>0.36492613634050231</v>
      </c>
      <c r="V436" s="1220"/>
      <c r="W436" s="1217">
        <f>SUM(W423:W434)</f>
        <v>315682.01988264779</v>
      </c>
      <c r="X436" s="1215">
        <f>IFERROR(Z436/Z410,0)</f>
        <v>0.44503407747466273</v>
      </c>
      <c r="Y436" s="1220"/>
      <c r="Z436" s="1217">
        <f>SUM(Z423:Z434)</f>
        <v>365016.61937587045</v>
      </c>
      <c r="AA436" s="1215">
        <f>IFERROR(AC436/AC410,0)</f>
        <v>0.40118312853492538</v>
      </c>
      <c r="AB436" s="1220"/>
      <c r="AC436" s="1217">
        <f>SUM(AC423:AC434)</f>
        <v>319001.2637153588</v>
      </c>
      <c r="AD436" s="1215">
        <f>IFERROR(AF436/AF410,0)</f>
        <v>0.3849258346664261</v>
      </c>
      <c r="AE436" s="1220"/>
      <c r="AF436" s="1217">
        <f>SUM(AF423:AF434)</f>
        <v>319204.20473351341</v>
      </c>
      <c r="AG436" s="1215">
        <f>IFERROR(AI436/AI410,0)</f>
        <v>0.48348754510645198</v>
      </c>
      <c r="AH436" s="1220"/>
      <c r="AI436" s="1217">
        <f>SUM(AI423:AI434)</f>
        <v>401926.81879150972</v>
      </c>
      <c r="AJ436" s="1215">
        <f>IFERROR(AL436/AL410,0)</f>
        <v>0.42994237250608697</v>
      </c>
      <c r="AK436" s="1220"/>
      <c r="AL436" s="1217">
        <f>SUM(AL423:AL434)</f>
        <v>369434.18576160783</v>
      </c>
      <c r="AM436" s="1215">
        <f>IFERROR(AO436/AO410,0)</f>
        <v>0.54389823054615627</v>
      </c>
      <c r="AN436" s="1220"/>
      <c r="AO436" s="1217">
        <f>SUM(AO423:AO434)</f>
        <v>349490.96848035156</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9"/>
        <v>Publicité 2</v>
      </c>
      <c r="B437" s="1221" t="s">
        <v>129</v>
      </c>
      <c r="C437" s="1221"/>
      <c r="D437" s="1222"/>
      <c r="E437" s="1223">
        <f t="shared" ref="E437:E454" si="109">+SUM(H437,K437,N437,Q437,T437,W437,Z437,AC437,AF437,AI437,AL437,AO437)</f>
        <v>169155.5</v>
      </c>
      <c r="F437" s="1221"/>
      <c r="G437" s="1222"/>
      <c r="H437" s="1223">
        <f t="shared" ref="H437:H454" si="110">+SUMIF($B$4:$B$402,$B437,H$4:H$402)</f>
        <v>23533</v>
      </c>
      <c r="I437" s="1221"/>
      <c r="J437" s="1222"/>
      <c r="K437" s="1223">
        <f t="shared" ref="K437:K454" si="111">+SUMIF($B$4:$B$402,$B437,K$4:K$402)</f>
        <v>7412.5</v>
      </c>
      <c r="L437" s="1221"/>
      <c r="M437" s="1222"/>
      <c r="N437" s="1223">
        <f t="shared" ref="N437:N454" si="112">+SUMIF($B$4:$B$402,$B437,N$4:N$402)</f>
        <v>9895</v>
      </c>
      <c r="O437" s="1221"/>
      <c r="P437" s="1222"/>
      <c r="Q437" s="1223">
        <f t="shared" ref="Q437:Q454" si="113">+SUMIF($B$4:$B$402,$B437,Q$4:Q$402)</f>
        <v>29100</v>
      </c>
      <c r="R437" s="1221"/>
      <c r="S437" s="1222"/>
      <c r="T437" s="1223">
        <f t="shared" ref="T437:T454" si="114">+SUMIF($B$4:$B$402,$B437,T$4:T$402)</f>
        <v>18310</v>
      </c>
      <c r="U437" s="1221"/>
      <c r="V437" s="1222"/>
      <c r="W437" s="1223">
        <f t="shared" ref="W437:W454" si="115">+SUMIF($B$4:$B$402,$B437,W$4:W$402)</f>
        <v>9930</v>
      </c>
      <c r="X437" s="1221"/>
      <c r="Y437" s="1222"/>
      <c r="Z437" s="1223">
        <f t="shared" ref="Z437:Z454" si="116">+SUMIF($B$4:$B$402,$B437,Z$4:Z$402)</f>
        <v>13160</v>
      </c>
      <c r="AA437" s="1221"/>
      <c r="AB437" s="1222"/>
      <c r="AC437" s="1223">
        <f t="shared" ref="AC437:AC454" si="117">+SUMIF($B$4:$B$402,$B437,AC$4:AC$402)</f>
        <v>5740</v>
      </c>
      <c r="AD437" s="1221"/>
      <c r="AE437" s="1222"/>
      <c r="AF437" s="1223">
        <f t="shared" ref="AF437:AF454" si="118">+SUMIF($B$4:$B$402,$B437,AF$4:AF$402)</f>
        <v>7125</v>
      </c>
      <c r="AG437" s="1221"/>
      <c r="AH437" s="1222"/>
      <c r="AI437" s="1223">
        <f t="shared" ref="AI437:AI454" si="119">+SUMIF($B$4:$B$402,$B437,AI$4:AI$402)</f>
        <v>12750</v>
      </c>
      <c r="AJ437" s="1221"/>
      <c r="AK437" s="1222"/>
      <c r="AL437" s="1223">
        <f t="shared" ref="AL437:AL454" si="120">+SUMIF($B$4:$B$402,$B437,AL$4:AL$402)</f>
        <v>21250</v>
      </c>
      <c r="AM437" s="1221"/>
      <c r="AN437" s="1222"/>
      <c r="AO437" s="1223">
        <f t="shared" ref="AO437:AO454" si="121">+SUMIF($B$4:$B$402,$B437,AO$4:AO$402)</f>
        <v>10950</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9"/>
        <v>Service gratuit 2</v>
      </c>
      <c r="B438" s="849" t="s">
        <v>130</v>
      </c>
      <c r="C438" s="849"/>
      <c r="D438" s="848"/>
      <c r="E438" s="846">
        <f t="shared" si="109"/>
        <v>54544.5739536685</v>
      </c>
      <c r="F438" s="849"/>
      <c r="G438" s="848"/>
      <c r="H438" s="846">
        <f t="shared" si="110"/>
        <v>4545.3811628057083</v>
      </c>
      <c r="I438" s="849"/>
      <c r="J438" s="848"/>
      <c r="K438" s="846">
        <f t="shared" si="111"/>
        <v>4545.3811628057083</v>
      </c>
      <c r="L438" s="849"/>
      <c r="M438" s="848"/>
      <c r="N438" s="846">
        <f t="shared" si="112"/>
        <v>4545.3811628057083</v>
      </c>
      <c r="O438" s="849"/>
      <c r="P438" s="848"/>
      <c r="Q438" s="846">
        <f t="shared" si="113"/>
        <v>4545.3811628057083</v>
      </c>
      <c r="R438" s="849"/>
      <c r="S438" s="848"/>
      <c r="T438" s="846">
        <f t="shared" si="114"/>
        <v>4545.3811628057083</v>
      </c>
      <c r="U438" s="849"/>
      <c r="V438" s="848"/>
      <c r="W438" s="846">
        <f t="shared" si="115"/>
        <v>4545.3811628057083</v>
      </c>
      <c r="X438" s="849"/>
      <c r="Y438" s="848"/>
      <c r="Z438" s="846">
        <f t="shared" si="116"/>
        <v>4545.3811628057083</v>
      </c>
      <c r="AA438" s="849"/>
      <c r="AB438" s="848"/>
      <c r="AC438" s="846">
        <f t="shared" si="117"/>
        <v>4545.3811628057083</v>
      </c>
      <c r="AD438" s="849"/>
      <c r="AE438" s="848"/>
      <c r="AF438" s="846">
        <f t="shared" si="118"/>
        <v>4545.3811628057083</v>
      </c>
      <c r="AG438" s="849"/>
      <c r="AH438" s="848"/>
      <c r="AI438" s="846">
        <f t="shared" si="119"/>
        <v>4545.3811628057083</v>
      </c>
      <c r="AJ438" s="849"/>
      <c r="AK438" s="848"/>
      <c r="AL438" s="846">
        <f t="shared" si="120"/>
        <v>4545.3811628057083</v>
      </c>
      <c r="AM438" s="849"/>
      <c r="AN438" s="848"/>
      <c r="AO438" s="846">
        <f t="shared" si="121"/>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9"/>
        <v>Frais véhicules de cie</v>
      </c>
      <c r="B439" s="852" t="s">
        <v>131</v>
      </c>
      <c r="C439" s="852"/>
      <c r="D439" s="851"/>
      <c r="E439" s="840">
        <f t="shared" si="109"/>
        <v>296511.17600000009</v>
      </c>
      <c r="F439" s="852"/>
      <c r="G439" s="851"/>
      <c r="H439" s="840">
        <f t="shared" si="110"/>
        <v>22709.26466666667</v>
      </c>
      <c r="I439" s="852"/>
      <c r="J439" s="851"/>
      <c r="K439" s="840">
        <f t="shared" si="111"/>
        <v>22709.26466666667</v>
      </c>
      <c r="L439" s="852"/>
      <c r="M439" s="851"/>
      <c r="N439" s="840">
        <f t="shared" si="112"/>
        <v>25709.26466666667</v>
      </c>
      <c r="O439" s="852"/>
      <c r="P439" s="851"/>
      <c r="Q439" s="840">
        <f t="shared" si="113"/>
        <v>27709.26466666667</v>
      </c>
      <c r="R439" s="852"/>
      <c r="S439" s="851"/>
      <c r="T439" s="840">
        <f t="shared" si="114"/>
        <v>27709.26466666667</v>
      </c>
      <c r="U439" s="852"/>
      <c r="V439" s="851"/>
      <c r="W439" s="840">
        <f t="shared" si="115"/>
        <v>22709.26466666667</v>
      </c>
      <c r="X439" s="852"/>
      <c r="Y439" s="851"/>
      <c r="Z439" s="840">
        <f t="shared" si="116"/>
        <v>22709.26466666667</v>
      </c>
      <c r="AA439" s="852"/>
      <c r="AB439" s="851"/>
      <c r="AC439" s="840">
        <f t="shared" si="117"/>
        <v>22709.26466666667</v>
      </c>
      <c r="AD439" s="852"/>
      <c r="AE439" s="851"/>
      <c r="AF439" s="840">
        <f t="shared" si="118"/>
        <v>22709.26466666667</v>
      </c>
      <c r="AG439" s="852"/>
      <c r="AH439" s="851"/>
      <c r="AI439" s="840">
        <f t="shared" si="119"/>
        <v>25709.26466666667</v>
      </c>
      <c r="AJ439" s="852"/>
      <c r="AK439" s="851"/>
      <c r="AL439" s="840">
        <f t="shared" si="120"/>
        <v>30709.264666666666</v>
      </c>
      <c r="AM439" s="852"/>
      <c r="AN439" s="851"/>
      <c r="AO439" s="840">
        <f t="shared" si="121"/>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9"/>
        <v>Informatique</v>
      </c>
      <c r="B440" s="849" t="s">
        <v>132</v>
      </c>
      <c r="C440" s="849"/>
      <c r="D440" s="848"/>
      <c r="E440" s="846">
        <f t="shared" si="109"/>
        <v>292230</v>
      </c>
      <c r="F440" s="849"/>
      <c r="G440" s="848"/>
      <c r="H440" s="846">
        <f t="shared" si="110"/>
        <v>34390</v>
      </c>
      <c r="I440" s="849"/>
      <c r="J440" s="848"/>
      <c r="K440" s="846">
        <f t="shared" si="111"/>
        <v>23440</v>
      </c>
      <c r="L440" s="849"/>
      <c r="M440" s="848"/>
      <c r="N440" s="846">
        <f t="shared" si="112"/>
        <v>23440</v>
      </c>
      <c r="O440" s="849"/>
      <c r="P440" s="848"/>
      <c r="Q440" s="846">
        <f t="shared" si="113"/>
        <v>23440</v>
      </c>
      <c r="R440" s="849"/>
      <c r="S440" s="848"/>
      <c r="T440" s="846">
        <f t="shared" si="114"/>
        <v>23440</v>
      </c>
      <c r="U440" s="849"/>
      <c r="V440" s="848"/>
      <c r="W440" s="846">
        <f t="shared" si="115"/>
        <v>23440</v>
      </c>
      <c r="X440" s="849"/>
      <c r="Y440" s="848"/>
      <c r="Z440" s="846">
        <f t="shared" si="116"/>
        <v>23440</v>
      </c>
      <c r="AA440" s="849"/>
      <c r="AB440" s="848"/>
      <c r="AC440" s="846">
        <f t="shared" si="117"/>
        <v>23440</v>
      </c>
      <c r="AD440" s="849"/>
      <c r="AE440" s="848"/>
      <c r="AF440" s="846">
        <f t="shared" si="118"/>
        <v>23440</v>
      </c>
      <c r="AG440" s="849"/>
      <c r="AH440" s="848"/>
      <c r="AI440" s="846">
        <f t="shared" si="119"/>
        <v>23440</v>
      </c>
      <c r="AJ440" s="849"/>
      <c r="AK440" s="848"/>
      <c r="AL440" s="846">
        <f t="shared" si="120"/>
        <v>23440</v>
      </c>
      <c r="AM440" s="849"/>
      <c r="AN440" s="848"/>
      <c r="AO440" s="846">
        <f t="shared" si="121"/>
        <v>23440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9"/>
        <v>Frais de déplacement</v>
      </c>
      <c r="B441" s="849" t="s">
        <v>133</v>
      </c>
      <c r="C441" s="849"/>
      <c r="D441" s="848"/>
      <c r="E441" s="846">
        <f t="shared" si="109"/>
        <v>57000</v>
      </c>
      <c r="F441" s="849"/>
      <c r="G441" s="848"/>
      <c r="H441" s="846">
        <f t="shared" si="110"/>
        <v>4750</v>
      </c>
      <c r="I441" s="849"/>
      <c r="J441" s="848"/>
      <c r="K441" s="846">
        <f t="shared" si="111"/>
        <v>4750</v>
      </c>
      <c r="L441" s="849"/>
      <c r="M441" s="848"/>
      <c r="N441" s="846">
        <f t="shared" si="112"/>
        <v>4750</v>
      </c>
      <c r="O441" s="849"/>
      <c r="P441" s="848"/>
      <c r="Q441" s="846">
        <f t="shared" si="113"/>
        <v>4750</v>
      </c>
      <c r="R441" s="849"/>
      <c r="S441" s="848"/>
      <c r="T441" s="846">
        <f t="shared" si="114"/>
        <v>4750</v>
      </c>
      <c r="U441" s="849"/>
      <c r="V441" s="848"/>
      <c r="W441" s="846">
        <f t="shared" si="115"/>
        <v>4750</v>
      </c>
      <c r="X441" s="849"/>
      <c r="Y441" s="848"/>
      <c r="Z441" s="846">
        <f t="shared" si="116"/>
        <v>4750</v>
      </c>
      <c r="AA441" s="849"/>
      <c r="AB441" s="848"/>
      <c r="AC441" s="846">
        <f t="shared" si="117"/>
        <v>4750</v>
      </c>
      <c r="AD441" s="849"/>
      <c r="AE441" s="848"/>
      <c r="AF441" s="846">
        <f t="shared" si="118"/>
        <v>4750</v>
      </c>
      <c r="AG441" s="849"/>
      <c r="AH441" s="848"/>
      <c r="AI441" s="846">
        <f t="shared" si="119"/>
        <v>4750</v>
      </c>
      <c r="AJ441" s="849"/>
      <c r="AK441" s="848"/>
      <c r="AL441" s="846">
        <f t="shared" si="120"/>
        <v>4750</v>
      </c>
      <c r="AM441" s="849"/>
      <c r="AN441" s="848"/>
      <c r="AO441" s="846">
        <f t="shared" si="121"/>
        <v>4750</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9"/>
        <v>Services extérieurs</v>
      </c>
      <c r="B442" s="849" t="s">
        <v>134</v>
      </c>
      <c r="C442" s="849"/>
      <c r="D442" s="848"/>
      <c r="E442" s="846">
        <f t="shared" si="109"/>
        <v>474592</v>
      </c>
      <c r="F442" s="849"/>
      <c r="G442" s="848"/>
      <c r="H442" s="846">
        <f t="shared" si="110"/>
        <v>41625.695350967435</v>
      </c>
      <c r="I442" s="849"/>
      <c r="J442" s="848"/>
      <c r="K442" s="846">
        <f t="shared" si="111"/>
        <v>37183.201815916793</v>
      </c>
      <c r="L442" s="849"/>
      <c r="M442" s="848"/>
      <c r="N442" s="846">
        <f t="shared" si="112"/>
        <v>36945.776346529616</v>
      </c>
      <c r="O442" s="849"/>
      <c r="P442" s="848"/>
      <c r="Q442" s="846">
        <f t="shared" si="113"/>
        <v>34872.261139771297</v>
      </c>
      <c r="R442" s="849"/>
      <c r="S442" s="848"/>
      <c r="T442" s="846">
        <f t="shared" si="114"/>
        <v>38534.809416782649</v>
      </c>
      <c r="U442" s="849"/>
      <c r="V442" s="848"/>
      <c r="W442" s="846">
        <f t="shared" si="115"/>
        <v>37576.658137768012</v>
      </c>
      <c r="X442" s="849"/>
      <c r="Y442" s="848"/>
      <c r="Z442" s="846">
        <f t="shared" si="116"/>
        <v>37935.628112932754</v>
      </c>
      <c r="AA442" s="849"/>
      <c r="AB442" s="848"/>
      <c r="AC442" s="846">
        <f t="shared" si="117"/>
        <v>35726.434774047739</v>
      </c>
      <c r="AD442" s="849"/>
      <c r="AE442" s="848"/>
      <c r="AF442" s="846">
        <f t="shared" si="118"/>
        <v>35341.529442293468</v>
      </c>
      <c r="AG442" s="849"/>
      <c r="AH442" s="848"/>
      <c r="AI442" s="846">
        <f t="shared" si="119"/>
        <v>43468.873848883632</v>
      </c>
      <c r="AJ442" s="849"/>
      <c r="AK442" s="848"/>
      <c r="AL442" s="846">
        <f t="shared" si="120"/>
        <v>41351.589150026848</v>
      </c>
      <c r="AM442" s="849"/>
      <c r="AN442" s="848"/>
      <c r="AO442" s="846">
        <f t="shared" si="121"/>
        <v>54029.542464079801</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744" t="s">
        <v>490</v>
      </c>
      <c r="C443" s="849"/>
      <c r="D443" s="848"/>
      <c r="E443" s="846">
        <f t="shared" si="109"/>
        <v>0</v>
      </c>
      <c r="F443" s="849"/>
      <c r="G443" s="848"/>
      <c r="H443" s="846">
        <f t="shared" si="110"/>
        <v>0</v>
      </c>
      <c r="I443" s="849"/>
      <c r="J443" s="848"/>
      <c r="K443" s="846">
        <f t="shared" si="111"/>
        <v>0</v>
      </c>
      <c r="L443" s="849"/>
      <c r="M443" s="848"/>
      <c r="N443" s="846">
        <f t="shared" si="112"/>
        <v>0</v>
      </c>
      <c r="O443" s="849"/>
      <c r="P443" s="848"/>
      <c r="Q443" s="846">
        <f t="shared" si="113"/>
        <v>0</v>
      </c>
      <c r="R443" s="849"/>
      <c r="S443" s="848"/>
      <c r="T443" s="846">
        <f t="shared" si="114"/>
        <v>0</v>
      </c>
      <c r="U443" s="849"/>
      <c r="V443" s="848"/>
      <c r="W443" s="846">
        <f t="shared" si="115"/>
        <v>0</v>
      </c>
      <c r="X443" s="849"/>
      <c r="Y443" s="848"/>
      <c r="Z443" s="846">
        <f t="shared" si="116"/>
        <v>0</v>
      </c>
      <c r="AA443" s="849"/>
      <c r="AB443" s="848"/>
      <c r="AC443" s="846">
        <f t="shared" si="117"/>
        <v>0</v>
      </c>
      <c r="AD443" s="849"/>
      <c r="AE443" s="848"/>
      <c r="AF443" s="846">
        <f t="shared" si="118"/>
        <v>0</v>
      </c>
      <c r="AG443" s="849"/>
      <c r="AH443" s="848"/>
      <c r="AI443" s="846">
        <f t="shared" si="119"/>
        <v>0</v>
      </c>
      <c r="AJ443" s="849"/>
      <c r="AK443" s="848"/>
      <c r="AL443" s="846">
        <f t="shared" si="120"/>
        <v>0</v>
      </c>
      <c r="AM443" s="849"/>
      <c r="AN443" s="848"/>
      <c r="AO443" s="846">
        <f t="shared" si="121"/>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22">B444</f>
        <v>Fournitures autres</v>
      </c>
      <c r="B444" s="1221" t="s">
        <v>135</v>
      </c>
      <c r="C444" s="1221"/>
      <c r="D444" s="1222"/>
      <c r="E444" s="1223">
        <f t="shared" si="109"/>
        <v>62040</v>
      </c>
      <c r="F444" s="1221"/>
      <c r="G444" s="1222"/>
      <c r="H444" s="1223">
        <f t="shared" si="110"/>
        <v>5170</v>
      </c>
      <c r="I444" s="1221"/>
      <c r="J444" s="1222"/>
      <c r="K444" s="1223">
        <f t="shared" si="111"/>
        <v>5170</v>
      </c>
      <c r="L444" s="1221"/>
      <c r="M444" s="1222"/>
      <c r="N444" s="1223">
        <f t="shared" si="112"/>
        <v>5170</v>
      </c>
      <c r="O444" s="1221"/>
      <c r="P444" s="1222"/>
      <c r="Q444" s="1223">
        <f t="shared" si="113"/>
        <v>5170</v>
      </c>
      <c r="R444" s="1221"/>
      <c r="S444" s="1222"/>
      <c r="T444" s="1223">
        <f t="shared" si="114"/>
        <v>5170</v>
      </c>
      <c r="U444" s="1221"/>
      <c r="V444" s="1222"/>
      <c r="W444" s="1223">
        <f t="shared" si="115"/>
        <v>5170</v>
      </c>
      <c r="X444" s="1221"/>
      <c r="Y444" s="1222"/>
      <c r="Z444" s="1223">
        <f t="shared" si="116"/>
        <v>5170</v>
      </c>
      <c r="AA444" s="1221"/>
      <c r="AB444" s="1222"/>
      <c r="AC444" s="1223">
        <f t="shared" si="117"/>
        <v>5170</v>
      </c>
      <c r="AD444" s="1221"/>
      <c r="AE444" s="1222"/>
      <c r="AF444" s="1223">
        <f t="shared" si="118"/>
        <v>5170</v>
      </c>
      <c r="AG444" s="1221"/>
      <c r="AH444" s="1222"/>
      <c r="AI444" s="1223">
        <f t="shared" si="119"/>
        <v>5170</v>
      </c>
      <c r="AJ444" s="1221"/>
      <c r="AK444" s="1222"/>
      <c r="AL444" s="1223">
        <f t="shared" si="120"/>
        <v>5170</v>
      </c>
      <c r="AM444" s="1221"/>
      <c r="AN444" s="1222"/>
      <c r="AO444" s="1223">
        <f t="shared" si="121"/>
        <v>5170</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22"/>
        <v>Uniformes</v>
      </c>
      <c r="B445" s="849" t="s">
        <v>136</v>
      </c>
      <c r="C445" s="849"/>
      <c r="D445" s="848"/>
      <c r="E445" s="846">
        <f t="shared" si="109"/>
        <v>27000</v>
      </c>
      <c r="F445" s="849"/>
      <c r="G445" s="848"/>
      <c r="H445" s="846">
        <f t="shared" si="110"/>
        <v>1000</v>
      </c>
      <c r="I445" s="849"/>
      <c r="J445" s="848"/>
      <c r="K445" s="846">
        <f t="shared" si="111"/>
        <v>1000</v>
      </c>
      <c r="L445" s="849"/>
      <c r="M445" s="848"/>
      <c r="N445" s="846">
        <f t="shared" si="112"/>
        <v>1000</v>
      </c>
      <c r="O445" s="849"/>
      <c r="P445" s="848"/>
      <c r="Q445" s="846">
        <f t="shared" si="113"/>
        <v>16000</v>
      </c>
      <c r="R445" s="849"/>
      <c r="S445" s="848"/>
      <c r="T445" s="846">
        <f t="shared" si="114"/>
        <v>1000</v>
      </c>
      <c r="U445" s="849"/>
      <c r="V445" s="848"/>
      <c r="W445" s="846">
        <f t="shared" si="115"/>
        <v>1000</v>
      </c>
      <c r="X445" s="849"/>
      <c r="Y445" s="848"/>
      <c r="Z445" s="846">
        <f t="shared" si="116"/>
        <v>1000</v>
      </c>
      <c r="AA445" s="849"/>
      <c r="AB445" s="848"/>
      <c r="AC445" s="846">
        <f t="shared" si="117"/>
        <v>1000</v>
      </c>
      <c r="AD445" s="849"/>
      <c r="AE445" s="848"/>
      <c r="AF445" s="846">
        <f t="shared" si="118"/>
        <v>1000</v>
      </c>
      <c r="AG445" s="849"/>
      <c r="AH445" s="848"/>
      <c r="AI445" s="846">
        <f t="shared" si="119"/>
        <v>1000</v>
      </c>
      <c r="AJ445" s="849"/>
      <c r="AK445" s="848"/>
      <c r="AL445" s="846">
        <f t="shared" si="120"/>
        <v>1000</v>
      </c>
      <c r="AM445" s="849"/>
      <c r="AN445" s="848"/>
      <c r="AO445" s="846">
        <f t="shared" si="121"/>
        <v>1000</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22"/>
        <v>Papeterie</v>
      </c>
      <c r="B446" s="849" t="s">
        <v>137</v>
      </c>
      <c r="C446" s="849"/>
      <c r="D446" s="848"/>
      <c r="E446" s="846">
        <f t="shared" si="109"/>
        <v>27642</v>
      </c>
      <c r="F446" s="849"/>
      <c r="G446" s="848"/>
      <c r="H446" s="846">
        <f t="shared" si="110"/>
        <v>2303.5</v>
      </c>
      <c r="I446" s="849"/>
      <c r="J446" s="848"/>
      <c r="K446" s="846">
        <f t="shared" si="111"/>
        <v>2303.5</v>
      </c>
      <c r="L446" s="849"/>
      <c r="M446" s="848"/>
      <c r="N446" s="846">
        <f t="shared" si="112"/>
        <v>2303.5</v>
      </c>
      <c r="O446" s="849"/>
      <c r="P446" s="848"/>
      <c r="Q446" s="846">
        <f t="shared" si="113"/>
        <v>2303.5</v>
      </c>
      <c r="R446" s="849"/>
      <c r="S446" s="848"/>
      <c r="T446" s="846">
        <f t="shared" si="114"/>
        <v>2303.5</v>
      </c>
      <c r="U446" s="849"/>
      <c r="V446" s="848"/>
      <c r="W446" s="846">
        <f t="shared" si="115"/>
        <v>2303.5</v>
      </c>
      <c r="X446" s="849"/>
      <c r="Y446" s="848"/>
      <c r="Z446" s="846">
        <f t="shared" si="116"/>
        <v>2303.5</v>
      </c>
      <c r="AA446" s="849"/>
      <c r="AB446" s="848"/>
      <c r="AC446" s="846">
        <f t="shared" si="117"/>
        <v>2303.5</v>
      </c>
      <c r="AD446" s="849"/>
      <c r="AE446" s="848"/>
      <c r="AF446" s="846">
        <f t="shared" si="118"/>
        <v>2303.5</v>
      </c>
      <c r="AG446" s="849"/>
      <c r="AH446" s="848"/>
      <c r="AI446" s="846">
        <f t="shared" si="119"/>
        <v>2303.5</v>
      </c>
      <c r="AJ446" s="849"/>
      <c r="AK446" s="848"/>
      <c r="AL446" s="846">
        <f t="shared" si="120"/>
        <v>2303.5</v>
      </c>
      <c r="AM446" s="849"/>
      <c r="AN446" s="848"/>
      <c r="AO446" s="846">
        <f t="shared" si="121"/>
        <v>2303.5</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22"/>
        <v>Téléphone</v>
      </c>
      <c r="B447" s="849" t="s">
        <v>138</v>
      </c>
      <c r="C447" s="849"/>
      <c r="D447" s="848"/>
      <c r="E447" s="846">
        <f t="shared" si="109"/>
        <v>10762.5</v>
      </c>
      <c r="F447" s="849"/>
      <c r="G447" s="848"/>
      <c r="H447" s="846">
        <f t="shared" si="110"/>
        <v>896.875</v>
      </c>
      <c r="I447" s="849"/>
      <c r="J447" s="848"/>
      <c r="K447" s="846">
        <f t="shared" si="111"/>
        <v>896.875</v>
      </c>
      <c r="L447" s="849"/>
      <c r="M447" s="848"/>
      <c r="N447" s="846">
        <f t="shared" si="112"/>
        <v>896.875</v>
      </c>
      <c r="O447" s="849"/>
      <c r="P447" s="848"/>
      <c r="Q447" s="846">
        <f t="shared" si="113"/>
        <v>896.875</v>
      </c>
      <c r="R447" s="849"/>
      <c r="S447" s="848"/>
      <c r="T447" s="846">
        <f t="shared" si="114"/>
        <v>896.875</v>
      </c>
      <c r="U447" s="849"/>
      <c r="V447" s="848"/>
      <c r="W447" s="846">
        <f t="shared" si="115"/>
        <v>896.875</v>
      </c>
      <c r="X447" s="849"/>
      <c r="Y447" s="848"/>
      <c r="Z447" s="846">
        <f t="shared" si="116"/>
        <v>896.875</v>
      </c>
      <c r="AA447" s="849"/>
      <c r="AB447" s="848"/>
      <c r="AC447" s="846">
        <f t="shared" si="117"/>
        <v>896.875</v>
      </c>
      <c r="AD447" s="849"/>
      <c r="AE447" s="848"/>
      <c r="AF447" s="846">
        <f t="shared" si="118"/>
        <v>896.875</v>
      </c>
      <c r="AG447" s="849"/>
      <c r="AH447" s="848"/>
      <c r="AI447" s="846">
        <f t="shared" si="119"/>
        <v>896.875</v>
      </c>
      <c r="AJ447" s="849"/>
      <c r="AK447" s="848"/>
      <c r="AL447" s="846">
        <f t="shared" si="120"/>
        <v>896.875</v>
      </c>
      <c r="AM447" s="849"/>
      <c r="AN447" s="848"/>
      <c r="AO447" s="846">
        <f t="shared" si="121"/>
        <v>896.875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22"/>
        <v>Frais postaux</v>
      </c>
      <c r="B448" s="849" t="s">
        <v>139</v>
      </c>
      <c r="C448" s="849"/>
      <c r="D448" s="848"/>
      <c r="E448" s="846">
        <f t="shared" si="109"/>
        <v>8546.9999999999982</v>
      </c>
      <c r="F448" s="849"/>
      <c r="G448" s="848"/>
      <c r="H448" s="846">
        <f t="shared" si="110"/>
        <v>712.24999999999989</v>
      </c>
      <c r="I448" s="849"/>
      <c r="J448" s="848"/>
      <c r="K448" s="846">
        <f t="shared" si="111"/>
        <v>712.24999999999989</v>
      </c>
      <c r="L448" s="849"/>
      <c r="M448" s="848"/>
      <c r="N448" s="846">
        <f t="shared" si="112"/>
        <v>712.24999999999989</v>
      </c>
      <c r="O448" s="849"/>
      <c r="P448" s="848"/>
      <c r="Q448" s="846">
        <f t="shared" si="113"/>
        <v>712.24999999999989</v>
      </c>
      <c r="R448" s="849"/>
      <c r="S448" s="848"/>
      <c r="T448" s="846">
        <f t="shared" si="114"/>
        <v>712.24999999999989</v>
      </c>
      <c r="U448" s="849"/>
      <c r="V448" s="848"/>
      <c r="W448" s="846">
        <f t="shared" si="115"/>
        <v>712.24999999999989</v>
      </c>
      <c r="X448" s="849"/>
      <c r="Y448" s="848"/>
      <c r="Z448" s="846">
        <f t="shared" si="116"/>
        <v>712.24999999999989</v>
      </c>
      <c r="AA448" s="849"/>
      <c r="AB448" s="848"/>
      <c r="AC448" s="846">
        <f t="shared" si="117"/>
        <v>712.24999999999989</v>
      </c>
      <c r="AD448" s="849"/>
      <c r="AE448" s="848"/>
      <c r="AF448" s="846">
        <f t="shared" si="118"/>
        <v>712.24999999999989</v>
      </c>
      <c r="AG448" s="849"/>
      <c r="AH448" s="848"/>
      <c r="AI448" s="846">
        <f t="shared" si="119"/>
        <v>712.24999999999989</v>
      </c>
      <c r="AJ448" s="849"/>
      <c r="AK448" s="848"/>
      <c r="AL448" s="846">
        <f t="shared" si="120"/>
        <v>712.24999999999989</v>
      </c>
      <c r="AM448" s="849"/>
      <c r="AN448" s="848"/>
      <c r="AO448" s="846">
        <f t="shared" si="121"/>
        <v>712.24999999999989</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22"/>
        <v>Divers</v>
      </c>
      <c r="B449" s="849" t="s">
        <v>140</v>
      </c>
      <c r="C449" s="849"/>
      <c r="D449" s="848"/>
      <c r="E449" s="846">
        <f t="shared" si="109"/>
        <v>4500</v>
      </c>
      <c r="F449" s="849"/>
      <c r="G449" s="848"/>
      <c r="H449" s="846">
        <f t="shared" si="110"/>
        <v>375</v>
      </c>
      <c r="I449" s="849"/>
      <c r="J449" s="848"/>
      <c r="K449" s="846">
        <f t="shared" si="111"/>
        <v>375</v>
      </c>
      <c r="L449" s="849"/>
      <c r="M449" s="848"/>
      <c r="N449" s="846">
        <f t="shared" si="112"/>
        <v>375</v>
      </c>
      <c r="O449" s="849"/>
      <c r="P449" s="848"/>
      <c r="Q449" s="846">
        <f t="shared" si="113"/>
        <v>375</v>
      </c>
      <c r="R449" s="849"/>
      <c r="S449" s="848"/>
      <c r="T449" s="846">
        <f t="shared" si="114"/>
        <v>375</v>
      </c>
      <c r="U449" s="849"/>
      <c r="V449" s="848"/>
      <c r="W449" s="846">
        <f t="shared" si="115"/>
        <v>375</v>
      </c>
      <c r="X449" s="849"/>
      <c r="Y449" s="848"/>
      <c r="Z449" s="846">
        <f t="shared" si="116"/>
        <v>375</v>
      </c>
      <c r="AA449" s="849"/>
      <c r="AB449" s="848"/>
      <c r="AC449" s="846">
        <f t="shared" si="117"/>
        <v>375</v>
      </c>
      <c r="AD449" s="849"/>
      <c r="AE449" s="848"/>
      <c r="AF449" s="846">
        <f t="shared" si="118"/>
        <v>375</v>
      </c>
      <c r="AG449" s="849"/>
      <c r="AH449" s="848"/>
      <c r="AI449" s="846">
        <f t="shared" si="119"/>
        <v>375</v>
      </c>
      <c r="AJ449" s="849"/>
      <c r="AK449" s="848"/>
      <c r="AL449" s="846">
        <f t="shared" si="120"/>
        <v>375</v>
      </c>
      <c r="AM449" s="849"/>
      <c r="AN449" s="848"/>
      <c r="AO449" s="846">
        <f t="shared" si="121"/>
        <v>375</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22"/>
        <v>Formation</v>
      </c>
      <c r="B450" s="849" t="s">
        <v>141</v>
      </c>
      <c r="C450" s="849"/>
      <c r="D450" s="848"/>
      <c r="E450" s="846">
        <f t="shared" si="109"/>
        <v>54000</v>
      </c>
      <c r="F450" s="849"/>
      <c r="G450" s="848"/>
      <c r="H450" s="846">
        <f t="shared" si="110"/>
        <v>4500</v>
      </c>
      <c r="I450" s="849"/>
      <c r="J450" s="848"/>
      <c r="K450" s="846">
        <f t="shared" si="111"/>
        <v>4500</v>
      </c>
      <c r="L450" s="849"/>
      <c r="M450" s="848"/>
      <c r="N450" s="846">
        <f t="shared" si="112"/>
        <v>4500</v>
      </c>
      <c r="O450" s="849"/>
      <c r="P450" s="848"/>
      <c r="Q450" s="846">
        <f t="shared" si="113"/>
        <v>4500</v>
      </c>
      <c r="R450" s="849"/>
      <c r="S450" s="848"/>
      <c r="T450" s="846">
        <f t="shared" si="114"/>
        <v>4500</v>
      </c>
      <c r="U450" s="849"/>
      <c r="V450" s="848"/>
      <c r="W450" s="846">
        <f t="shared" si="115"/>
        <v>4500</v>
      </c>
      <c r="X450" s="849"/>
      <c r="Y450" s="848"/>
      <c r="Z450" s="846">
        <f t="shared" si="116"/>
        <v>4500</v>
      </c>
      <c r="AA450" s="849"/>
      <c r="AB450" s="848"/>
      <c r="AC450" s="846">
        <f t="shared" si="117"/>
        <v>4500</v>
      </c>
      <c r="AD450" s="849"/>
      <c r="AE450" s="848"/>
      <c r="AF450" s="846">
        <f t="shared" si="118"/>
        <v>4500</v>
      </c>
      <c r="AG450" s="849"/>
      <c r="AH450" s="848"/>
      <c r="AI450" s="846">
        <f t="shared" si="119"/>
        <v>4500</v>
      </c>
      <c r="AJ450" s="849"/>
      <c r="AK450" s="848"/>
      <c r="AL450" s="846">
        <f t="shared" si="120"/>
        <v>4500</v>
      </c>
      <c r="AM450" s="849"/>
      <c r="AN450" s="848"/>
      <c r="AO450" s="846">
        <f t="shared" si="121"/>
        <v>4500</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22"/>
        <v>Frais bancaires</v>
      </c>
      <c r="B451" s="849" t="s">
        <v>142</v>
      </c>
      <c r="C451" s="849"/>
      <c r="D451" s="848"/>
      <c r="E451" s="846">
        <f t="shared" si="109"/>
        <v>99084.945900144638</v>
      </c>
      <c r="F451" s="849"/>
      <c r="G451" s="848"/>
      <c r="H451" s="846">
        <f t="shared" si="110"/>
        <v>6343.6460926935779</v>
      </c>
      <c r="I451" s="849"/>
      <c r="J451" s="848"/>
      <c r="K451" s="846">
        <f t="shared" si="111"/>
        <v>6419.4076382719613</v>
      </c>
      <c r="L451" s="849"/>
      <c r="M451" s="848"/>
      <c r="N451" s="846">
        <f t="shared" si="112"/>
        <v>8758.4530820832806</v>
      </c>
      <c r="O451" s="849"/>
      <c r="P451" s="848"/>
      <c r="Q451" s="846">
        <f t="shared" si="113"/>
        <v>9300.4877333164586</v>
      </c>
      <c r="R451" s="849"/>
      <c r="S451" s="848"/>
      <c r="T451" s="846">
        <f t="shared" si="114"/>
        <v>9900.6556835894953</v>
      </c>
      <c r="U451" s="849"/>
      <c r="V451" s="848"/>
      <c r="W451" s="846">
        <f t="shared" si="115"/>
        <v>8947.0931687321008</v>
      </c>
      <c r="X451" s="849"/>
      <c r="Y451" s="848"/>
      <c r="Z451" s="846">
        <f t="shared" si="116"/>
        <v>8483.1364627937146</v>
      </c>
      <c r="AA451" s="849"/>
      <c r="AB451" s="848"/>
      <c r="AC451" s="846">
        <f t="shared" si="117"/>
        <v>8224.0705039813256</v>
      </c>
      <c r="AD451" s="849"/>
      <c r="AE451" s="848"/>
      <c r="AF451" s="846">
        <f t="shared" si="118"/>
        <v>8576.8660091462734</v>
      </c>
      <c r="AG451" s="849"/>
      <c r="AH451" s="848"/>
      <c r="AI451" s="846">
        <f t="shared" si="119"/>
        <v>8598.026452038388</v>
      </c>
      <c r="AJ451" s="849"/>
      <c r="AK451" s="848"/>
      <c r="AL451" s="846">
        <f t="shared" si="120"/>
        <v>8887.178724094967</v>
      </c>
      <c r="AM451" s="849"/>
      <c r="AN451" s="848"/>
      <c r="AO451" s="846">
        <f t="shared" si="121"/>
        <v>6645.9243494031098</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22"/>
        <v>[...]</v>
      </c>
      <c r="B452" s="849" t="s">
        <v>59</v>
      </c>
      <c r="C452" s="849"/>
      <c r="D452" s="848"/>
      <c r="E452" s="846">
        <f t="shared" si="109"/>
        <v>0</v>
      </c>
      <c r="F452" s="849"/>
      <c r="G452" s="848"/>
      <c r="H452" s="846">
        <f t="shared" si="110"/>
        <v>0</v>
      </c>
      <c r="I452" s="849"/>
      <c r="J452" s="848"/>
      <c r="K452" s="846">
        <f t="shared" si="111"/>
        <v>0</v>
      </c>
      <c r="L452" s="849"/>
      <c r="M452" s="848"/>
      <c r="N452" s="846">
        <f t="shared" si="112"/>
        <v>0</v>
      </c>
      <c r="O452" s="849"/>
      <c r="P452" s="848"/>
      <c r="Q452" s="846">
        <f t="shared" si="113"/>
        <v>0</v>
      </c>
      <c r="R452" s="849"/>
      <c r="S452" s="848"/>
      <c r="T452" s="846">
        <f t="shared" si="114"/>
        <v>0</v>
      </c>
      <c r="U452" s="849"/>
      <c r="V452" s="848"/>
      <c r="W452" s="846">
        <f t="shared" si="115"/>
        <v>0</v>
      </c>
      <c r="X452" s="849"/>
      <c r="Y452" s="848"/>
      <c r="Z452" s="846">
        <f t="shared" si="116"/>
        <v>0</v>
      </c>
      <c r="AA452" s="849"/>
      <c r="AB452" s="848"/>
      <c r="AC452" s="846">
        <f t="shared" si="117"/>
        <v>0</v>
      </c>
      <c r="AD452" s="849"/>
      <c r="AE452" s="848"/>
      <c r="AF452" s="846">
        <f t="shared" si="118"/>
        <v>0</v>
      </c>
      <c r="AG452" s="849"/>
      <c r="AH452" s="848"/>
      <c r="AI452" s="846">
        <f t="shared" si="119"/>
        <v>0</v>
      </c>
      <c r="AJ452" s="849"/>
      <c r="AK452" s="848"/>
      <c r="AL452" s="846">
        <f t="shared" si="120"/>
        <v>0</v>
      </c>
      <c r="AM452" s="849"/>
      <c r="AN452" s="848"/>
      <c r="AO452" s="846">
        <f t="shared" si="121"/>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22"/>
        <v>[...]</v>
      </c>
      <c r="B453" s="849" t="s">
        <v>59</v>
      </c>
      <c r="C453" s="849"/>
      <c r="D453" s="848"/>
      <c r="E453" s="846">
        <f t="shared" si="109"/>
        <v>0</v>
      </c>
      <c r="F453" s="849"/>
      <c r="G453" s="848"/>
      <c r="H453" s="846">
        <f t="shared" si="110"/>
        <v>0</v>
      </c>
      <c r="I453" s="849"/>
      <c r="J453" s="848"/>
      <c r="K453" s="846">
        <f t="shared" si="111"/>
        <v>0</v>
      </c>
      <c r="L453" s="849"/>
      <c r="M453" s="848"/>
      <c r="N453" s="846">
        <f t="shared" si="112"/>
        <v>0</v>
      </c>
      <c r="O453" s="849"/>
      <c r="P453" s="848"/>
      <c r="Q453" s="846">
        <f t="shared" si="113"/>
        <v>0</v>
      </c>
      <c r="R453" s="849"/>
      <c r="S453" s="848"/>
      <c r="T453" s="846">
        <f t="shared" si="114"/>
        <v>0</v>
      </c>
      <c r="U453" s="849"/>
      <c r="V453" s="848"/>
      <c r="W453" s="846">
        <f t="shared" si="115"/>
        <v>0</v>
      </c>
      <c r="X453" s="849"/>
      <c r="Y453" s="848"/>
      <c r="Z453" s="846">
        <f t="shared" si="116"/>
        <v>0</v>
      </c>
      <c r="AA453" s="849"/>
      <c r="AB453" s="848"/>
      <c r="AC453" s="846">
        <f t="shared" si="117"/>
        <v>0</v>
      </c>
      <c r="AD453" s="849"/>
      <c r="AE453" s="848"/>
      <c r="AF453" s="846">
        <f t="shared" si="118"/>
        <v>0</v>
      </c>
      <c r="AG453" s="849"/>
      <c r="AH453" s="848"/>
      <c r="AI453" s="846">
        <f t="shared" si="119"/>
        <v>0</v>
      </c>
      <c r="AJ453" s="849"/>
      <c r="AK453" s="848"/>
      <c r="AL453" s="846">
        <f t="shared" si="120"/>
        <v>0</v>
      </c>
      <c r="AM453" s="849"/>
      <c r="AN453" s="848"/>
      <c r="AO453" s="846">
        <f t="shared" si="121"/>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22"/>
        <v>[...]</v>
      </c>
      <c r="B454" s="849" t="s">
        <v>59</v>
      </c>
      <c r="C454" s="849"/>
      <c r="D454" s="848"/>
      <c r="E454" s="846">
        <f t="shared" si="109"/>
        <v>0</v>
      </c>
      <c r="F454" s="849"/>
      <c r="G454" s="848"/>
      <c r="H454" s="846">
        <f t="shared" si="110"/>
        <v>0</v>
      </c>
      <c r="I454" s="849"/>
      <c r="J454" s="848"/>
      <c r="K454" s="846">
        <f t="shared" si="111"/>
        <v>0</v>
      </c>
      <c r="L454" s="849"/>
      <c r="M454" s="848"/>
      <c r="N454" s="846">
        <f t="shared" si="112"/>
        <v>0</v>
      </c>
      <c r="O454" s="849"/>
      <c r="P454" s="848"/>
      <c r="Q454" s="846">
        <f t="shared" si="113"/>
        <v>0</v>
      </c>
      <c r="R454" s="849"/>
      <c r="S454" s="848"/>
      <c r="T454" s="846">
        <f t="shared" si="114"/>
        <v>0</v>
      </c>
      <c r="U454" s="849"/>
      <c r="V454" s="848"/>
      <c r="W454" s="846">
        <f t="shared" si="115"/>
        <v>0</v>
      </c>
      <c r="X454" s="849"/>
      <c r="Y454" s="848"/>
      <c r="Z454" s="846">
        <f t="shared" si="116"/>
        <v>0</v>
      </c>
      <c r="AA454" s="849"/>
      <c r="AB454" s="848"/>
      <c r="AC454" s="846">
        <f t="shared" si="117"/>
        <v>0</v>
      </c>
      <c r="AD454" s="849"/>
      <c r="AE454" s="848"/>
      <c r="AF454" s="846">
        <f t="shared" si="118"/>
        <v>0</v>
      </c>
      <c r="AG454" s="849"/>
      <c r="AH454" s="848"/>
      <c r="AI454" s="846">
        <f t="shared" si="119"/>
        <v>0</v>
      </c>
      <c r="AJ454" s="849"/>
      <c r="AK454" s="848"/>
      <c r="AL454" s="846">
        <f t="shared" si="120"/>
        <v>0</v>
      </c>
      <c r="AM454" s="849"/>
      <c r="AN454" s="848"/>
      <c r="AO454" s="846">
        <f t="shared" si="121"/>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22"/>
        <v>TOTAL SEMI-FIXES</v>
      </c>
      <c r="B455" s="1214" t="s">
        <v>143</v>
      </c>
      <c r="C455" s="1215">
        <f>IFERROR(E455/E410,0)</f>
        <v>0.17093846766648549</v>
      </c>
      <c r="D455" s="1218"/>
      <c r="E455" s="1217">
        <f>+SUM(E437:E454)</f>
        <v>1637609.6958538131</v>
      </c>
      <c r="F455" s="1215">
        <f>IFERROR(H455/H410,0)</f>
        <v>0.24921643766420359</v>
      </c>
      <c r="G455" s="1218"/>
      <c r="H455" s="1217">
        <f>+SUM(H437:H454)</f>
        <v>152854.61227313339</v>
      </c>
      <c r="I455" s="1215">
        <f>IFERROR(K455/K410,0)</f>
        <v>0.19562438325732601</v>
      </c>
      <c r="J455" s="1218"/>
      <c r="K455" s="1217">
        <f>+SUM(K437:K454)</f>
        <v>121417.38028366114</v>
      </c>
      <c r="L455" s="1215">
        <f>IFERROR(N455/N410,0)</f>
        <v>0.15233666207946711</v>
      </c>
      <c r="M455" s="1218"/>
      <c r="N455" s="1217">
        <f>+SUM(N437:N454)</f>
        <v>129001.50025808526</v>
      </c>
      <c r="O455" s="1215">
        <f>IFERROR(Q455/Q410,0)</f>
        <v>0.18201775759832567</v>
      </c>
      <c r="P455" s="1218"/>
      <c r="Q455" s="1217">
        <f>+SUM(Q437:Q454)</f>
        <v>163675.01970256012</v>
      </c>
      <c r="R455" s="1215">
        <f>IFERROR(T455/T410,0)</f>
        <v>0.14849542431701637</v>
      </c>
      <c r="S455" s="1218"/>
      <c r="T455" s="1217">
        <f>+SUM(T437:T454)</f>
        <v>142147.73592984452</v>
      </c>
      <c r="U455" s="1215">
        <f>IFERROR(W455/W410,0)</f>
        <v>0.14664464592191453</v>
      </c>
      <c r="V455" s="1218"/>
      <c r="W455" s="1217">
        <f>+SUM(W437:W454)</f>
        <v>126856.02213597248</v>
      </c>
      <c r="X455" s="1215">
        <f>IFERROR(Z455/Z410,0)</f>
        <v>0.15847494911235285</v>
      </c>
      <c r="Y455" s="1218"/>
      <c r="Z455" s="1217">
        <f>+SUM(Z437:Z454)</f>
        <v>129981.03540519884</v>
      </c>
      <c r="AA455" s="1215">
        <f>IFERROR(AC455/AC410,0)</f>
        <v>0.15103136292350713</v>
      </c>
      <c r="AB455" s="1218"/>
      <c r="AC455" s="1217">
        <f>+SUM(AC437:AC454)</f>
        <v>120092.77610750144</v>
      </c>
      <c r="AD455" s="1215">
        <f>IFERROR(AF455/AF410,0)</f>
        <v>0.14645037178889106</v>
      </c>
      <c r="AE455" s="1218"/>
      <c r="AF455" s="1217">
        <f>+SUM(AF437:AF454)</f>
        <v>121445.66628091212</v>
      </c>
      <c r="AG455" s="1215">
        <f>IFERROR(AI455/AI410,0)</f>
        <v>0.16626720241613949</v>
      </c>
      <c r="AH455" s="1218"/>
      <c r="AI455" s="1217">
        <f>+SUM(AI437:AI454)</f>
        <v>138219.17113039439</v>
      </c>
      <c r="AJ455" s="1215">
        <f>IFERROR(AL455/AL410,0)</f>
        <v>0.17444110827147541</v>
      </c>
      <c r="AK455" s="1218"/>
      <c r="AL455" s="1217">
        <f>+SUM(AL437:AL454)</f>
        <v>149891.03870359418</v>
      </c>
      <c r="AM455" s="1215">
        <f>IFERROR(AO455/AO410,0)</f>
        <v>0.22103184963081532</v>
      </c>
      <c r="AN455" s="1218"/>
      <c r="AO455" s="1217">
        <f>+SUM(AO437:AO454)</f>
        <v>142027.73764295527</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22"/>
        <v>Loyer</v>
      </c>
      <c r="B456" s="849" t="s">
        <v>205</v>
      </c>
      <c r="C456" s="849"/>
      <c r="D456" s="848"/>
      <c r="E456" s="846">
        <f t="shared" ref="E456:E468" si="123">+SUM(H456,K456,N456,Q456,T456,W456,Z456,AC456,AF456,AI456,AL456,AO456)</f>
        <v>954000</v>
      </c>
      <c r="F456" s="849"/>
      <c r="G456" s="848"/>
      <c r="H456" s="853">
        <f>SUM([1]DEPA!$C$193:$C$197)</f>
        <v>79500</v>
      </c>
      <c r="I456" s="849"/>
      <c r="J456" s="848"/>
      <c r="K456" s="853">
        <f>SUM([1]DEPA!$D$193:$D$197)</f>
        <v>79500</v>
      </c>
      <c r="L456" s="849"/>
      <c r="M456" s="848"/>
      <c r="N456" s="853">
        <f>SUM([1]DEPA!$E$193:$E$197)</f>
        <v>79500</v>
      </c>
      <c r="O456" s="849"/>
      <c r="P456" s="848"/>
      <c r="Q456" s="853">
        <f>SUM([1]DEPA!$F$193:$F$197)</f>
        <v>79500</v>
      </c>
      <c r="R456" s="849"/>
      <c r="S456" s="848"/>
      <c r="T456" s="853">
        <f>SUM([1]DEPA!$G$193:$G$197)</f>
        <v>79500</v>
      </c>
      <c r="U456" s="849"/>
      <c r="V456" s="848"/>
      <c r="W456" s="853">
        <f>SUM([1]DEPA!$H$193:$H$197)</f>
        <v>79500</v>
      </c>
      <c r="X456" s="849"/>
      <c r="Y456" s="848"/>
      <c r="Z456" s="853">
        <f>SUM([1]DEPA!$I$193:$I$197)</f>
        <v>79500</v>
      </c>
      <c r="AA456" s="849"/>
      <c r="AB456" s="848"/>
      <c r="AC456" s="853">
        <f>SUM([1]DEPA!$J$193:$J$197)</f>
        <v>79500</v>
      </c>
      <c r="AD456" s="849"/>
      <c r="AE456" s="848"/>
      <c r="AF456" s="853">
        <f>SUM([1]DEPA!$K$193:$K$197)</f>
        <v>79500</v>
      </c>
      <c r="AG456" s="849"/>
      <c r="AH456" s="848"/>
      <c r="AI456" s="853">
        <f>SUM([1]DEPA!$L$193:$L$197)</f>
        <v>79500</v>
      </c>
      <c r="AJ456" s="849"/>
      <c r="AK456" s="848"/>
      <c r="AL456" s="853">
        <f>SUM([1]DEPA!$M$193:$M$197)</f>
        <v>79500</v>
      </c>
      <c r="AM456" s="849"/>
      <c r="AN456" s="848"/>
      <c r="AO456" s="853">
        <f>SUM([1]DEPA!$N$193:$N$197)</f>
        <v>79500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22"/>
        <v>Taxes foncières</v>
      </c>
      <c r="B457" s="849" t="s">
        <v>206</v>
      </c>
      <c r="C457" s="849"/>
      <c r="D457" s="848"/>
      <c r="E457" s="846">
        <f t="shared" si="123"/>
        <v>192000</v>
      </c>
      <c r="F457" s="849"/>
      <c r="G457" s="848"/>
      <c r="H457" s="853">
        <f>SUM([1]DEPA!$C$206:$C$210)</f>
        <v>16000</v>
      </c>
      <c r="I457" s="849"/>
      <c r="J457" s="848"/>
      <c r="K457" s="853">
        <f>SUM([1]DEPA!$D$206:$D$210)</f>
        <v>16000</v>
      </c>
      <c r="L457" s="849"/>
      <c r="M457" s="848"/>
      <c r="N457" s="853">
        <f>SUM([1]DEPA!$E$206:$E$210)</f>
        <v>16000</v>
      </c>
      <c r="O457" s="849"/>
      <c r="P457" s="848"/>
      <c r="Q457" s="853">
        <f>SUM([1]DEPA!$F$206:$F$210)</f>
        <v>16000</v>
      </c>
      <c r="R457" s="849"/>
      <c r="S457" s="848"/>
      <c r="T457" s="853">
        <f>SUM([1]DEPA!$G$206:$G$210)</f>
        <v>16000</v>
      </c>
      <c r="U457" s="849"/>
      <c r="V457" s="848"/>
      <c r="W457" s="853">
        <f>SUM([1]DEPA!$H$206:$H$210)</f>
        <v>16000</v>
      </c>
      <c r="X457" s="849"/>
      <c r="Y457" s="848"/>
      <c r="Z457" s="853">
        <f>SUM([1]DEPA!$I$206:$I$210)</f>
        <v>16000</v>
      </c>
      <c r="AA457" s="849"/>
      <c r="AB457" s="848"/>
      <c r="AC457" s="853">
        <f>SUM([1]DEPA!$J$206:$J$210)</f>
        <v>16000</v>
      </c>
      <c r="AD457" s="849"/>
      <c r="AE457" s="848"/>
      <c r="AF457" s="853">
        <f>SUM([1]DEPA!$K$206:$K$210)</f>
        <v>16000</v>
      </c>
      <c r="AG457" s="849"/>
      <c r="AH457" s="848"/>
      <c r="AI457" s="853">
        <f>SUM([1]DEPA!$L$206:$L$210)</f>
        <v>16000</v>
      </c>
      <c r="AJ457" s="849"/>
      <c r="AK457" s="848"/>
      <c r="AL457" s="853">
        <f>SUM([1]DEPA!$M$206:$M$210)</f>
        <v>16000</v>
      </c>
      <c r="AM457" s="849"/>
      <c r="AN457" s="848"/>
      <c r="AO457" s="853">
        <f>SUM([1]DEPA!$N$206:$N$210)</f>
        <v>16000</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22"/>
        <v>Taxes d`affaires</v>
      </c>
      <c r="B458" s="852" t="s">
        <v>207</v>
      </c>
      <c r="C458" s="852"/>
      <c r="D458" s="851"/>
      <c r="E458" s="840">
        <f t="shared" si="123"/>
        <v>18000</v>
      </c>
      <c r="F458" s="852"/>
      <c r="G458" s="851"/>
      <c r="H458" s="859">
        <f>SUM([1]DEPA!$C$215:$C$219)</f>
        <v>1500</v>
      </c>
      <c r="I458" s="852"/>
      <c r="J458" s="851"/>
      <c r="K458" s="859">
        <f>SUM([1]DEPA!$D$215:$D$219)</f>
        <v>1500</v>
      </c>
      <c r="L458" s="852"/>
      <c r="M458" s="851"/>
      <c r="N458" s="859">
        <f>SUM([1]DEPA!$E$215:$E$219)</f>
        <v>1500</v>
      </c>
      <c r="O458" s="852"/>
      <c r="P458" s="851"/>
      <c r="Q458" s="859">
        <f>SUM([1]DEPA!$F$215:$F$219)</f>
        <v>1500</v>
      </c>
      <c r="R458" s="852"/>
      <c r="S458" s="851"/>
      <c r="T458" s="859">
        <f>SUM([1]DEPA!$G$215:$G$219)</f>
        <v>1500</v>
      </c>
      <c r="U458" s="852"/>
      <c r="V458" s="851"/>
      <c r="W458" s="859">
        <f>SUM([1]DEPA!$H$215:$H$219)</f>
        <v>1500</v>
      </c>
      <c r="X458" s="852"/>
      <c r="Y458" s="851"/>
      <c r="Z458" s="859">
        <f>SUM([1]DEPA!$I$215:$I$219)</f>
        <v>1500</v>
      </c>
      <c r="AA458" s="852"/>
      <c r="AB458" s="851"/>
      <c r="AC458" s="859">
        <f>SUM([1]DEPA!$J$215:$J$219)</f>
        <v>1500</v>
      </c>
      <c r="AD458" s="852"/>
      <c r="AE458" s="851"/>
      <c r="AF458" s="859">
        <f>SUM([1]DEPA!$K$215:$K$219)</f>
        <v>1500</v>
      </c>
      <c r="AG458" s="852"/>
      <c r="AH458" s="851"/>
      <c r="AI458" s="859">
        <f>SUM([1]DEPA!$L$215:$L$219)</f>
        <v>1500</v>
      </c>
      <c r="AJ458" s="852"/>
      <c r="AK458" s="851"/>
      <c r="AL458" s="859">
        <f>SUM([1]DEPA!$M$215:$M$219)</f>
        <v>1500</v>
      </c>
      <c r="AM458" s="852"/>
      <c r="AN458" s="851"/>
      <c r="AO458" s="859">
        <f>SUM([1]DEPA!$N$215:$N$219)</f>
        <v>1500</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22"/>
        <v>Taxe sur le capital</v>
      </c>
      <c r="B459" s="849" t="s">
        <v>208</v>
      </c>
      <c r="C459" s="849"/>
      <c r="D459" s="848"/>
      <c r="E459" s="846">
        <f t="shared" si="123"/>
        <v>0</v>
      </c>
      <c r="F459" s="849"/>
      <c r="G459" s="848"/>
      <c r="H459" s="853"/>
      <c r="I459" s="849"/>
      <c r="J459" s="848"/>
      <c r="K459" s="853"/>
      <c r="L459" s="849"/>
      <c r="M459" s="848"/>
      <c r="N459" s="853"/>
      <c r="O459" s="849"/>
      <c r="P459" s="848"/>
      <c r="Q459" s="853"/>
      <c r="R459" s="849"/>
      <c r="S459" s="848"/>
      <c r="T459" s="853"/>
      <c r="U459" s="849"/>
      <c r="V459" s="848"/>
      <c r="W459" s="853"/>
      <c r="X459" s="849"/>
      <c r="Y459" s="848"/>
      <c r="Z459" s="853"/>
      <c r="AA459" s="849"/>
      <c r="AB459" s="848"/>
      <c r="AC459" s="853"/>
      <c r="AD459" s="849"/>
      <c r="AE459" s="848"/>
      <c r="AF459" s="853"/>
      <c r="AG459" s="849"/>
      <c r="AH459" s="848"/>
      <c r="AI459" s="853"/>
      <c r="AJ459" s="849"/>
      <c r="AK459" s="848"/>
      <c r="AL459" s="853"/>
      <c r="AM459" s="849"/>
      <c r="AN459" s="848"/>
      <c r="AO459" s="853"/>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22"/>
        <v>Assurances</v>
      </c>
      <c r="B460" s="852" t="s">
        <v>209</v>
      </c>
      <c r="C460" s="852"/>
      <c r="D460" s="851"/>
      <c r="E460" s="840">
        <f t="shared" si="123"/>
        <v>52131</v>
      </c>
      <c r="F460" s="852"/>
      <c r="G460" s="851"/>
      <c r="H460" s="859">
        <f>SUM([1]DEPA!$C$227:$C$231)</f>
        <v>4344.25</v>
      </c>
      <c r="I460" s="852"/>
      <c r="J460" s="851"/>
      <c r="K460" s="859">
        <f>SUM([1]DEPA!$D$227:$D$231)</f>
        <v>4344.25</v>
      </c>
      <c r="L460" s="852"/>
      <c r="M460" s="851"/>
      <c r="N460" s="859">
        <f>SUM([1]DEPA!$E$227:$E$231)</f>
        <v>4344.25</v>
      </c>
      <c r="O460" s="852"/>
      <c r="P460" s="851"/>
      <c r="Q460" s="859">
        <f>SUM([1]DEPA!$F$227:$F$231)</f>
        <v>4344.25</v>
      </c>
      <c r="R460" s="852"/>
      <c r="S460" s="851"/>
      <c r="T460" s="859">
        <f>SUM([1]DEPA!$G$227:$G$231)</f>
        <v>4344.25</v>
      </c>
      <c r="U460" s="852"/>
      <c r="V460" s="851"/>
      <c r="W460" s="859">
        <f>SUM([1]DEPA!$H$227:$H$231)</f>
        <v>4344.25</v>
      </c>
      <c r="X460" s="852"/>
      <c r="Y460" s="851"/>
      <c r="Z460" s="859">
        <f>SUM([1]DEPA!$I$227:$I$231)</f>
        <v>4344.25</v>
      </c>
      <c r="AA460" s="852"/>
      <c r="AB460" s="851"/>
      <c r="AC460" s="859">
        <f>SUM([1]DEPA!$J$227:$J$231)</f>
        <v>4344.25</v>
      </c>
      <c r="AD460" s="852"/>
      <c r="AE460" s="851"/>
      <c r="AF460" s="859">
        <f>SUM([1]DEPA!$K$227:$K$231)</f>
        <v>4344.25</v>
      </c>
      <c r="AG460" s="852"/>
      <c r="AH460" s="851"/>
      <c r="AI460" s="859">
        <f>SUM([1]DEPA!$L$227:$L$231)</f>
        <v>4344.25</v>
      </c>
      <c r="AJ460" s="852"/>
      <c r="AK460" s="851"/>
      <c r="AL460" s="859">
        <f>SUM([1]DEPA!$M$227:$M$231)</f>
        <v>4344.25</v>
      </c>
      <c r="AM460" s="852"/>
      <c r="AN460" s="851"/>
      <c r="AO460" s="859">
        <f>SUM([1]DEPA!$N$227:$N$231)</f>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22"/>
        <v>Chauffage, éclairage</v>
      </c>
      <c r="B461" s="849" t="s">
        <v>210</v>
      </c>
      <c r="C461" s="849"/>
      <c r="D461" s="848"/>
      <c r="E461" s="846">
        <f t="shared" si="123"/>
        <v>90399.999999999956</v>
      </c>
      <c r="F461" s="849"/>
      <c r="G461" s="848"/>
      <c r="H461" s="853">
        <f>SUM([1]DEPA!$C$237:$C$241)</f>
        <v>7533.3333333333321</v>
      </c>
      <c r="I461" s="849"/>
      <c r="J461" s="848"/>
      <c r="K461" s="853">
        <f>SUM([1]DEPA!$D$237:$D$241)</f>
        <v>7533.3333333333321</v>
      </c>
      <c r="L461" s="849"/>
      <c r="M461" s="848"/>
      <c r="N461" s="853">
        <f>SUM([1]DEPA!$E$237:$E$241)</f>
        <v>7533.3333333333321</v>
      </c>
      <c r="O461" s="849"/>
      <c r="P461" s="848"/>
      <c r="Q461" s="853">
        <f>SUM([1]DEPA!$F$237:$F$241)</f>
        <v>7533.3333333333321</v>
      </c>
      <c r="R461" s="849"/>
      <c r="S461" s="848"/>
      <c r="T461" s="853">
        <f>SUM([1]DEPA!$G$237:$G$241)</f>
        <v>7533.3333333333321</v>
      </c>
      <c r="U461" s="849"/>
      <c r="V461" s="848"/>
      <c r="W461" s="853">
        <f>SUM([1]DEPA!$H$237:$H$241)</f>
        <v>7533.3333333333321</v>
      </c>
      <c r="X461" s="849"/>
      <c r="Y461" s="848"/>
      <c r="Z461" s="853">
        <f>SUM([1]DEPA!$I$237:$I$241)</f>
        <v>7533.3333333333321</v>
      </c>
      <c r="AA461" s="849"/>
      <c r="AB461" s="848"/>
      <c r="AC461" s="853">
        <f>SUM([1]DEPA!$J$237:$J$241)</f>
        <v>7533.3333333333321</v>
      </c>
      <c r="AD461" s="849"/>
      <c r="AE461" s="848"/>
      <c r="AF461" s="853">
        <f>SUM([1]DEPA!$K$237:$K$241)</f>
        <v>7533.3333333333321</v>
      </c>
      <c r="AG461" s="849"/>
      <c r="AH461" s="848"/>
      <c r="AI461" s="853">
        <f>SUM([1]DEPA!$L$237:$L$241)</f>
        <v>7533.3333333333321</v>
      </c>
      <c r="AJ461" s="849"/>
      <c r="AK461" s="848"/>
      <c r="AL461" s="853">
        <f>SUM([1]DEPA!$M$237:$M$241)</f>
        <v>7533.3333333333321</v>
      </c>
      <c r="AM461" s="849"/>
      <c r="AN461" s="848"/>
      <c r="AO461" s="853">
        <f>SUM([1]DEPA!$N$237:$N$241)</f>
        <v>7533.3333333333321</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22"/>
        <v>Honoraires</v>
      </c>
      <c r="B462" s="849" t="s">
        <v>211</v>
      </c>
      <c r="C462" s="849"/>
      <c r="D462" s="848"/>
      <c r="E462" s="846">
        <f t="shared" si="123"/>
        <v>37360.33</v>
      </c>
      <c r="F462" s="849"/>
      <c r="G462" s="848"/>
      <c r="H462" s="853">
        <f>SUM([1]DEPA!$C$250:$C$254)</f>
        <v>6923.33</v>
      </c>
      <c r="I462" s="849"/>
      <c r="J462" s="848"/>
      <c r="K462" s="853">
        <f>SUM([1]DEPA!$D$250:$D$254)</f>
        <v>2767</v>
      </c>
      <c r="L462" s="849"/>
      <c r="M462" s="848"/>
      <c r="N462" s="853">
        <f>SUM([1]DEPA!$E$250:$E$254)</f>
        <v>2767</v>
      </c>
      <c r="O462" s="849"/>
      <c r="P462" s="848"/>
      <c r="Q462" s="853">
        <f>SUM([1]DEPA!$F$250:$F$254)</f>
        <v>2767</v>
      </c>
      <c r="R462" s="849"/>
      <c r="S462" s="848"/>
      <c r="T462" s="853">
        <f>SUM([1]DEPA!$G$250:$G$254)</f>
        <v>2767</v>
      </c>
      <c r="U462" s="849"/>
      <c r="V462" s="848"/>
      <c r="W462" s="853">
        <f>SUM([1]DEPA!$H$250:$H$254)</f>
        <v>2767</v>
      </c>
      <c r="X462" s="849"/>
      <c r="Y462" s="848"/>
      <c r="Z462" s="853">
        <f>SUM([1]DEPA!$I$250:$I$254)</f>
        <v>2767</v>
      </c>
      <c r="AA462" s="849"/>
      <c r="AB462" s="848"/>
      <c r="AC462" s="853">
        <f>SUM([1]DEPA!$J$250:$J$254)</f>
        <v>2767</v>
      </c>
      <c r="AD462" s="849"/>
      <c r="AE462" s="848"/>
      <c r="AF462" s="853">
        <f>SUM([1]DEPA!$K$250:$K$254)</f>
        <v>2767</v>
      </c>
      <c r="AG462" s="849"/>
      <c r="AH462" s="848"/>
      <c r="AI462" s="853">
        <f>SUM([1]DEPA!$L$250:$L$254)</f>
        <v>2767</v>
      </c>
      <c r="AJ462" s="849"/>
      <c r="AK462" s="848"/>
      <c r="AL462" s="853">
        <f>SUM([1]DEPA!$M$250:$M$254)</f>
        <v>2767</v>
      </c>
      <c r="AM462" s="849"/>
      <c r="AN462" s="848"/>
      <c r="AO462" s="853">
        <f>SUM([1]DEPA!$N$250:$N$254)</f>
        <v>2767</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22"/>
        <v>Réparation équipement</v>
      </c>
      <c r="B463" s="852" t="s">
        <v>212</v>
      </c>
      <c r="C463" s="852"/>
      <c r="D463" s="851"/>
      <c r="E463" s="840">
        <f t="shared" si="123"/>
        <v>16374.74808917444</v>
      </c>
      <c r="F463" s="852"/>
      <c r="G463" s="851"/>
      <c r="H463" s="859">
        <f>SUM([1]DEPA!$C$266:$C$270)</f>
        <v>1364.5623407645369</v>
      </c>
      <c r="I463" s="852"/>
      <c r="J463" s="851"/>
      <c r="K463" s="859">
        <f>SUM([1]DEPA!$D$266:$D$270)</f>
        <v>1364.5623407645369</v>
      </c>
      <c r="L463" s="852"/>
      <c r="M463" s="851"/>
      <c r="N463" s="859">
        <f>SUM([1]DEPA!$E$266:$E$270)</f>
        <v>1364.5623407645369</v>
      </c>
      <c r="O463" s="852"/>
      <c r="P463" s="851"/>
      <c r="Q463" s="859">
        <f>SUM([1]DEPA!$F$266:$F$270)</f>
        <v>1364.5623407645369</v>
      </c>
      <c r="R463" s="852"/>
      <c r="S463" s="851"/>
      <c r="T463" s="859">
        <f>SUM([1]DEPA!$G$266:$G$270)</f>
        <v>1364.5623407645369</v>
      </c>
      <c r="U463" s="852"/>
      <c r="V463" s="851"/>
      <c r="W463" s="859">
        <f>SUM([1]DEPA!$H$266:$H$270)</f>
        <v>1364.5623407645369</v>
      </c>
      <c r="X463" s="852"/>
      <c r="Y463" s="851"/>
      <c r="Z463" s="859">
        <f>SUM([1]DEPA!$I$266:$I$270)</f>
        <v>1364.5623407645369</v>
      </c>
      <c r="AA463" s="852"/>
      <c r="AB463" s="851"/>
      <c r="AC463" s="859">
        <f>SUM([1]DEPA!$J$266:$J$270)</f>
        <v>1364.5623407645369</v>
      </c>
      <c r="AD463" s="852"/>
      <c r="AE463" s="851"/>
      <c r="AF463" s="859">
        <f>SUM([1]DEPA!$K$266:$K$270)</f>
        <v>1364.5623407645369</v>
      </c>
      <c r="AG463" s="852"/>
      <c r="AH463" s="851"/>
      <c r="AI463" s="859">
        <f>SUM([1]DEPA!$L$266:$L$270)</f>
        <v>1364.5623407645369</v>
      </c>
      <c r="AJ463" s="852"/>
      <c r="AK463" s="851"/>
      <c r="AL463" s="859">
        <f>SUM([1]DEPA!$M$266:$M$270)</f>
        <v>1364.5623407645369</v>
      </c>
      <c r="AM463" s="852"/>
      <c r="AN463" s="851"/>
      <c r="AO463" s="859">
        <f>SUM([1]DEPA!$N$266:$N$270)</f>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22"/>
        <v>Location équipement</v>
      </c>
      <c r="B464" s="849" t="s">
        <v>213</v>
      </c>
      <c r="C464" s="849"/>
      <c r="D464" s="848"/>
      <c r="E464" s="846">
        <f t="shared" si="123"/>
        <v>15000</v>
      </c>
      <c r="F464" s="849"/>
      <c r="G464" s="848"/>
      <c r="H464" s="853">
        <f>SUM([1]DEPA!$C$275:$C$279)</f>
        <v>1250</v>
      </c>
      <c r="I464" s="849"/>
      <c r="J464" s="848"/>
      <c r="K464" s="853">
        <f>SUM([1]DEPA!$D$275:$D$279)</f>
        <v>1250</v>
      </c>
      <c r="L464" s="849"/>
      <c r="M464" s="848"/>
      <c r="N464" s="853">
        <f>SUM([1]DEPA!$E$275:$E$279)</f>
        <v>1250</v>
      </c>
      <c r="O464" s="849"/>
      <c r="P464" s="848"/>
      <c r="Q464" s="853">
        <f>SUM([1]DEPA!$F$275:$F$279)</f>
        <v>1250</v>
      </c>
      <c r="R464" s="849"/>
      <c r="S464" s="848"/>
      <c r="T464" s="853">
        <f>SUM([1]DEPA!$G$275:$G$279)</f>
        <v>1250</v>
      </c>
      <c r="U464" s="849"/>
      <c r="V464" s="848"/>
      <c r="W464" s="853">
        <f>SUM([1]DEPA!$H$275:$H$279)</f>
        <v>1250</v>
      </c>
      <c r="X464" s="849"/>
      <c r="Y464" s="848"/>
      <c r="Z464" s="853">
        <f>SUM([1]DEPA!$I$275:$I$279)</f>
        <v>1250</v>
      </c>
      <c r="AA464" s="849"/>
      <c r="AB464" s="848"/>
      <c r="AC464" s="853">
        <f>SUM([1]DEPA!$J$275:$J$279)</f>
        <v>1250</v>
      </c>
      <c r="AD464" s="849"/>
      <c r="AE464" s="848"/>
      <c r="AF464" s="853">
        <f>SUM([1]DEPA!$K$275:$K$279)</f>
        <v>1250</v>
      </c>
      <c r="AG464" s="849"/>
      <c r="AH464" s="848"/>
      <c r="AI464" s="853">
        <f>SUM([1]DEPA!$L$275:$L$279)</f>
        <v>1250</v>
      </c>
      <c r="AJ464" s="849"/>
      <c r="AK464" s="848"/>
      <c r="AL464" s="853">
        <f>SUM([1]DEPA!$M$275:$M$279)</f>
        <v>1250</v>
      </c>
      <c r="AM464" s="849"/>
      <c r="AN464" s="848"/>
      <c r="AO464" s="853">
        <f>SUM([1]DEPA!$N$275:$N$279)</f>
        <v>1250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22"/>
        <v>Dons</v>
      </c>
      <c r="B465" s="849" t="s">
        <v>214</v>
      </c>
      <c r="C465" s="849"/>
      <c r="D465" s="848"/>
      <c r="E465" s="846">
        <f t="shared" si="123"/>
        <v>0</v>
      </c>
      <c r="F465" s="849"/>
      <c r="G465" s="848"/>
      <c r="H465" s="853"/>
      <c r="I465" s="849"/>
      <c r="J465" s="848"/>
      <c r="K465" s="853"/>
      <c r="L465" s="849"/>
      <c r="M465" s="848"/>
      <c r="N465" s="853"/>
      <c r="O465" s="849"/>
      <c r="P465" s="848"/>
      <c r="Q465" s="853"/>
      <c r="R465" s="849"/>
      <c r="S465" s="848"/>
      <c r="T465" s="853"/>
      <c r="U465" s="849"/>
      <c r="V465" s="848"/>
      <c r="W465" s="853"/>
      <c r="X465" s="849"/>
      <c r="Y465" s="848"/>
      <c r="Z465" s="853"/>
      <c r="AA465" s="849"/>
      <c r="AB465" s="848"/>
      <c r="AC465" s="853"/>
      <c r="AD465" s="849"/>
      <c r="AE465" s="848"/>
      <c r="AF465" s="853"/>
      <c r="AG465" s="849"/>
      <c r="AH465" s="848"/>
      <c r="AI465" s="853"/>
      <c r="AJ465" s="849"/>
      <c r="AK465" s="848"/>
      <c r="AL465" s="853"/>
      <c r="AM465" s="849"/>
      <c r="AN465" s="848"/>
      <c r="AO465" s="853"/>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22"/>
        <v>[...]</v>
      </c>
      <c r="B466" s="849" t="s">
        <v>59</v>
      </c>
      <c r="C466" s="849"/>
      <c r="D466" s="848"/>
      <c r="E466" s="846">
        <f t="shared" si="123"/>
        <v>0</v>
      </c>
      <c r="F466" s="849"/>
      <c r="G466" s="848"/>
      <c r="H466" s="846"/>
      <c r="I466" s="849"/>
      <c r="J466" s="848"/>
      <c r="K466" s="846"/>
      <c r="L466" s="849"/>
      <c r="M466" s="848"/>
      <c r="N466" s="846"/>
      <c r="O466" s="849"/>
      <c r="P466" s="848"/>
      <c r="Q466" s="846"/>
      <c r="R466" s="849"/>
      <c r="S466" s="848"/>
      <c r="T466" s="846"/>
      <c r="U466" s="849"/>
      <c r="V466" s="848"/>
      <c r="W466" s="846"/>
      <c r="X466" s="849"/>
      <c r="Y466" s="848"/>
      <c r="Z466" s="846"/>
      <c r="AA466" s="849"/>
      <c r="AB466" s="848"/>
      <c r="AC466" s="846"/>
      <c r="AD466" s="849"/>
      <c r="AE466" s="848"/>
      <c r="AF466" s="846"/>
      <c r="AG466" s="849"/>
      <c r="AH466" s="848"/>
      <c r="AI466" s="846"/>
      <c r="AJ466" s="849"/>
      <c r="AK466" s="848"/>
      <c r="AL466" s="846"/>
      <c r="AM466" s="849"/>
      <c r="AN466" s="848"/>
      <c r="AO466" s="84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22"/>
        <v>[...]</v>
      </c>
      <c r="B467" s="849" t="s">
        <v>59</v>
      </c>
      <c r="C467" s="849"/>
      <c r="D467" s="848"/>
      <c r="E467" s="846">
        <f t="shared" si="123"/>
        <v>0</v>
      </c>
      <c r="F467" s="849"/>
      <c r="G467" s="848"/>
      <c r="H467" s="846"/>
      <c r="I467" s="849"/>
      <c r="J467" s="848"/>
      <c r="K467" s="846"/>
      <c r="L467" s="849"/>
      <c r="M467" s="848"/>
      <c r="N467" s="846"/>
      <c r="O467" s="849"/>
      <c r="P467" s="848"/>
      <c r="Q467" s="846"/>
      <c r="R467" s="849"/>
      <c r="S467" s="848"/>
      <c r="T467" s="846"/>
      <c r="U467" s="849"/>
      <c r="V467" s="848"/>
      <c r="W467" s="846"/>
      <c r="X467" s="849"/>
      <c r="Y467" s="848"/>
      <c r="Z467" s="846"/>
      <c r="AA467" s="849"/>
      <c r="AB467" s="848"/>
      <c r="AC467" s="846"/>
      <c r="AD467" s="849"/>
      <c r="AE467" s="848"/>
      <c r="AF467" s="846"/>
      <c r="AG467" s="849"/>
      <c r="AH467" s="848"/>
      <c r="AI467" s="846"/>
      <c r="AJ467" s="849"/>
      <c r="AK467" s="848"/>
      <c r="AL467" s="846"/>
      <c r="AM467" s="849"/>
      <c r="AN467" s="848"/>
      <c r="AO467" s="84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22"/>
        <v>[...]</v>
      </c>
      <c r="B468" s="849" t="s">
        <v>59</v>
      </c>
      <c r="C468" s="849"/>
      <c r="D468" s="848"/>
      <c r="E468" s="846">
        <f t="shared" si="123"/>
        <v>0</v>
      </c>
      <c r="F468" s="849"/>
      <c r="G468" s="848"/>
      <c r="H468" s="846"/>
      <c r="I468" s="849"/>
      <c r="J468" s="848"/>
      <c r="K468" s="846"/>
      <c r="L468" s="849"/>
      <c r="M468" s="848"/>
      <c r="N468" s="846"/>
      <c r="O468" s="849"/>
      <c r="P468" s="848"/>
      <c r="Q468" s="846"/>
      <c r="R468" s="849"/>
      <c r="S468" s="848"/>
      <c r="T468" s="846"/>
      <c r="U468" s="849"/>
      <c r="V468" s="848"/>
      <c r="W468" s="846"/>
      <c r="X468" s="849"/>
      <c r="Y468" s="848"/>
      <c r="Z468" s="846"/>
      <c r="AA468" s="849"/>
      <c r="AB468" s="848"/>
      <c r="AC468" s="846"/>
      <c r="AD468" s="849"/>
      <c r="AE468" s="848"/>
      <c r="AF468" s="846"/>
      <c r="AG468" s="849"/>
      <c r="AH468" s="848"/>
      <c r="AI468" s="846"/>
      <c r="AJ468" s="849"/>
      <c r="AK468" s="848"/>
      <c r="AL468" s="846"/>
      <c r="AM468" s="849"/>
      <c r="AN468" s="848"/>
      <c r="AO468" s="84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22"/>
        <v>TOTAL DÉPENSES FIXES</v>
      </c>
      <c r="B469" s="1214" t="s">
        <v>215</v>
      </c>
      <c r="C469" s="1215">
        <f>IFERROR(E469/E410,0)</f>
        <v>0.14355427707680501</v>
      </c>
      <c r="D469" s="1218"/>
      <c r="E469" s="1217">
        <f>SUM(E456:E468)</f>
        <v>1375266.0780891746</v>
      </c>
      <c r="F469" s="1215">
        <f>IFERROR(H469/H410,0)</f>
        <v>0.1930663561468329</v>
      </c>
      <c r="G469" s="1218"/>
      <c r="H469" s="1217">
        <f>SUM(H456:H468)</f>
        <v>118415.47567409786</v>
      </c>
      <c r="I469" s="1215">
        <f>IFERROR(K469/K410,0)</f>
        <v>0.18409123019937373</v>
      </c>
      <c r="J469" s="1218"/>
      <c r="K469" s="1217">
        <f>SUM(K456:K468)</f>
        <v>114259.14567409786</v>
      </c>
      <c r="L469" s="1215">
        <f>IFERROR(N469/N410,0)</f>
        <v>0.13492755378209431</v>
      </c>
      <c r="M469" s="1218"/>
      <c r="N469" s="1217">
        <f>SUM(N456:N468)</f>
        <v>114259.14567409786</v>
      </c>
      <c r="O469" s="1215">
        <f>IFERROR(Q469/Q410,0)</f>
        <v>0.12706394365183893</v>
      </c>
      <c r="P469" s="1218"/>
      <c r="Q469" s="1217">
        <f>SUM(Q456:Q468)</f>
        <v>114259.14567409786</v>
      </c>
      <c r="R469" s="1215">
        <f>IFERROR(T469/T410,0)</f>
        <v>0.11936145312471813</v>
      </c>
      <c r="S469" s="1218"/>
      <c r="T469" s="1217">
        <f>SUM(T456:T468)</f>
        <v>114259.14567409786</v>
      </c>
      <c r="U469" s="1215">
        <f>IFERROR(W469/W410,0)</f>
        <v>0.13208274765827763</v>
      </c>
      <c r="V469" s="1218"/>
      <c r="W469" s="1217">
        <f>SUM(W456:W468)</f>
        <v>114259.14567409786</v>
      </c>
      <c r="X469" s="1215">
        <f>IFERROR(Z469/Z410,0)</f>
        <v>0.13930657068453647</v>
      </c>
      <c r="Y469" s="1218"/>
      <c r="Z469" s="1217">
        <f>SUM(Z456:Z468)</f>
        <v>114259.14567409786</v>
      </c>
      <c r="AA469" s="1215">
        <f>IFERROR(AC469/AC410,0)</f>
        <v>0.143694858733111</v>
      </c>
      <c r="AB469" s="1218"/>
      <c r="AC469" s="1217">
        <f>SUM(AC456:AC468)</f>
        <v>114259.14567409786</v>
      </c>
      <c r="AD469" s="1215">
        <f>IFERROR(AF469/AF410,0)</f>
        <v>0.13778420323000609</v>
      </c>
      <c r="AE469" s="1218"/>
      <c r="AF469" s="1217">
        <f>SUM(AF456:AF468)</f>
        <v>114259.14567409786</v>
      </c>
      <c r="AG469" s="1215">
        <f>IFERROR(AI469/AI410,0)</f>
        <v>0.13744510509159635</v>
      </c>
      <c r="AH469" s="1218"/>
      <c r="AI469" s="1217">
        <f>SUM(AI456:AI468)</f>
        <v>114259.14567409786</v>
      </c>
      <c r="AJ469" s="1215">
        <f>IFERROR(AL469/AL410,0)</f>
        <v>0.13297320622986419</v>
      </c>
      <c r="AK469" s="1218"/>
      <c r="AL469" s="1217">
        <f>SUM(AL456:AL468)</f>
        <v>114259.14567409786</v>
      </c>
      <c r="AM469" s="1215">
        <f>IFERROR(AO469/AO410,0)</f>
        <v>0.1778167470995782</v>
      </c>
      <c r="AN469" s="1218"/>
      <c r="AO469" s="1217">
        <f>SUM(AO456:AO468)</f>
        <v>114259.14567409786</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22"/>
        <v>0</v>
      </c>
      <c r="B470" s="849"/>
      <c r="C470" s="849"/>
      <c r="D470" s="845"/>
      <c r="E470" s="1224"/>
      <c r="F470" s="849"/>
      <c r="G470" s="845"/>
      <c r="H470" s="1224"/>
      <c r="I470" s="849"/>
      <c r="J470" s="845"/>
      <c r="K470" s="1224"/>
      <c r="L470" s="849"/>
      <c r="M470" s="845"/>
      <c r="N470" s="1224"/>
      <c r="O470" s="849"/>
      <c r="P470" s="845"/>
      <c r="Q470" s="1224"/>
      <c r="R470" s="849"/>
      <c r="S470" s="845"/>
      <c r="T470" s="1224"/>
      <c r="U470" s="849"/>
      <c r="V470" s="845"/>
      <c r="W470" s="1224"/>
      <c r="X470" s="849"/>
      <c r="Y470" s="845"/>
      <c r="Z470" s="1224"/>
      <c r="AA470" s="849"/>
      <c r="AB470" s="845"/>
      <c r="AC470" s="1224"/>
      <c r="AD470" s="849"/>
      <c r="AE470" s="845"/>
      <c r="AF470" s="1224"/>
      <c r="AG470" s="849"/>
      <c r="AH470" s="845"/>
      <c r="AI470" s="1224"/>
      <c r="AJ470" s="849"/>
      <c r="AK470" s="845"/>
      <c r="AL470" s="1224"/>
      <c r="AM470" s="849"/>
      <c r="AN470" s="845"/>
      <c r="AO470" s="1224"/>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22"/>
        <v>TOTAL DES DÉPENSES</v>
      </c>
      <c r="B471" s="1214" t="s">
        <v>144</v>
      </c>
      <c r="C471" s="1215">
        <f>IFERROR(E471/E410,0)</f>
        <v>0.94857662750912952</v>
      </c>
      <c r="D471" s="1218"/>
      <c r="E471" s="1217">
        <f>E422+E436+E455+E469</f>
        <v>9087470.5013740063</v>
      </c>
      <c r="F471" s="1215">
        <f>IFERROR(H471/H410,0)</f>
        <v>1.1754965816887795</v>
      </c>
      <c r="G471" s="1218"/>
      <c r="H471" s="1217">
        <f>H422+H436+H455+H469</f>
        <v>720980.02806915389</v>
      </c>
      <c r="I471" s="1215">
        <f>IFERROR(K471/K410,0)</f>
        <v>1.0732831295803307</v>
      </c>
      <c r="J471" s="1218"/>
      <c r="K471" s="1217">
        <f>K422+K436+K455+K469</f>
        <v>666150.21975494327</v>
      </c>
      <c r="L471" s="1215">
        <f>IFERROR(N471/N410,0)</f>
        <v>0.89273733885361639</v>
      </c>
      <c r="M471" s="1218"/>
      <c r="N471" s="1217">
        <f>N422+N436+N455+N469</f>
        <v>755986.47414534446</v>
      </c>
      <c r="O471" s="1215">
        <f>IFERROR(Q471/Q410,0)</f>
        <v>0.92802839535325321</v>
      </c>
      <c r="P471" s="1218"/>
      <c r="Q471" s="1217">
        <f>Q422+Q436+Q455+Q469</f>
        <v>834506.8519588015</v>
      </c>
      <c r="R471" s="1215">
        <f>IFERROR(T471/T410,0)</f>
        <v>0.87443033011174198</v>
      </c>
      <c r="S471" s="1218"/>
      <c r="T471" s="1217">
        <f>T422+T436+T455+T469</f>
        <v>837051.32481666037</v>
      </c>
      <c r="U471" s="1215">
        <f>IFERROR(W471/W410,0)</f>
        <v>0.84969009898038195</v>
      </c>
      <c r="V471" s="1218"/>
      <c r="W471" s="1217">
        <f>W422+W436+W455+W469</f>
        <v>735030.6267735624</v>
      </c>
      <c r="X471" s="1215">
        <f>IFERROR(Z471/Z410,0)</f>
        <v>0.94862308356394842</v>
      </c>
      <c r="Y471" s="1218"/>
      <c r="Z471" s="1217">
        <f>Z422+Z436+Z455+Z469</f>
        <v>778059.94765454833</v>
      </c>
      <c r="AA471" s="1215">
        <f>IFERROR(AC471/AC410,0)</f>
        <v>0.89621691266206649</v>
      </c>
      <c r="AB471" s="1218"/>
      <c r="AC471" s="1217">
        <f>AC422+AC436+AC455+AC469</f>
        <v>712627.9929725104</v>
      </c>
      <c r="AD471" s="1215">
        <f>IFERROR(AF471/AF410,0)</f>
        <v>0.85862595631572203</v>
      </c>
      <c r="AE471" s="1218"/>
      <c r="AF471" s="1217">
        <f>AF422+AF436+AF455+AF469</f>
        <v>712025.51469902147</v>
      </c>
      <c r="AG471" s="1215">
        <f>IFERROR(AI471/AI410,0)</f>
        <v>0.97548711481287786</v>
      </c>
      <c r="AH471" s="1218"/>
      <c r="AI471" s="1217">
        <f>AI422+AI436+AI455+AI469</f>
        <v>810929.74740957003</v>
      </c>
      <c r="AJ471" s="1215">
        <f>IFERROR(AL471/AL410,0)</f>
        <v>0.91661323945313966</v>
      </c>
      <c r="AK471" s="1218"/>
      <c r="AL471" s="1217">
        <f>AL422+AL436+AL455+AL469</f>
        <v>787613.14871538081</v>
      </c>
      <c r="AM471" s="1215">
        <f>IFERROR(AO471/AO410,0)</f>
        <v>1.1461976809798955</v>
      </c>
      <c r="AN471" s="1218"/>
      <c r="AO471" s="1217">
        <f>AO422+AO436+AO455+AO469</f>
        <v>736508.62440451025</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22"/>
        <v>Revenus autres</v>
      </c>
      <c r="B472" s="849" t="s">
        <v>216</v>
      </c>
      <c r="C472" s="1225"/>
      <c r="D472" s="1226"/>
      <c r="E472" s="1227">
        <f t="shared" ref="E472:E483" si="124">+SUM(H472,K472,N472,Q472,T472,W472,Z472,AC472,AF472,AI472,AL472,AO472)</f>
        <v>80000</v>
      </c>
      <c r="F472" s="1225"/>
      <c r="G472" s="1226"/>
      <c r="H472" s="1227">
        <f>'[1]Vehicules neuf 2026'!E66</f>
        <v>0</v>
      </c>
      <c r="I472" s="1225"/>
      <c r="J472" s="1226"/>
      <c r="K472" s="1227">
        <f>'[1]Vehicules neuf 2026'!F66</f>
        <v>0</v>
      </c>
      <c r="L472" s="1225"/>
      <c r="M472" s="1226"/>
      <c r="N472" s="1227">
        <f>'[1]Vehicules neuf 2026'!G66</f>
        <v>20000</v>
      </c>
      <c r="O472" s="1225"/>
      <c r="P472" s="1226"/>
      <c r="Q472" s="1227">
        <f>'[1]Vehicules neuf 2026'!H66</f>
        <v>0</v>
      </c>
      <c r="R472" s="1225"/>
      <c r="S472" s="1226"/>
      <c r="T472" s="1227">
        <f>'[1]Vehicules neuf 2026'!I66</f>
        <v>0</v>
      </c>
      <c r="U472" s="1225"/>
      <c r="V472" s="1226"/>
      <c r="W472" s="1227">
        <f>'[1]Vehicules neuf 2026'!J66</f>
        <v>20000</v>
      </c>
      <c r="X472" s="1225"/>
      <c r="Y472" s="1226"/>
      <c r="Z472" s="1227">
        <f>'[1]Vehicules neuf 2026'!K66</f>
        <v>0</v>
      </c>
      <c r="AA472" s="1225"/>
      <c r="AB472" s="1226"/>
      <c r="AC472" s="1227">
        <f>'[1]Vehicules neuf 2026'!L66</f>
        <v>0</v>
      </c>
      <c r="AD472" s="1225"/>
      <c r="AE472" s="1226"/>
      <c r="AF472" s="1227">
        <f>'[1]Vehicules neuf 2026'!M66</f>
        <v>20000</v>
      </c>
      <c r="AG472" s="1225"/>
      <c r="AH472" s="1226"/>
      <c r="AI472" s="1227">
        <f>'[1]Vehicules neuf 2026'!N66</f>
        <v>0</v>
      </c>
      <c r="AJ472" s="1225"/>
      <c r="AK472" s="1226"/>
      <c r="AL472" s="1227">
        <f>'[1]Vehicules neuf 2026'!O66</f>
        <v>0</v>
      </c>
      <c r="AM472" s="1225"/>
      <c r="AN472" s="1226"/>
      <c r="AO472" s="1227">
        <f>'[1]Vehicules neuf 2026'!P66</f>
        <v>20000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22"/>
        <v>Holdbacks</v>
      </c>
      <c r="B473" s="849" t="s">
        <v>148</v>
      </c>
      <c r="C473" s="863"/>
      <c r="D473" s="864"/>
      <c r="E473" s="846">
        <f t="shared" si="124"/>
        <v>971329.00248800265</v>
      </c>
      <c r="F473" s="863"/>
      <c r="G473" s="864"/>
      <c r="H473" s="846">
        <f>H81</f>
        <v>62754.401846134992</v>
      </c>
      <c r="I473" s="863"/>
      <c r="J473" s="864"/>
      <c r="K473" s="846">
        <f>K81</f>
        <v>68211.306354494562</v>
      </c>
      <c r="L473" s="863"/>
      <c r="M473" s="864"/>
      <c r="N473" s="846">
        <f>N81</f>
        <v>100952.73340465195</v>
      </c>
      <c r="O473" s="863"/>
      <c r="P473" s="864"/>
      <c r="Q473" s="846">
        <f>Q81</f>
        <v>103681.18565883172</v>
      </c>
      <c r="R473" s="863"/>
      <c r="S473" s="864"/>
      <c r="T473" s="846">
        <f>T81</f>
        <v>107773.86404010141</v>
      </c>
      <c r="U473" s="863"/>
      <c r="V473" s="864"/>
      <c r="W473" s="846">
        <f>W81</f>
        <v>96860.055023382272</v>
      </c>
      <c r="X473" s="863"/>
      <c r="Y473" s="864"/>
      <c r="Z473" s="846">
        <f>Z81</f>
        <v>85946.246006663147</v>
      </c>
      <c r="AA473" s="863"/>
      <c r="AB473" s="864"/>
      <c r="AC473" s="846">
        <f>AC81</f>
        <v>77760.889244123799</v>
      </c>
      <c r="AD473" s="863"/>
      <c r="AE473" s="864"/>
      <c r="AF473" s="846">
        <f>AF81</f>
        <v>75032.436989944021</v>
      </c>
      <c r="AG473" s="863"/>
      <c r="AH473" s="864"/>
      <c r="AI473" s="846">
        <f>AI81</f>
        <v>73668.210862854117</v>
      </c>
      <c r="AJ473" s="863"/>
      <c r="AK473" s="864"/>
      <c r="AL473" s="846">
        <f>AL81</f>
        <v>64118.627973224888</v>
      </c>
      <c r="AM473" s="863"/>
      <c r="AN473" s="864"/>
      <c r="AO473" s="846">
        <f>AO81</f>
        <v>54569.045083595651</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22"/>
        <v>Programme neuf 1</v>
      </c>
      <c r="B474" s="849" t="s">
        <v>145</v>
      </c>
      <c r="C474" s="863"/>
      <c r="D474" s="864"/>
      <c r="E474" s="846">
        <f t="shared" si="124"/>
        <v>140000</v>
      </c>
      <c r="F474" s="863"/>
      <c r="G474" s="864"/>
      <c r="H474" s="846">
        <f>H78</f>
        <v>0</v>
      </c>
      <c r="I474" s="863"/>
      <c r="J474" s="864"/>
      <c r="K474" s="846">
        <f>K78</f>
        <v>0</v>
      </c>
      <c r="L474" s="863"/>
      <c r="M474" s="864"/>
      <c r="N474" s="846">
        <f>N78</f>
        <v>35000</v>
      </c>
      <c r="O474" s="863"/>
      <c r="P474" s="864"/>
      <c r="Q474" s="846">
        <f>Q78</f>
        <v>0</v>
      </c>
      <c r="R474" s="863"/>
      <c r="S474" s="864"/>
      <c r="T474" s="846">
        <f>T78</f>
        <v>0</v>
      </c>
      <c r="U474" s="863"/>
      <c r="V474" s="864"/>
      <c r="W474" s="846">
        <f>W78</f>
        <v>35000</v>
      </c>
      <c r="X474" s="863"/>
      <c r="Y474" s="864"/>
      <c r="Z474" s="846">
        <f>Z78</f>
        <v>0</v>
      </c>
      <c r="AA474" s="863"/>
      <c r="AB474" s="864"/>
      <c r="AC474" s="846">
        <f>AC78</f>
        <v>0</v>
      </c>
      <c r="AD474" s="863"/>
      <c r="AE474" s="864"/>
      <c r="AF474" s="846">
        <f>AF78</f>
        <v>35000</v>
      </c>
      <c r="AG474" s="863"/>
      <c r="AH474" s="864"/>
      <c r="AI474" s="846">
        <f>AI78</f>
        <v>0</v>
      </c>
      <c r="AJ474" s="863"/>
      <c r="AK474" s="864"/>
      <c r="AL474" s="846">
        <f>AL78</f>
        <v>0</v>
      </c>
      <c r="AM474" s="863"/>
      <c r="AN474" s="864"/>
      <c r="AO474" s="846">
        <f>AO78</f>
        <v>35000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22"/>
        <v>Programme neuf 2</v>
      </c>
      <c r="B475" s="849" t="s">
        <v>146</v>
      </c>
      <c r="C475" s="863"/>
      <c r="D475" s="864"/>
      <c r="E475" s="846">
        <f t="shared" si="124"/>
        <v>0</v>
      </c>
      <c r="F475" s="863"/>
      <c r="G475" s="864"/>
      <c r="H475" s="846">
        <f>H79</f>
        <v>0</v>
      </c>
      <c r="I475" s="863"/>
      <c r="J475" s="864"/>
      <c r="K475" s="846">
        <f>K79</f>
        <v>0</v>
      </c>
      <c r="L475" s="863"/>
      <c r="M475" s="864"/>
      <c r="N475" s="846">
        <f>N79</f>
        <v>0</v>
      </c>
      <c r="O475" s="863"/>
      <c r="P475" s="864"/>
      <c r="Q475" s="846">
        <f>Q79</f>
        <v>0</v>
      </c>
      <c r="R475" s="863"/>
      <c r="S475" s="864"/>
      <c r="T475" s="846">
        <f>T79</f>
        <v>0</v>
      </c>
      <c r="U475" s="863"/>
      <c r="V475" s="864"/>
      <c r="W475" s="846">
        <f>W79</f>
        <v>0</v>
      </c>
      <c r="X475" s="863"/>
      <c r="Y475" s="864"/>
      <c r="Z475" s="846">
        <f>Z79</f>
        <v>0</v>
      </c>
      <c r="AA475" s="863"/>
      <c r="AB475" s="864"/>
      <c r="AC475" s="846">
        <f>AC79</f>
        <v>0</v>
      </c>
      <c r="AD475" s="863"/>
      <c r="AE475" s="864"/>
      <c r="AF475" s="846">
        <f>AF79</f>
        <v>0</v>
      </c>
      <c r="AG475" s="863"/>
      <c r="AH475" s="864"/>
      <c r="AI475" s="846">
        <f>AI79</f>
        <v>0</v>
      </c>
      <c r="AJ475" s="863"/>
      <c r="AK475" s="864"/>
      <c r="AL475" s="846">
        <f>AL79</f>
        <v>0</v>
      </c>
      <c r="AM475" s="863"/>
      <c r="AN475" s="864"/>
      <c r="AO475" s="846">
        <f>AO79</f>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22"/>
        <v>Programme neuf 3</v>
      </c>
      <c r="B476" s="849" t="s">
        <v>147</v>
      </c>
      <c r="C476" s="863"/>
      <c r="D476" s="864"/>
      <c r="E476" s="846">
        <f t="shared" si="124"/>
        <v>0</v>
      </c>
      <c r="F476" s="863"/>
      <c r="G476" s="864"/>
      <c r="H476" s="846">
        <f>H80</f>
        <v>0</v>
      </c>
      <c r="I476" s="863"/>
      <c r="J476" s="864"/>
      <c r="K476" s="846">
        <f>K80</f>
        <v>0</v>
      </c>
      <c r="L476" s="863"/>
      <c r="M476" s="864"/>
      <c r="N476" s="846">
        <f>N80</f>
        <v>0</v>
      </c>
      <c r="O476" s="863"/>
      <c r="P476" s="864"/>
      <c r="Q476" s="846">
        <f>Q80</f>
        <v>0</v>
      </c>
      <c r="R476" s="863"/>
      <c r="S476" s="864"/>
      <c r="T476" s="846">
        <f>T80</f>
        <v>0</v>
      </c>
      <c r="U476" s="863"/>
      <c r="V476" s="864"/>
      <c r="W476" s="846">
        <f>W80</f>
        <v>0</v>
      </c>
      <c r="X476" s="863"/>
      <c r="Y476" s="864"/>
      <c r="Z476" s="846">
        <f>Z80</f>
        <v>0</v>
      </c>
      <c r="AA476" s="863"/>
      <c r="AB476" s="864"/>
      <c r="AC476" s="846">
        <f>AC80</f>
        <v>0</v>
      </c>
      <c r="AD476" s="863"/>
      <c r="AE476" s="864"/>
      <c r="AF476" s="846">
        <f>AF80</f>
        <v>0</v>
      </c>
      <c r="AG476" s="863"/>
      <c r="AH476" s="864"/>
      <c r="AI476" s="846">
        <f>AI80</f>
        <v>0</v>
      </c>
      <c r="AJ476" s="863"/>
      <c r="AK476" s="864"/>
      <c r="AL476" s="846">
        <f>AL80</f>
        <v>0</v>
      </c>
      <c r="AM476" s="863"/>
      <c r="AN476" s="864"/>
      <c r="AO476" s="846">
        <f>AO80</f>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22"/>
        <v>Programme used 1</v>
      </c>
      <c r="B477" s="849" t="s">
        <v>158</v>
      </c>
      <c r="C477" s="863"/>
      <c r="D477" s="864"/>
      <c r="E477" s="846">
        <f t="shared" si="124"/>
        <v>0</v>
      </c>
      <c r="F477" s="863"/>
      <c r="G477" s="864"/>
      <c r="H477" s="846">
        <f>H159</f>
        <v>0</v>
      </c>
      <c r="I477" s="863"/>
      <c r="J477" s="864"/>
      <c r="K477" s="846">
        <f>K159</f>
        <v>0</v>
      </c>
      <c r="L477" s="863"/>
      <c r="M477" s="864"/>
      <c r="N477" s="846">
        <f>N159</f>
        <v>0</v>
      </c>
      <c r="O477" s="863"/>
      <c r="P477" s="864"/>
      <c r="Q477" s="846">
        <f>Q159</f>
        <v>0</v>
      </c>
      <c r="R477" s="863"/>
      <c r="S477" s="864"/>
      <c r="T477" s="846">
        <f>T159</f>
        <v>0</v>
      </c>
      <c r="U477" s="863"/>
      <c r="V477" s="864"/>
      <c r="W477" s="846">
        <f>W159</f>
        <v>0</v>
      </c>
      <c r="X477" s="863"/>
      <c r="Y477" s="864"/>
      <c r="Z477" s="846">
        <f>Z159</f>
        <v>0</v>
      </c>
      <c r="AA477" s="863"/>
      <c r="AB477" s="864"/>
      <c r="AC477" s="846">
        <f>AC159</f>
        <v>0</v>
      </c>
      <c r="AD477" s="863"/>
      <c r="AE477" s="864"/>
      <c r="AF477" s="846">
        <f>AF159</f>
        <v>0</v>
      </c>
      <c r="AG477" s="863"/>
      <c r="AH477" s="864"/>
      <c r="AI477" s="846">
        <f>AI159</f>
        <v>0</v>
      </c>
      <c r="AJ477" s="863"/>
      <c r="AK477" s="864"/>
      <c r="AL477" s="846">
        <f>AL159</f>
        <v>0</v>
      </c>
      <c r="AM477" s="863"/>
      <c r="AN477" s="864"/>
      <c r="AO477" s="846">
        <f>AO159</f>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22"/>
        <v>Programme used 2</v>
      </c>
      <c r="B478" s="849" t="s">
        <v>159</v>
      </c>
      <c r="C478" s="863"/>
      <c r="D478" s="864"/>
      <c r="E478" s="846">
        <f t="shared" si="124"/>
        <v>0</v>
      </c>
      <c r="F478" s="863"/>
      <c r="G478" s="864"/>
      <c r="H478" s="846">
        <f>H160</f>
        <v>0</v>
      </c>
      <c r="I478" s="863"/>
      <c r="J478" s="864"/>
      <c r="K478" s="846">
        <f>K160</f>
        <v>0</v>
      </c>
      <c r="L478" s="863"/>
      <c r="M478" s="864"/>
      <c r="N478" s="846">
        <f>N160</f>
        <v>0</v>
      </c>
      <c r="O478" s="863"/>
      <c r="P478" s="864"/>
      <c r="Q478" s="846">
        <f>Q160</f>
        <v>0</v>
      </c>
      <c r="R478" s="863"/>
      <c r="S478" s="864"/>
      <c r="T478" s="846">
        <f>T160</f>
        <v>0</v>
      </c>
      <c r="U478" s="863"/>
      <c r="V478" s="864"/>
      <c r="W478" s="846">
        <f>W160</f>
        <v>0</v>
      </c>
      <c r="X478" s="863"/>
      <c r="Y478" s="864"/>
      <c r="Z478" s="846">
        <f>Z160</f>
        <v>0</v>
      </c>
      <c r="AA478" s="863"/>
      <c r="AB478" s="864"/>
      <c r="AC478" s="846">
        <f>AC160</f>
        <v>0</v>
      </c>
      <c r="AD478" s="863"/>
      <c r="AE478" s="864"/>
      <c r="AF478" s="846">
        <f>AF160</f>
        <v>0</v>
      </c>
      <c r="AG478" s="863"/>
      <c r="AH478" s="864"/>
      <c r="AI478" s="846">
        <f>AI160</f>
        <v>0</v>
      </c>
      <c r="AJ478" s="863"/>
      <c r="AK478" s="864"/>
      <c r="AL478" s="846">
        <f>AL160</f>
        <v>0</v>
      </c>
      <c r="AM478" s="863"/>
      <c r="AN478" s="864"/>
      <c r="AO478" s="846">
        <f>AO160</f>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22"/>
        <v>Programme used 3</v>
      </c>
      <c r="B479" s="849" t="s">
        <v>160</v>
      </c>
      <c r="C479" s="863"/>
      <c r="D479" s="864"/>
      <c r="E479" s="846">
        <f t="shared" si="124"/>
        <v>0</v>
      </c>
      <c r="F479" s="863"/>
      <c r="G479" s="864"/>
      <c r="H479" s="846">
        <f>H161</f>
        <v>0</v>
      </c>
      <c r="I479" s="863"/>
      <c r="J479" s="864"/>
      <c r="K479" s="846">
        <f>K161</f>
        <v>0</v>
      </c>
      <c r="L479" s="863"/>
      <c r="M479" s="864"/>
      <c r="N479" s="846">
        <f>N161</f>
        <v>0</v>
      </c>
      <c r="O479" s="863"/>
      <c r="P479" s="864"/>
      <c r="Q479" s="846">
        <f>Q161</f>
        <v>0</v>
      </c>
      <c r="R479" s="863"/>
      <c r="S479" s="864"/>
      <c r="T479" s="846">
        <f>T161</f>
        <v>0</v>
      </c>
      <c r="U479" s="863"/>
      <c r="V479" s="864"/>
      <c r="W479" s="846">
        <f>W161</f>
        <v>0</v>
      </c>
      <c r="X479" s="863"/>
      <c r="Y479" s="864"/>
      <c r="Z479" s="846">
        <f>Z161</f>
        <v>0</v>
      </c>
      <c r="AA479" s="863"/>
      <c r="AB479" s="864"/>
      <c r="AC479" s="846">
        <f>AC161</f>
        <v>0</v>
      </c>
      <c r="AD479" s="863"/>
      <c r="AE479" s="864"/>
      <c r="AF479" s="846">
        <f>AF161</f>
        <v>0</v>
      </c>
      <c r="AG479" s="863"/>
      <c r="AH479" s="864"/>
      <c r="AI479" s="846">
        <f>AI161</f>
        <v>0</v>
      </c>
      <c r="AJ479" s="863"/>
      <c r="AK479" s="864"/>
      <c r="AL479" s="846">
        <f>AL161</f>
        <v>0</v>
      </c>
      <c r="AM479" s="863"/>
      <c r="AN479" s="864"/>
      <c r="AO479" s="846">
        <f>AO161</f>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22"/>
        <v>[...]</v>
      </c>
      <c r="B480" s="883" t="s">
        <v>59</v>
      </c>
      <c r="C480" s="863"/>
      <c r="D480" s="864"/>
      <c r="E480" s="846">
        <f t="shared" si="124"/>
        <v>0</v>
      </c>
      <c r="F480" s="863"/>
      <c r="G480" s="864"/>
      <c r="H480" s="846"/>
      <c r="I480" s="863"/>
      <c r="J480" s="864"/>
      <c r="K480" s="846"/>
      <c r="L480" s="863"/>
      <c r="M480" s="864"/>
      <c r="N480" s="846"/>
      <c r="O480" s="863"/>
      <c r="P480" s="864"/>
      <c r="Q480" s="846"/>
      <c r="R480" s="863"/>
      <c r="S480" s="864"/>
      <c r="T480" s="846"/>
      <c r="U480" s="863"/>
      <c r="V480" s="864"/>
      <c r="W480" s="846"/>
      <c r="X480" s="863"/>
      <c r="Y480" s="864"/>
      <c r="Z480" s="846"/>
      <c r="AA480" s="863"/>
      <c r="AB480" s="864"/>
      <c r="AC480" s="846"/>
      <c r="AD480" s="863"/>
      <c r="AE480" s="864"/>
      <c r="AF480" s="846"/>
      <c r="AG480" s="863"/>
      <c r="AH480" s="864"/>
      <c r="AI480" s="846"/>
      <c r="AJ480" s="863"/>
      <c r="AK480" s="864"/>
      <c r="AL480" s="846"/>
      <c r="AM480" s="863"/>
      <c r="AN480" s="864"/>
      <c r="AO480" s="846"/>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22"/>
        <v>[...]</v>
      </c>
      <c r="B481" s="883" t="s">
        <v>59</v>
      </c>
      <c r="C481" s="863"/>
      <c r="D481" s="864"/>
      <c r="E481" s="846">
        <f t="shared" si="124"/>
        <v>0</v>
      </c>
      <c r="F481" s="863"/>
      <c r="G481" s="864"/>
      <c r="H481" s="846"/>
      <c r="I481" s="863"/>
      <c r="J481" s="864"/>
      <c r="K481" s="846"/>
      <c r="L481" s="863"/>
      <c r="M481" s="864"/>
      <c r="N481" s="846"/>
      <c r="O481" s="863"/>
      <c r="P481" s="864"/>
      <c r="Q481" s="846"/>
      <c r="R481" s="863"/>
      <c r="S481" s="864"/>
      <c r="T481" s="846"/>
      <c r="U481" s="863"/>
      <c r="V481" s="864"/>
      <c r="W481" s="846"/>
      <c r="X481" s="863"/>
      <c r="Y481" s="864"/>
      <c r="Z481" s="846"/>
      <c r="AA481" s="863"/>
      <c r="AB481" s="864"/>
      <c r="AC481" s="846"/>
      <c r="AD481" s="863"/>
      <c r="AE481" s="864"/>
      <c r="AF481" s="846"/>
      <c r="AG481" s="863"/>
      <c r="AH481" s="864"/>
      <c r="AI481" s="846"/>
      <c r="AJ481" s="863"/>
      <c r="AK481" s="864"/>
      <c r="AL481" s="846"/>
      <c r="AM481" s="863"/>
      <c r="AN481" s="864"/>
      <c r="AO481" s="846"/>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22"/>
        <v>[...]</v>
      </c>
      <c r="B482" s="883" t="s">
        <v>59</v>
      </c>
      <c r="C482" s="863"/>
      <c r="D482" s="864"/>
      <c r="E482" s="846">
        <f t="shared" si="124"/>
        <v>0</v>
      </c>
      <c r="F482" s="863"/>
      <c r="G482" s="864"/>
      <c r="H482" s="846"/>
      <c r="I482" s="863"/>
      <c r="J482" s="864"/>
      <c r="K482" s="846"/>
      <c r="L482" s="863"/>
      <c r="M482" s="864"/>
      <c r="N482" s="846"/>
      <c r="O482" s="863"/>
      <c r="P482" s="864"/>
      <c r="Q482" s="846"/>
      <c r="R482" s="863"/>
      <c r="S482" s="864"/>
      <c r="T482" s="846"/>
      <c r="U482" s="863"/>
      <c r="V482" s="864"/>
      <c r="W482" s="846"/>
      <c r="X482" s="863"/>
      <c r="Y482" s="864"/>
      <c r="Z482" s="846"/>
      <c r="AA482" s="863"/>
      <c r="AB482" s="864"/>
      <c r="AC482" s="846"/>
      <c r="AD482" s="863"/>
      <c r="AE482" s="864"/>
      <c r="AF482" s="846"/>
      <c r="AG482" s="863"/>
      <c r="AH482" s="864"/>
      <c r="AI482" s="846"/>
      <c r="AJ482" s="863"/>
      <c r="AK482" s="864"/>
      <c r="AL482" s="846"/>
      <c r="AM482" s="863"/>
      <c r="AN482" s="864"/>
      <c r="AO482" s="846"/>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22"/>
        <v>Frais administration</v>
      </c>
      <c r="B483" s="852" t="s">
        <v>149</v>
      </c>
      <c r="C483" s="865"/>
      <c r="D483" s="864"/>
      <c r="E483" s="846">
        <f t="shared" si="124"/>
        <v>571542.79999999993</v>
      </c>
      <c r="F483" s="865"/>
      <c r="G483" s="864"/>
      <c r="H483" s="846">
        <f>H85+H165</f>
        <v>36404</v>
      </c>
      <c r="I483" s="865"/>
      <c r="J483" s="864"/>
      <c r="K483" s="846">
        <f>K85+K165</f>
        <v>38224.199999999997</v>
      </c>
      <c r="L483" s="865"/>
      <c r="M483" s="864"/>
      <c r="N483" s="846">
        <f>N85+N165</f>
        <v>55971.149999999994</v>
      </c>
      <c r="O483" s="865"/>
      <c r="P483" s="864"/>
      <c r="Q483" s="846">
        <f>Q85+Q165</f>
        <v>57791.349999999991</v>
      </c>
      <c r="R483" s="865"/>
      <c r="S483" s="864"/>
      <c r="T483" s="846">
        <f>T85+T165</f>
        <v>60066.599999999991</v>
      </c>
      <c r="U483" s="865"/>
      <c r="V483" s="864"/>
      <c r="W483" s="846">
        <f>W85+W165</f>
        <v>55516.099999999991</v>
      </c>
      <c r="X483" s="865"/>
      <c r="Y483" s="864"/>
      <c r="Z483" s="846">
        <f>Z85+Z165</f>
        <v>50965.599999999991</v>
      </c>
      <c r="AA483" s="865"/>
      <c r="AB483" s="864"/>
      <c r="AC483" s="846">
        <f>AC85+AC165</f>
        <v>47780.25</v>
      </c>
      <c r="AD483" s="865"/>
      <c r="AE483" s="864"/>
      <c r="AF483" s="846">
        <f>AF85+AF165</f>
        <v>46870.149999999994</v>
      </c>
      <c r="AG483" s="865"/>
      <c r="AH483" s="864"/>
      <c r="AI483" s="846">
        <f>AI85+AI165</f>
        <v>45960.049999999996</v>
      </c>
      <c r="AJ483" s="865"/>
      <c r="AK483" s="864"/>
      <c r="AL483" s="846">
        <f>AL85+AL165</f>
        <v>40954.5</v>
      </c>
      <c r="AM483" s="865"/>
      <c r="AN483" s="864"/>
      <c r="AO483" s="846">
        <f>AO85+AO165</f>
        <v>35038.85</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22"/>
        <v>TOTAL AUTRES REVENUS</v>
      </c>
      <c r="B484" s="1214" t="s">
        <v>217</v>
      </c>
      <c r="C484" s="1215">
        <f>IFERROR(E484/+E410,0)</f>
        <v>0.18401369103560486</v>
      </c>
      <c r="D484" s="1228"/>
      <c r="E484" s="1217">
        <f>SUM(E472:E483)</f>
        <v>1762871.8024880025</v>
      </c>
      <c r="F484" s="1215">
        <f>IFERROR(H484/+H410,0)</f>
        <v>0.16166933601200112</v>
      </c>
      <c r="G484" s="1228"/>
      <c r="H484" s="1217">
        <f>SUM(H472:H483)</f>
        <v>99158.401846134992</v>
      </c>
      <c r="I484" s="1215">
        <f>IFERROR(K484/+K410,0)</f>
        <v>0.17148599515683247</v>
      </c>
      <c r="J484" s="1228"/>
      <c r="K484" s="1217">
        <f>SUM(K472:K483)</f>
        <v>106435.50635449456</v>
      </c>
      <c r="L484" s="1215">
        <f>IFERROR(N484/+N410,0)</f>
        <v>0.2502589268201898</v>
      </c>
      <c r="M484" s="1228"/>
      <c r="N484" s="1217">
        <f>SUM(N472:N483)</f>
        <v>211923.88340465195</v>
      </c>
      <c r="O484" s="1215">
        <f>IFERROR(Q484/+Q410,0)</f>
        <v>0.17956844549490231</v>
      </c>
      <c r="P484" s="1228"/>
      <c r="Q484" s="1217">
        <f>SUM(Q472:Q483)</f>
        <v>161472.53565883171</v>
      </c>
      <c r="R484" s="1215">
        <f>IFERROR(T484/+T410,0)</f>
        <v>0.17533547588475507</v>
      </c>
      <c r="S484" s="1228"/>
      <c r="T484" s="1217">
        <f>SUM(T472:T483)</f>
        <v>167840.46404010139</v>
      </c>
      <c r="U484" s="1215">
        <f>IFERROR(W484/+W410,0)</f>
        <v>0.23972533833242782</v>
      </c>
      <c r="V484" s="1228"/>
      <c r="W484" s="1217">
        <f>SUM(W472:W483)</f>
        <v>207376.15502338228</v>
      </c>
      <c r="X484" s="1215">
        <f>IFERROR(Z484/+Z410,0)</f>
        <v>0.1669251038133861</v>
      </c>
      <c r="Y484" s="1228"/>
      <c r="Z484" s="1217">
        <f>SUM(Z472:Z483)</f>
        <v>136911.84600666314</v>
      </c>
      <c r="AA484" s="1215">
        <f>IFERROR(AC484/+AC410,0)</f>
        <v>0.157883346339143</v>
      </c>
      <c r="AB484" s="1228"/>
      <c r="AC484" s="1217">
        <f>SUM(AC472:AC483)</f>
        <v>125541.1392441238</v>
      </c>
      <c r="AD484" s="1215">
        <f>IFERROR(AF484/+AF410,0)</f>
        <v>0.21332543538579832</v>
      </c>
      <c r="AE484" s="1228"/>
      <c r="AF484" s="1217">
        <f>SUM(AF472:AF483)</f>
        <v>176902.58698994401</v>
      </c>
      <c r="AG484" s="1215">
        <f>IFERROR(AI484/+AI410,0)</f>
        <v>0.1439037443279895</v>
      </c>
      <c r="AH484" s="1228"/>
      <c r="AI484" s="1217">
        <f>SUM(AI472:AI483)</f>
        <v>119628.26086285411</v>
      </c>
      <c r="AJ484" s="1215">
        <f>IFERROR(AL484/+AL410,0)</f>
        <v>0.12228264645924031</v>
      </c>
      <c r="AK484" s="1228"/>
      <c r="AL484" s="1217">
        <f>SUM(AL472:AL483)</f>
        <v>105073.12797322488</v>
      </c>
      <c r="AM484" s="1215">
        <f>IFERROR(AO484/+AO410,0)</f>
        <v>0.22504724113748797</v>
      </c>
      <c r="AN484" s="1228"/>
      <c r="AO484" s="1217">
        <f>SUM(AO472:AO483)</f>
        <v>144607.89508359565</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22"/>
        <v>0</v>
      </c>
      <c r="B485" s="1229"/>
      <c r="C485" s="1229"/>
      <c r="D485" s="1230"/>
      <c r="E485" s="1227"/>
      <c r="F485" s="1229"/>
      <c r="G485" s="1230"/>
      <c r="H485" s="1227"/>
      <c r="I485" s="1229"/>
      <c r="J485" s="1230"/>
      <c r="K485" s="1227"/>
      <c r="L485" s="1229"/>
      <c r="M485" s="1230"/>
      <c r="N485" s="1227"/>
      <c r="O485" s="1229"/>
      <c r="P485" s="1230"/>
      <c r="Q485" s="1227"/>
      <c r="R485" s="1229"/>
      <c r="S485" s="1230"/>
      <c r="T485" s="1227"/>
      <c r="U485" s="1229"/>
      <c r="V485" s="1230"/>
      <c r="W485" s="1227"/>
      <c r="X485" s="1229"/>
      <c r="Y485" s="1230"/>
      <c r="Z485" s="1227"/>
      <c r="AA485" s="1229"/>
      <c r="AB485" s="1230"/>
      <c r="AC485" s="1227"/>
      <c r="AD485" s="1229"/>
      <c r="AE485" s="1230"/>
      <c r="AF485" s="1227"/>
      <c r="AG485" s="1229"/>
      <c r="AH485" s="1230"/>
      <c r="AI485" s="1227"/>
      <c r="AJ485" s="1229"/>
      <c r="AK485" s="1230"/>
      <c r="AL485" s="1227"/>
      <c r="AM485" s="1229"/>
      <c r="AN485" s="1230"/>
      <c r="AO485" s="1227"/>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22"/>
        <v>BAIIA OPÉRATIONNEL</v>
      </c>
      <c r="B486" s="1231" t="s">
        <v>218</v>
      </c>
      <c r="C486" s="866" t="s">
        <v>219</v>
      </c>
      <c r="D486" s="867">
        <f>IFERROR(E486/E409,0)</f>
        <v>3.399850395569895E-2</v>
      </c>
      <c r="E486" s="868">
        <f>E410-E471+E484</f>
        <v>2255513.479543719</v>
      </c>
      <c r="F486" s="869" t="s">
        <v>219</v>
      </c>
      <c r="G486" s="870">
        <f>IFERROR(H486/H409,0)</f>
        <v>-2.0004316106804641E-3</v>
      </c>
      <c r="H486" s="871">
        <f>H410-H471+H484</f>
        <v>-8480.8140929176443</v>
      </c>
      <c r="I486" s="869" t="s">
        <v>219</v>
      </c>
      <c r="J486" s="870">
        <f>IFERROR(K486/K409,0)</f>
        <v>1.4007886724083396E-2</v>
      </c>
      <c r="K486" s="871">
        <f>K410-K471+K484</f>
        <v>60951.168132057719</v>
      </c>
      <c r="L486" s="869" t="s">
        <v>219</v>
      </c>
      <c r="M486" s="870">
        <f>IFERROR(N486/N409,0)</f>
        <v>5.0478617732755707E-2</v>
      </c>
      <c r="N486" s="871">
        <f>N410-N471+N484</f>
        <v>302755.88681522926</v>
      </c>
      <c r="O486" s="869" t="s">
        <v>219</v>
      </c>
      <c r="P486" s="870">
        <f>IFERROR(Q486/Q409,0)</f>
        <v>3.6080872506932607E-2</v>
      </c>
      <c r="Q486" s="871">
        <f>Q410-Q471+Q484</f>
        <v>226191.24203129997</v>
      </c>
      <c r="R486" s="869" t="s">
        <v>219</v>
      </c>
      <c r="S486" s="870">
        <f>IFERROR(T486/T409,0)</f>
        <v>4.3132905077894482E-2</v>
      </c>
      <c r="T486" s="871">
        <f>T410-T471+T484</f>
        <v>288042.44573866099</v>
      </c>
      <c r="U486" s="869" t="s">
        <v>219</v>
      </c>
      <c r="V486" s="870">
        <f>IFERROR(W486/W409,0)</f>
        <v>5.2947084990005694E-2</v>
      </c>
      <c r="W486" s="871">
        <f>W410-W471+W484</f>
        <v>337402.83285486407</v>
      </c>
      <c r="X486" s="869" t="s">
        <v>219</v>
      </c>
      <c r="Y486" s="870">
        <f>IFERROR(Z486/Z409,0)</f>
        <v>2.960463307003371E-2</v>
      </c>
      <c r="Z486" s="871">
        <f>Z410-Z471+Z484</f>
        <v>179051.15465884571</v>
      </c>
      <c r="AA486" s="869" t="s">
        <v>219</v>
      </c>
      <c r="AB486" s="870">
        <f>IFERROR(AC486/AC409,0)</f>
        <v>3.6324809909450147E-2</v>
      </c>
      <c r="AC486" s="871">
        <f>AC410-AC471+AC484</f>
        <v>208064.39024419695</v>
      </c>
      <c r="AD486" s="869" t="s">
        <v>219</v>
      </c>
      <c r="AE486" s="870">
        <f>IFERROR(AF486/AF409,0)</f>
        <v>5.3262964382482306E-2</v>
      </c>
      <c r="AF486" s="871">
        <f>AF410-AF471+AF484</f>
        <v>294138.64942079596</v>
      </c>
      <c r="AG486" s="869" t="s">
        <v>219</v>
      </c>
      <c r="AH486" s="870">
        <f>IFERROR(AI486/AI409,0)</f>
        <v>2.4513677859063332E-2</v>
      </c>
      <c r="AI486" s="871">
        <f>AI410-AI471+AI484</f>
        <v>140006.00598241508</v>
      </c>
      <c r="AJ486" s="869" t="s">
        <v>219</v>
      </c>
      <c r="AK486" s="870">
        <f>IFERROR(AL486/AL409,0)</f>
        <v>3.4019364823057459E-2</v>
      </c>
      <c r="AL486" s="871">
        <f>AL410-AL471+AL484</f>
        <v>176724.40487892544</v>
      </c>
      <c r="AM486" s="869" t="s">
        <v>219</v>
      </c>
      <c r="AN486" s="870">
        <f>IFERROR(AO486/AO409,0)</f>
        <v>1.1980193536549947E-2</v>
      </c>
      <c r="AO486" s="871">
        <f>AO410-AO471+AO484</f>
        <v>50666.112879343447</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1173"/>
      <c r="C487" s="751"/>
      <c r="D487" s="751"/>
      <c r="E487" s="872"/>
      <c r="F487" s="751"/>
      <c r="G487" s="751"/>
      <c r="H487" s="872"/>
      <c r="I487" s="751"/>
      <c r="J487" s="751"/>
      <c r="K487" s="872"/>
      <c r="L487" s="751"/>
      <c r="M487" s="751"/>
      <c r="N487" s="872"/>
      <c r="O487" s="751"/>
      <c r="P487" s="751"/>
      <c r="Q487" s="872"/>
      <c r="R487" s="751"/>
      <c r="S487" s="751"/>
      <c r="T487" s="872"/>
      <c r="U487" s="751"/>
      <c r="V487" s="751"/>
      <c r="W487" s="872"/>
      <c r="X487" s="751"/>
      <c r="Y487" s="751"/>
      <c r="Z487" s="872"/>
      <c r="AA487" s="751"/>
      <c r="AB487" s="751"/>
      <c r="AC487" s="872"/>
      <c r="AD487" s="751"/>
      <c r="AE487" s="751"/>
      <c r="AF487" s="872"/>
      <c r="AG487" s="751"/>
      <c r="AH487" s="751"/>
      <c r="AI487" s="872"/>
      <c r="AJ487" s="751"/>
      <c r="AK487" s="751"/>
      <c r="AL487" s="872"/>
      <c r="AM487" s="751"/>
      <c r="AN487" s="751"/>
      <c r="AO487" s="872"/>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1173" t="str">
        <f>B4</f>
        <v>Budget 2025</v>
      </c>
      <c r="C488" s="784" t="s">
        <v>220</v>
      </c>
      <c r="D488" s="784"/>
      <c r="E488" s="784"/>
      <c r="F488" s="784"/>
      <c r="G488" s="784"/>
      <c r="H488" s="784"/>
      <c r="I488" s="784"/>
      <c r="J488" s="784"/>
      <c r="K488" s="784"/>
      <c r="L488" s="784"/>
      <c r="M488" s="784"/>
      <c r="N488" s="784"/>
      <c r="O488" s="784"/>
      <c r="P488" s="784"/>
      <c r="Q488" s="784"/>
      <c r="R488" s="784"/>
      <c r="S488" s="784"/>
      <c r="T488" s="784"/>
      <c r="U488" s="784"/>
      <c r="V488" s="784"/>
      <c r="W488" s="784"/>
      <c r="X488" s="784"/>
      <c r="Y488" s="784"/>
      <c r="Z488" s="784"/>
      <c r="AA488" s="784"/>
      <c r="AB488" s="784"/>
      <c r="AC488" s="784"/>
      <c r="AD488" s="784"/>
      <c r="AE488" s="784"/>
      <c r="AF488" s="784"/>
      <c r="AG488" s="784"/>
      <c r="AH488" s="784"/>
      <c r="AI488" s="784"/>
      <c r="AJ488" s="784"/>
      <c r="AK488" s="784"/>
      <c r="AL488" s="784"/>
      <c r="AM488" s="784"/>
      <c r="AN488" s="784"/>
      <c r="AO488" s="784"/>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1173"/>
      <c r="C489" s="751"/>
      <c r="D489" s="751"/>
      <c r="E489" s="872"/>
      <c r="F489" s="751"/>
      <c r="G489" s="751"/>
      <c r="H489" s="872"/>
      <c r="I489" s="751"/>
      <c r="J489" s="751"/>
      <c r="K489" s="872"/>
      <c r="L489" s="751"/>
      <c r="M489" s="751"/>
      <c r="N489" s="872"/>
      <c r="O489" s="751"/>
      <c r="P489" s="751"/>
      <c r="Q489" s="872"/>
      <c r="R489" s="751"/>
      <c r="S489" s="751"/>
      <c r="T489" s="872"/>
      <c r="U489" s="751"/>
      <c r="V489" s="751"/>
      <c r="W489" s="872"/>
      <c r="X489" s="751"/>
      <c r="Y489" s="751"/>
      <c r="Z489" s="872"/>
      <c r="AA489" s="751"/>
      <c r="AB489" s="751"/>
      <c r="AC489" s="872"/>
      <c r="AD489" s="751"/>
      <c r="AE489" s="751"/>
      <c r="AF489" s="872"/>
      <c r="AG489" s="751"/>
      <c r="AH489" s="751"/>
      <c r="AI489" s="872"/>
      <c r="AJ489" s="751"/>
      <c r="AK489" s="751"/>
      <c r="AL489" s="872"/>
      <c r="AM489" s="751"/>
      <c r="AN489" s="751"/>
      <c r="AO489" s="872"/>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1173"/>
      <c r="C490" s="751"/>
      <c r="D490" s="751"/>
      <c r="E490" s="872"/>
      <c r="F490" s="751"/>
      <c r="G490" s="751"/>
      <c r="H490" s="872"/>
      <c r="I490" s="751"/>
      <c r="J490" s="751"/>
      <c r="K490" s="872"/>
      <c r="L490" s="751"/>
      <c r="M490" s="751"/>
      <c r="N490" s="872"/>
      <c r="O490" s="751"/>
      <c r="P490" s="751"/>
      <c r="Q490" s="872"/>
      <c r="R490" s="751"/>
      <c r="S490" s="751"/>
      <c r="T490" s="872"/>
      <c r="U490" s="751"/>
      <c r="V490" s="751"/>
      <c r="W490" s="872"/>
      <c r="X490" s="751"/>
      <c r="Y490" s="751"/>
      <c r="Z490" s="872"/>
      <c r="AA490" s="751"/>
      <c r="AB490" s="751"/>
      <c r="AC490" s="872"/>
      <c r="AD490" s="751"/>
      <c r="AE490" s="751"/>
      <c r="AF490" s="872"/>
      <c r="AG490" s="751"/>
      <c r="AH490" s="751"/>
      <c r="AI490" s="872"/>
      <c r="AJ490" s="751"/>
      <c r="AK490" s="751"/>
      <c r="AL490" s="872"/>
      <c r="AM490" s="751"/>
      <c r="AN490" s="751"/>
      <c r="AO490" s="872"/>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1173"/>
      <c r="C491" s="751"/>
      <c r="D491" s="751"/>
      <c r="E491" s="872"/>
      <c r="F491" s="751"/>
      <c r="G491" s="751"/>
      <c r="H491" s="872"/>
      <c r="I491" s="751"/>
      <c r="J491" s="751"/>
      <c r="K491" s="872"/>
      <c r="L491" s="751"/>
      <c r="M491" s="751"/>
      <c r="N491" s="872"/>
      <c r="O491" s="751"/>
      <c r="P491" s="751"/>
      <c r="Q491" s="872"/>
      <c r="R491" s="751"/>
      <c r="S491" s="751"/>
      <c r="T491" s="872"/>
      <c r="U491" s="751"/>
      <c r="V491" s="751"/>
      <c r="W491" s="872"/>
      <c r="X491" s="751"/>
      <c r="Y491" s="751"/>
      <c r="Z491" s="872"/>
      <c r="AA491" s="751"/>
      <c r="AB491" s="751"/>
      <c r="AC491" s="872"/>
      <c r="AD491" s="751"/>
      <c r="AE491" s="751"/>
      <c r="AF491" s="872"/>
      <c r="AG491" s="751"/>
      <c r="AH491" s="751"/>
      <c r="AI491" s="872"/>
      <c r="AJ491" s="751"/>
      <c r="AK491" s="751"/>
      <c r="AL491" s="872"/>
      <c r="AM491" s="751"/>
      <c r="AN491" s="751"/>
      <c r="AO491" s="872"/>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1232" t="s">
        <v>218</v>
      </c>
      <c r="C492" s="873" t="s">
        <v>219</v>
      </c>
      <c r="D492" s="874">
        <f>IFERROR(E492/E409,0)</f>
        <v>3.399850395569895E-2</v>
      </c>
      <c r="E492" s="875">
        <f>E486</f>
        <v>2255513.479543719</v>
      </c>
      <c r="F492" s="876" t="s">
        <v>219</v>
      </c>
      <c r="G492" s="874">
        <f>IFERROR(H492/H409,0)</f>
        <v>-2.0004316106804641E-3</v>
      </c>
      <c r="H492" s="877">
        <f>H486</f>
        <v>-8480.8140929176443</v>
      </c>
      <c r="I492" s="876" t="s">
        <v>219</v>
      </c>
      <c r="J492" s="874">
        <f>IFERROR(K492/K409,0)</f>
        <v>1.4007886724083396E-2</v>
      </c>
      <c r="K492" s="877">
        <f>K486</f>
        <v>60951.168132057719</v>
      </c>
      <c r="L492" s="876" t="s">
        <v>219</v>
      </c>
      <c r="M492" s="874">
        <f>IFERROR(N492/N409,0)</f>
        <v>5.0478617732755707E-2</v>
      </c>
      <c r="N492" s="877">
        <f>N486</f>
        <v>302755.88681522926</v>
      </c>
      <c r="O492" s="876" t="s">
        <v>219</v>
      </c>
      <c r="P492" s="874">
        <f>IFERROR(Q492/Q409,0)</f>
        <v>3.6080872506932607E-2</v>
      </c>
      <c r="Q492" s="877">
        <f>Q486</f>
        <v>226191.24203129997</v>
      </c>
      <c r="R492" s="876" t="s">
        <v>219</v>
      </c>
      <c r="S492" s="874">
        <f>IFERROR(T492/T409,0)</f>
        <v>4.3132905077894482E-2</v>
      </c>
      <c r="T492" s="877">
        <f>T486</f>
        <v>288042.44573866099</v>
      </c>
      <c r="U492" s="876" t="s">
        <v>219</v>
      </c>
      <c r="V492" s="874">
        <f>IFERROR(W492/W409,0)</f>
        <v>5.2947084990005694E-2</v>
      </c>
      <c r="W492" s="877">
        <f>W486</f>
        <v>337402.83285486407</v>
      </c>
      <c r="X492" s="876" t="s">
        <v>219</v>
      </c>
      <c r="Y492" s="874">
        <f>IFERROR(Z492/Z409,0)</f>
        <v>2.960463307003371E-2</v>
      </c>
      <c r="Z492" s="877">
        <f>Z486</f>
        <v>179051.15465884571</v>
      </c>
      <c r="AA492" s="876" t="s">
        <v>219</v>
      </c>
      <c r="AB492" s="874">
        <f>IFERROR(AC492/AC409,0)</f>
        <v>3.6324809909450147E-2</v>
      </c>
      <c r="AC492" s="877">
        <f>AC486</f>
        <v>208064.39024419695</v>
      </c>
      <c r="AD492" s="876" t="s">
        <v>219</v>
      </c>
      <c r="AE492" s="874">
        <f>IFERROR(AF492/AF409,0)</f>
        <v>5.3262964382482306E-2</v>
      </c>
      <c r="AF492" s="877">
        <f>AF486</f>
        <v>294138.64942079596</v>
      </c>
      <c r="AG492" s="876" t="s">
        <v>219</v>
      </c>
      <c r="AH492" s="874">
        <f>IFERROR(AI492/AI409,0)</f>
        <v>2.4513677859063332E-2</v>
      </c>
      <c r="AI492" s="877">
        <f>AI486</f>
        <v>140006.00598241508</v>
      </c>
      <c r="AJ492" s="876" t="s">
        <v>219</v>
      </c>
      <c r="AK492" s="874">
        <f>IFERROR(AL492/AL409,0)</f>
        <v>3.4019364823057459E-2</v>
      </c>
      <c r="AL492" s="877">
        <f>AL486</f>
        <v>176724.40487892544</v>
      </c>
      <c r="AM492" s="876" t="s">
        <v>219</v>
      </c>
      <c r="AN492" s="874">
        <f>IFERROR(AO492/AO409,0)</f>
        <v>1.1980193536549947E-2</v>
      </c>
      <c r="AO492" s="877">
        <f>AO486</f>
        <v>50666.112879343447</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1233"/>
      <c r="C493" s="878"/>
      <c r="D493" s="878"/>
      <c r="E493" s="878"/>
      <c r="F493" s="879"/>
      <c r="G493" s="878"/>
      <c r="H493" s="880"/>
      <c r="I493" s="879"/>
      <c r="J493" s="878"/>
      <c r="K493" s="880"/>
      <c r="L493" s="879"/>
      <c r="M493" s="878"/>
      <c r="N493" s="880"/>
      <c r="O493" s="879"/>
      <c r="P493" s="878"/>
      <c r="Q493" s="880"/>
      <c r="R493" s="879"/>
      <c r="S493" s="878"/>
      <c r="T493" s="880"/>
      <c r="U493" s="879"/>
      <c r="V493" s="878"/>
      <c r="W493" s="880"/>
      <c r="X493" s="879"/>
      <c r="Y493" s="878"/>
      <c r="Z493" s="880"/>
      <c r="AA493" s="879"/>
      <c r="AB493" s="878"/>
      <c r="AC493" s="880"/>
      <c r="AD493" s="879"/>
      <c r="AE493" s="878"/>
      <c r="AF493" s="880"/>
      <c r="AG493" s="879"/>
      <c r="AH493" s="878"/>
      <c r="AI493" s="880"/>
      <c r="AJ493" s="879"/>
      <c r="AK493" s="878"/>
      <c r="AL493" s="880"/>
      <c r="AM493" s="879"/>
      <c r="AN493" s="878"/>
      <c r="AO493" s="880"/>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25">B494</f>
        <v>Amortissement</v>
      </c>
      <c r="B494" s="1234" t="s">
        <v>221</v>
      </c>
      <c r="C494" s="845"/>
      <c r="D494" s="848"/>
      <c r="E494" s="881">
        <f>+SUM(H494,K494,N494,Q494,T494,W494,Z494,AC494,AF494,AI494,AL494,AO494)</f>
        <v>114200.00000000001</v>
      </c>
      <c r="F494" s="849"/>
      <c r="G494" s="848"/>
      <c r="H494" s="853">
        <f>SUM([1]DEPA!$C$288:$C$288)</f>
        <v>9516.6666666666661</v>
      </c>
      <c r="I494" s="849"/>
      <c r="J494" s="848"/>
      <c r="K494" s="853">
        <f>SUM([1]DEPA!$D$288:$D$288)</f>
        <v>9516.6666666666661</v>
      </c>
      <c r="L494" s="849"/>
      <c r="M494" s="848"/>
      <c r="N494" s="853">
        <f>SUM([1]DEPA!$E$288:$E$288)</f>
        <v>9516.6666666666661</v>
      </c>
      <c r="O494" s="849"/>
      <c r="P494" s="848"/>
      <c r="Q494" s="853">
        <f>SUM([1]DEPA!$F$288:$F$288)</f>
        <v>9516.6666666666661</v>
      </c>
      <c r="R494" s="849"/>
      <c r="S494" s="848"/>
      <c r="T494" s="853">
        <f>SUM([1]DEPA!$G$288:$G$288)</f>
        <v>9516.6666666666661</v>
      </c>
      <c r="U494" s="849"/>
      <c r="V494" s="848"/>
      <c r="W494" s="853">
        <f>SUM([1]DEPA!$H$288:$H$288)</f>
        <v>9516.6666666666661</v>
      </c>
      <c r="X494" s="849"/>
      <c r="Y494" s="848"/>
      <c r="Z494" s="853">
        <f>SUM([1]DEPA!$I$288:$I$288)</f>
        <v>9516.6666666666661</v>
      </c>
      <c r="AA494" s="849"/>
      <c r="AB494" s="848"/>
      <c r="AC494" s="853">
        <f>SUM([1]DEPA!$J$288:$J$288)</f>
        <v>9516.6666666666661</v>
      </c>
      <c r="AD494" s="849"/>
      <c r="AE494" s="848"/>
      <c r="AF494" s="853">
        <f>SUM([1]DEPA!$K$288:$K$288)</f>
        <v>9516.6666666666661</v>
      </c>
      <c r="AG494" s="849"/>
      <c r="AH494" s="848"/>
      <c r="AI494" s="853">
        <f>SUM([1]DEPA!$L$288:$L$288)</f>
        <v>9516.6666666666661</v>
      </c>
      <c r="AJ494" s="849"/>
      <c r="AK494" s="848"/>
      <c r="AL494" s="853">
        <f>SUM([1]DEPA!$M$288:$M$288)</f>
        <v>9516.6666666666661</v>
      </c>
      <c r="AM494" s="849"/>
      <c r="AN494" s="848"/>
      <c r="AO494" s="853">
        <f>SUM([1]DEPA!$N$288:$N$288)</f>
        <v>9516.6666666666661</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25"/>
        <v>Intérêts sur marge</v>
      </c>
      <c r="B495" s="1234" t="s">
        <v>222</v>
      </c>
      <c r="C495" s="783"/>
      <c r="D495" s="751"/>
      <c r="E495" s="881">
        <f>+SUM(H495,K495,N495,Q495,T495,W495,Z495,AC495,AF495,AI495,AL495,AO495)</f>
        <v>0</v>
      </c>
      <c r="F495" s="882"/>
      <c r="G495" s="751"/>
      <c r="H495" s="853">
        <v>0</v>
      </c>
      <c r="I495" s="882"/>
      <c r="J495" s="751"/>
      <c r="K495" s="853">
        <v>0</v>
      </c>
      <c r="L495" s="882"/>
      <c r="M495" s="751"/>
      <c r="N495" s="853">
        <v>0</v>
      </c>
      <c r="O495" s="882"/>
      <c r="P495" s="751"/>
      <c r="Q495" s="853">
        <v>0</v>
      </c>
      <c r="R495" s="882"/>
      <c r="S495" s="751"/>
      <c r="T495" s="853">
        <v>0</v>
      </c>
      <c r="U495" s="882"/>
      <c r="V495" s="751"/>
      <c r="W495" s="853">
        <v>0</v>
      </c>
      <c r="X495" s="882"/>
      <c r="Y495" s="751"/>
      <c r="Z495" s="853">
        <v>0</v>
      </c>
      <c r="AA495" s="882"/>
      <c r="AB495" s="751"/>
      <c r="AC495" s="853">
        <v>0</v>
      </c>
      <c r="AD495" s="882"/>
      <c r="AE495" s="751"/>
      <c r="AF495" s="853">
        <v>0</v>
      </c>
      <c r="AG495" s="882"/>
      <c r="AH495" s="751"/>
      <c r="AI495" s="853">
        <v>0</v>
      </c>
      <c r="AJ495" s="882"/>
      <c r="AK495" s="751"/>
      <c r="AL495" s="853">
        <v>0</v>
      </c>
      <c r="AM495" s="882"/>
      <c r="AN495" s="751"/>
      <c r="AO495" s="853">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25"/>
        <v>Intérêts sur prêt</v>
      </c>
      <c r="B496" s="1234" t="s">
        <v>223</v>
      </c>
      <c r="C496" s="751"/>
      <c r="D496" s="751"/>
      <c r="E496" s="881">
        <f>+SUM(H496,K496,N496,Q496,T496,W496,Z496,AC496,AF496,AI496,AL496,AO496)</f>
        <v>0</v>
      </c>
      <c r="F496" s="883"/>
      <c r="G496" s="751"/>
      <c r="H496" s="853">
        <v>0</v>
      </c>
      <c r="I496" s="883"/>
      <c r="J496" s="751"/>
      <c r="K496" s="853">
        <v>0</v>
      </c>
      <c r="L496" s="883"/>
      <c r="M496" s="751"/>
      <c r="N496" s="853">
        <v>0</v>
      </c>
      <c r="O496" s="883"/>
      <c r="P496" s="751"/>
      <c r="Q496" s="853">
        <v>0</v>
      </c>
      <c r="R496" s="883"/>
      <c r="S496" s="751"/>
      <c r="T496" s="853">
        <v>0</v>
      </c>
      <c r="U496" s="883"/>
      <c r="V496" s="751"/>
      <c r="W496" s="853">
        <v>0</v>
      </c>
      <c r="X496" s="883"/>
      <c r="Y496" s="751"/>
      <c r="Z496" s="853">
        <v>0</v>
      </c>
      <c r="AA496" s="883"/>
      <c r="AB496" s="751"/>
      <c r="AC496" s="853">
        <v>0</v>
      </c>
      <c r="AD496" s="883"/>
      <c r="AE496" s="751"/>
      <c r="AF496" s="853">
        <v>0</v>
      </c>
      <c r="AG496" s="883"/>
      <c r="AH496" s="751"/>
      <c r="AI496" s="853">
        <v>0</v>
      </c>
      <c r="AJ496" s="883"/>
      <c r="AK496" s="751"/>
      <c r="AL496" s="853">
        <v>0</v>
      </c>
      <c r="AM496" s="883"/>
      <c r="AN496" s="751"/>
      <c r="AO496" s="853">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25"/>
        <v>Intérêts sur avance</v>
      </c>
      <c r="B497" s="1234" t="s">
        <v>224</v>
      </c>
      <c r="C497" s="792"/>
      <c r="D497" s="792"/>
      <c r="E497" s="881">
        <f>+SUM(H497,K497,N497,Q497,T497,W497,Z497,AC497,AF497,AI497,AL497,AO497)</f>
        <v>0</v>
      </c>
      <c r="F497" s="884"/>
      <c r="G497" s="792"/>
      <c r="H497" s="853"/>
      <c r="I497" s="884"/>
      <c r="J497" s="792"/>
      <c r="K497" s="853"/>
      <c r="L497" s="884"/>
      <c r="M497" s="792"/>
      <c r="N497" s="853"/>
      <c r="O497" s="884"/>
      <c r="P497" s="792"/>
      <c r="Q497" s="853"/>
      <c r="R497" s="884"/>
      <c r="S497" s="792"/>
      <c r="T497" s="853"/>
      <c r="U497" s="884"/>
      <c r="V497" s="792"/>
      <c r="W497" s="853"/>
      <c r="X497" s="884"/>
      <c r="Y497" s="792"/>
      <c r="Z497" s="853"/>
      <c r="AA497" s="884"/>
      <c r="AB497" s="792"/>
      <c r="AC497" s="853"/>
      <c r="AD497" s="884"/>
      <c r="AE497" s="792"/>
      <c r="AF497" s="853"/>
      <c r="AG497" s="884"/>
      <c r="AH497" s="792"/>
      <c r="AI497" s="853"/>
      <c r="AJ497" s="884"/>
      <c r="AK497" s="792"/>
      <c r="AL497" s="853"/>
      <c r="AM497" s="884"/>
      <c r="AN497" s="792"/>
      <c r="AO497" s="853"/>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25"/>
        <v>[...]</v>
      </c>
      <c r="B498" s="1235" t="s">
        <v>59</v>
      </c>
      <c r="C498" s="792"/>
      <c r="D498" s="792"/>
      <c r="E498" s="881"/>
      <c r="F498" s="884"/>
      <c r="G498" s="792"/>
      <c r="H498" s="846"/>
      <c r="I498" s="884"/>
      <c r="J498" s="792"/>
      <c r="K498" s="846"/>
      <c r="L498" s="884"/>
      <c r="M498" s="792"/>
      <c r="N498" s="846"/>
      <c r="O498" s="884"/>
      <c r="P498" s="792"/>
      <c r="Q498" s="846"/>
      <c r="R498" s="884"/>
      <c r="S498" s="792"/>
      <c r="T498" s="846"/>
      <c r="U498" s="884"/>
      <c r="V498" s="792"/>
      <c r="W498" s="846"/>
      <c r="X498" s="884"/>
      <c r="Y498" s="792"/>
      <c r="Z498" s="846"/>
      <c r="AA498" s="884"/>
      <c r="AB498" s="792"/>
      <c r="AC498" s="846"/>
      <c r="AD498" s="884"/>
      <c r="AE498" s="792"/>
      <c r="AF498" s="846"/>
      <c r="AG498" s="884"/>
      <c r="AH498" s="792"/>
      <c r="AI498" s="846"/>
      <c r="AJ498" s="884"/>
      <c r="AK498" s="792"/>
      <c r="AL498" s="846"/>
      <c r="AM498" s="884"/>
      <c r="AN498" s="792"/>
      <c r="AO498" s="846"/>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25"/>
        <v>Revenus d'intérêts floor plan</v>
      </c>
      <c r="B499" s="1234" t="s">
        <v>3860</v>
      </c>
      <c r="C499" s="792"/>
      <c r="D499" s="792"/>
      <c r="E499" s="881">
        <f>+SUM(H499,K499,N499,Q499,T499,W499,Z499,AC499,AF499,AI499,AL499,AO499)</f>
        <v>0</v>
      </c>
      <c r="F499" s="884"/>
      <c r="G499" s="792"/>
      <c r="H499" s="846">
        <f>-'[1]Vehicules usages 2026'!E34</f>
        <v>0</v>
      </c>
      <c r="I499" s="884"/>
      <c r="J499" s="792"/>
      <c r="K499" s="846">
        <f>-'[1]Vehicules usages 2026'!F34</f>
        <v>0</v>
      </c>
      <c r="L499" s="884"/>
      <c r="M499" s="792"/>
      <c r="N499" s="846">
        <f>-'[1]Vehicules usages 2026'!G34</f>
        <v>0</v>
      </c>
      <c r="O499" s="884"/>
      <c r="P499" s="792"/>
      <c r="Q499" s="846">
        <f>-'[1]Vehicules usages 2026'!H34</f>
        <v>0</v>
      </c>
      <c r="R499" s="884"/>
      <c r="S499" s="792"/>
      <c r="T499" s="846">
        <f>-'[1]Vehicules usages 2026'!I34</f>
        <v>0</v>
      </c>
      <c r="U499" s="884"/>
      <c r="V499" s="792"/>
      <c r="W499" s="846">
        <f>-'[1]Vehicules usages 2026'!J34</f>
        <v>0</v>
      </c>
      <c r="X499" s="884"/>
      <c r="Y499" s="792"/>
      <c r="Z499" s="846">
        <f>-'[1]Vehicules usages 2026'!K34</f>
        <v>0</v>
      </c>
      <c r="AA499" s="884"/>
      <c r="AB499" s="792"/>
      <c r="AC499" s="846">
        <f>-'[1]Vehicules usages 2026'!L34</f>
        <v>0</v>
      </c>
      <c r="AD499" s="884"/>
      <c r="AE499" s="792"/>
      <c r="AF499" s="846">
        <f>-'[1]Vehicules usages 2026'!M34</f>
        <v>0</v>
      </c>
      <c r="AG499" s="884"/>
      <c r="AH499" s="792"/>
      <c r="AI499" s="846">
        <f>-'[1]Vehicules usages 2026'!N34</f>
        <v>0</v>
      </c>
      <c r="AJ499" s="884"/>
      <c r="AK499" s="792"/>
      <c r="AL499" s="846">
        <f>-'[1]Vehicules usages 2026'!O34</f>
        <v>0</v>
      </c>
      <c r="AM499" s="884"/>
      <c r="AN499" s="792"/>
      <c r="AO499" s="846">
        <f>-'[1]Vehicules usages 2026'!P34</f>
        <v>0</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25"/>
        <v>[...]</v>
      </c>
      <c r="B500" s="1236" t="s">
        <v>59</v>
      </c>
      <c r="C500" s="792"/>
      <c r="D500" s="792"/>
      <c r="E500" s="881"/>
      <c r="F500" s="884"/>
      <c r="G500" s="792"/>
      <c r="H500" s="846"/>
      <c r="I500" s="884"/>
      <c r="J500" s="792"/>
      <c r="K500" s="846"/>
      <c r="L500" s="884"/>
      <c r="M500" s="792"/>
      <c r="N500" s="846"/>
      <c r="O500" s="884"/>
      <c r="P500" s="792"/>
      <c r="Q500" s="846"/>
      <c r="R500" s="884"/>
      <c r="S500" s="792"/>
      <c r="T500" s="846"/>
      <c r="U500" s="884"/>
      <c r="V500" s="792"/>
      <c r="W500" s="846"/>
      <c r="X500" s="884"/>
      <c r="Y500" s="792"/>
      <c r="Z500" s="846"/>
      <c r="AA500" s="884"/>
      <c r="AB500" s="792"/>
      <c r="AC500" s="846"/>
      <c r="AD500" s="884"/>
      <c r="AE500" s="792"/>
      <c r="AF500" s="846"/>
      <c r="AG500" s="884"/>
      <c r="AH500" s="792"/>
      <c r="AI500" s="846"/>
      <c r="AJ500" s="884"/>
      <c r="AK500" s="792"/>
      <c r="AL500" s="846"/>
      <c r="AM500" s="884"/>
      <c r="AN500" s="792"/>
      <c r="AO500" s="84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1237" t="s">
        <v>225</v>
      </c>
      <c r="C501" s="885" t="s">
        <v>219</v>
      </c>
      <c r="D501" s="886">
        <f>IFERROR(E501/E409,0)</f>
        <v>3.2277109166018392E-2</v>
      </c>
      <c r="E501" s="887">
        <f>E492-E494-E495-E496-E497-E499</f>
        <v>2141313.479543719</v>
      </c>
      <c r="F501" s="888" t="s">
        <v>219</v>
      </c>
      <c r="G501" s="886">
        <f>IFERROR(H501/H409,0)</f>
        <v>-4.2451973395044584E-3</v>
      </c>
      <c r="H501" s="889">
        <f>H492-H494-H495-H496-H497</f>
        <v>-17997.480759584309</v>
      </c>
      <c r="I501" s="888" t="s">
        <v>219</v>
      </c>
      <c r="J501" s="886">
        <f>IFERROR(K501/K409,0)</f>
        <v>1.1820752453437444E-2</v>
      </c>
      <c r="K501" s="889">
        <f>K492-K494-K495-K496-K497</f>
        <v>51434.501465391055</v>
      </c>
      <c r="L501" s="888" t="s">
        <v>219</v>
      </c>
      <c r="M501" s="886">
        <f>IFERROR(N501/N409,0)</f>
        <v>4.8891899853179328E-2</v>
      </c>
      <c r="N501" s="889">
        <f>N492-N494-N495-N496-N497</f>
        <v>293239.22014856257</v>
      </c>
      <c r="O501" s="888" t="s">
        <v>219</v>
      </c>
      <c r="P501" s="886">
        <f>IFERROR(Q501/Q409,0)</f>
        <v>3.4562822410883973E-2</v>
      </c>
      <c r="Q501" s="889">
        <f>Q492-Q494-Q495-Q496-Q497</f>
        <v>216674.57536463332</v>
      </c>
      <c r="R501" s="888" t="s">
        <v>219</v>
      </c>
      <c r="S501" s="886">
        <f>IFERROR(T501/T409,0)</f>
        <v>4.1707832189978082E-2</v>
      </c>
      <c r="T501" s="889">
        <f>T492-T494-T495-T496-T497</f>
        <v>278525.7790719943</v>
      </c>
      <c r="U501" s="888" t="s">
        <v>219</v>
      </c>
      <c r="V501" s="886">
        <f>IFERROR(W501/W409,0)</f>
        <v>5.1453677970989042E-2</v>
      </c>
      <c r="W501" s="889">
        <f>W492-W494-W495-W496-W497</f>
        <v>327886.16618819739</v>
      </c>
      <c r="X501" s="888" t="s">
        <v>219</v>
      </c>
      <c r="Y501" s="886">
        <f>IFERROR(Z501/Z409,0)</f>
        <v>2.8031130652507869E-2</v>
      </c>
      <c r="Z501" s="889">
        <f>Z492-Z494-Z495-Z496-Z497</f>
        <v>169534.48799217906</v>
      </c>
      <c r="AA501" s="888" t="s">
        <v>219</v>
      </c>
      <c r="AB501" s="886">
        <f>IFERROR(AC501/AC409,0)</f>
        <v>3.4663347766732966E-2</v>
      </c>
      <c r="AC501" s="889">
        <f>AC492-AC494-AC495-AC496-AC497</f>
        <v>198547.7235775303</v>
      </c>
      <c r="AD501" s="888" t="s">
        <v>219</v>
      </c>
      <c r="AE501" s="886">
        <f>IFERROR(AF501/AF409,0)</f>
        <v>5.153967545494844E-2</v>
      </c>
      <c r="AF501" s="889">
        <f>AF492-AF494-AF495-AF496-AF497</f>
        <v>284621.98275412928</v>
      </c>
      <c r="AG501" s="888" t="s">
        <v>219</v>
      </c>
      <c r="AH501" s="886">
        <f>IFERROR(AI501/AI409,0)</f>
        <v>2.2847402906629833E-2</v>
      </c>
      <c r="AI501" s="889">
        <f>AI492-AI494-AI495-AI496-AI497</f>
        <v>130489.33931574841</v>
      </c>
      <c r="AJ501" s="888" t="s">
        <v>219</v>
      </c>
      <c r="AK501" s="886">
        <f>IFERROR(AL501/AL409,0)</f>
        <v>3.2187410965555066E-2</v>
      </c>
      <c r="AL501" s="889">
        <f>AL492-AL494-AL495-AL496-AL497</f>
        <v>167207.73821225879</v>
      </c>
      <c r="AM501" s="888" t="s">
        <v>219</v>
      </c>
      <c r="AN501" s="886">
        <f>IFERROR(AO501/AO409,0)</f>
        <v>9.7299418000291703E-3</v>
      </c>
      <c r="AO501" s="889">
        <f>AO492-AO494-AO495-AO496-AO497</f>
        <v>41149.446212676783</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zoomScale="80" zoomScaleNormal="80" workbookViewId="0">
      <selection activeCell="C8" sqref="C8:AO501"/>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915" t="str">
        <f>"Réel 2023 Mensuel Révisé"&amp;" "&amp;Parametres!$B$1</f>
        <v>Réel 2023 Mensuel Révisé Volks</v>
      </c>
      <c r="C1" s="916"/>
      <c r="D1" s="916"/>
      <c r="E1" s="916"/>
      <c r="F1" s="916"/>
      <c r="G1" s="916"/>
      <c r="H1" s="916"/>
      <c r="I1" s="916"/>
      <c r="J1" s="916"/>
      <c r="K1" s="916"/>
      <c r="L1" s="916"/>
      <c r="M1" s="916"/>
      <c r="N1" s="916"/>
      <c r="O1" s="916"/>
      <c r="P1" s="916"/>
      <c r="Q1" s="916"/>
      <c r="R1" s="916"/>
      <c r="S1" s="916"/>
      <c r="T1" s="916"/>
      <c r="U1" s="916"/>
      <c r="V1" s="916"/>
      <c r="W1" s="916"/>
      <c r="X1" s="916"/>
      <c r="Y1" s="916"/>
      <c r="Z1" s="916"/>
      <c r="AA1" s="916"/>
      <c r="AB1" s="916"/>
      <c r="AC1" s="916"/>
      <c r="AD1" s="916"/>
      <c r="AE1" s="916"/>
      <c r="AF1" s="916"/>
      <c r="AG1" s="916"/>
      <c r="AH1" s="916"/>
      <c r="AI1" s="916"/>
      <c r="AJ1" s="916"/>
      <c r="AK1" s="916"/>
      <c r="AL1" s="916"/>
      <c r="AM1" s="916"/>
      <c r="AN1" s="916"/>
      <c r="AO1" s="916"/>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X</v>
      </c>
      <c r="M2" s="35" t="str">
        <f>+IF(Parametres!$B$3=L$6,"O","")</f>
        <v>O</v>
      </c>
      <c r="N2" s="35" t="str">
        <f>+IF(Parametres!$B$3=L$6,"U","")</f>
        <v>U</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3934</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6" thickTop="1">
      <c r="A6" s="39"/>
      <c r="B6" s="40" t="s">
        <v>3</v>
      </c>
      <c r="C6" s="912">
        <v>2024</v>
      </c>
      <c r="D6" s="913"/>
      <c r="E6" s="914"/>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399999999999999">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43" t="s">
        <v>96</v>
      </c>
      <c r="C8" s="735"/>
      <c r="D8" s="736"/>
      <c r="E8" s="738">
        <v>36609711.23999998</v>
      </c>
      <c r="F8" s="735"/>
      <c r="G8" s="736"/>
      <c r="H8" s="738">
        <v>2918214.9299999899</v>
      </c>
      <c r="I8" s="735"/>
      <c r="J8" s="736"/>
      <c r="K8" s="738">
        <v>2075892.06</v>
      </c>
      <c r="L8" s="735"/>
      <c r="M8" s="736"/>
      <c r="N8" s="738">
        <v>2855728.5699999901</v>
      </c>
      <c r="O8" s="735"/>
      <c r="P8" s="736"/>
      <c r="Q8" s="738">
        <v>2860821</v>
      </c>
      <c r="R8" s="735"/>
      <c r="S8" s="736"/>
      <c r="T8" s="738">
        <v>3181778.77</v>
      </c>
      <c r="U8" s="735"/>
      <c r="V8" s="736"/>
      <c r="W8" s="738">
        <v>2263466.9500000002</v>
      </c>
      <c r="X8" s="735"/>
      <c r="Y8" s="736"/>
      <c r="Z8" s="738">
        <v>4089468.26</v>
      </c>
      <c r="AA8" s="735"/>
      <c r="AB8" s="736"/>
      <c r="AC8" s="738">
        <v>3610810.15</v>
      </c>
      <c r="AD8" s="735"/>
      <c r="AE8" s="736"/>
      <c r="AF8" s="738">
        <v>3303841.7</v>
      </c>
      <c r="AG8" s="735"/>
      <c r="AH8" s="736"/>
      <c r="AI8" s="738">
        <v>2861489.76</v>
      </c>
      <c r="AJ8" s="735"/>
      <c r="AK8" s="736"/>
      <c r="AL8" s="738">
        <v>4142859.5</v>
      </c>
      <c r="AM8" s="735"/>
      <c r="AN8" s="736"/>
      <c r="AO8" s="738">
        <v>2445339.59</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44" t="s">
        <v>97</v>
      </c>
      <c r="C9" s="742">
        <v>127</v>
      </c>
      <c r="D9" s="740">
        <v>1912.2985039370042</v>
      </c>
      <c r="E9" s="743">
        <v>242861.90999999954</v>
      </c>
      <c r="F9" s="742">
        <v>8</v>
      </c>
      <c r="G9" s="740">
        <v>1716.8587499999876</v>
      </c>
      <c r="H9" s="743">
        <v>13734.869999999901</v>
      </c>
      <c r="I9" s="742">
        <v>4</v>
      </c>
      <c r="J9" s="740">
        <v>1345.9624999999976</v>
      </c>
      <c r="K9" s="743">
        <v>5383.8499999999904</v>
      </c>
      <c r="L9" s="742">
        <v>11</v>
      </c>
      <c r="M9" s="740">
        <v>1848.9036363636274</v>
      </c>
      <c r="N9" s="743">
        <v>20337.9399999999</v>
      </c>
      <c r="O9" s="742">
        <v>24</v>
      </c>
      <c r="P9" s="740">
        <v>1996.3658333333376</v>
      </c>
      <c r="Q9" s="743">
        <v>47912.780000000101</v>
      </c>
      <c r="R9" s="742">
        <v>10</v>
      </c>
      <c r="S9" s="740">
        <v>2530.125</v>
      </c>
      <c r="T9" s="743">
        <v>25301.25</v>
      </c>
      <c r="U9" s="742">
        <v>12</v>
      </c>
      <c r="V9" s="740">
        <v>2183.5041666666666</v>
      </c>
      <c r="W9" s="743">
        <v>26202.05</v>
      </c>
      <c r="X9" s="742">
        <v>13</v>
      </c>
      <c r="Y9" s="740">
        <v>1905.2107692307693</v>
      </c>
      <c r="Z9" s="743">
        <v>24767.74</v>
      </c>
      <c r="AA9" s="742">
        <v>15</v>
      </c>
      <c r="AB9" s="740">
        <v>2442.5653333333266</v>
      </c>
      <c r="AC9" s="743">
        <v>36638.479999999901</v>
      </c>
      <c r="AD9" s="742">
        <v>7</v>
      </c>
      <c r="AE9" s="740">
        <v>688.43142857142868</v>
      </c>
      <c r="AF9" s="743">
        <v>4819.0200000000004</v>
      </c>
      <c r="AG9" s="742">
        <v>11</v>
      </c>
      <c r="AH9" s="740">
        <v>1392.1181818181726</v>
      </c>
      <c r="AI9" s="743">
        <v>15313.299999999899</v>
      </c>
      <c r="AJ9" s="742">
        <v>10</v>
      </c>
      <c r="AK9" s="740">
        <v>1542.29599999999</v>
      </c>
      <c r="AL9" s="743">
        <v>15422.959999999901</v>
      </c>
      <c r="AM9" s="742">
        <v>2</v>
      </c>
      <c r="AN9" s="740">
        <v>3513.834999999995</v>
      </c>
      <c r="AO9" s="743">
        <v>7027.6699999999901</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44" t="s">
        <v>98</v>
      </c>
      <c r="C10" s="742">
        <v>511</v>
      </c>
      <c r="D10" s="740">
        <v>2254.2628767123242</v>
      </c>
      <c r="E10" s="743">
        <v>1151928.3299999977</v>
      </c>
      <c r="F10" s="742">
        <v>40</v>
      </c>
      <c r="G10" s="740">
        <v>2500.5232499999752</v>
      </c>
      <c r="H10" s="743">
        <v>100020.929999999</v>
      </c>
      <c r="I10" s="742">
        <v>26</v>
      </c>
      <c r="J10" s="740">
        <v>2574.7484615384578</v>
      </c>
      <c r="K10" s="743">
        <v>66943.459999999905</v>
      </c>
      <c r="L10" s="742">
        <v>40</v>
      </c>
      <c r="M10" s="740">
        <v>2175.1205</v>
      </c>
      <c r="N10" s="743">
        <v>87004.82</v>
      </c>
      <c r="O10" s="742">
        <v>32</v>
      </c>
      <c r="P10" s="740">
        <v>2603.3337499999998</v>
      </c>
      <c r="Q10" s="743">
        <v>83306.679999999993</v>
      </c>
      <c r="R10" s="742">
        <v>42</v>
      </c>
      <c r="S10" s="740">
        <v>2234.1590476190499</v>
      </c>
      <c r="T10" s="743">
        <v>93834.680000000095</v>
      </c>
      <c r="U10" s="742">
        <v>29</v>
      </c>
      <c r="V10" s="740">
        <v>1971.4127586206932</v>
      </c>
      <c r="W10" s="743">
        <v>57170.970000000103</v>
      </c>
      <c r="X10" s="742">
        <v>63</v>
      </c>
      <c r="Y10" s="740">
        <v>2276.0850793650793</v>
      </c>
      <c r="Z10" s="743">
        <v>143393.35999999999</v>
      </c>
      <c r="AA10" s="742">
        <v>49</v>
      </c>
      <c r="AB10" s="740">
        <v>2254.3873469387754</v>
      </c>
      <c r="AC10" s="743">
        <v>110464.98</v>
      </c>
      <c r="AD10" s="742">
        <v>56</v>
      </c>
      <c r="AE10" s="740">
        <v>2636.2428571428572</v>
      </c>
      <c r="AF10" s="743">
        <v>147629.6</v>
      </c>
      <c r="AG10" s="742">
        <v>37</v>
      </c>
      <c r="AH10" s="740">
        <v>2420.7516216216159</v>
      </c>
      <c r="AI10" s="743">
        <v>89567.809999999794</v>
      </c>
      <c r="AJ10" s="742">
        <v>60</v>
      </c>
      <c r="AK10" s="740">
        <v>1856.0264999999833</v>
      </c>
      <c r="AL10" s="743">
        <v>111361.58999999901</v>
      </c>
      <c r="AM10" s="742">
        <v>37</v>
      </c>
      <c r="AN10" s="740">
        <v>1654.8499999999974</v>
      </c>
      <c r="AO10" s="743">
        <v>61229.449999999903</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44" t="s">
        <v>99</v>
      </c>
      <c r="C11" s="742">
        <v>0</v>
      </c>
      <c r="D11" s="740">
        <v>0</v>
      </c>
      <c r="E11" s="743">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44" t="s">
        <v>100</v>
      </c>
      <c r="C12" s="742">
        <v>0</v>
      </c>
      <c r="D12" s="740">
        <v>0</v>
      </c>
      <c r="E12" s="743">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44" t="s">
        <v>59</v>
      </c>
      <c r="C13" s="739"/>
      <c r="D13" s="740"/>
      <c r="E13" s="741"/>
      <c r="F13" s="739"/>
      <c r="G13" s="740"/>
      <c r="H13" s="741"/>
      <c r="I13" s="739"/>
      <c r="J13" s="740"/>
      <c r="K13" s="741"/>
      <c r="L13" s="739"/>
      <c r="M13" s="740"/>
      <c r="N13" s="741"/>
      <c r="O13" s="739"/>
      <c r="P13" s="740"/>
      <c r="Q13" s="741"/>
      <c r="R13" s="739"/>
      <c r="S13" s="740"/>
      <c r="T13" s="741"/>
      <c r="U13" s="739"/>
      <c r="V13" s="740"/>
      <c r="W13" s="741"/>
      <c r="X13" s="739"/>
      <c r="Y13" s="740"/>
      <c r="Z13" s="741"/>
      <c r="AA13" s="739"/>
      <c r="AB13" s="740"/>
      <c r="AC13" s="741"/>
      <c r="AD13" s="739"/>
      <c r="AE13" s="740"/>
      <c r="AF13" s="741"/>
      <c r="AG13" s="739"/>
      <c r="AH13" s="740"/>
      <c r="AI13" s="741"/>
      <c r="AJ13" s="739"/>
      <c r="AK13" s="740"/>
      <c r="AL13" s="741"/>
      <c r="AM13" s="739"/>
      <c r="AN13" s="740"/>
      <c r="AO13" s="741"/>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44" t="s">
        <v>59</v>
      </c>
      <c r="C14" s="739"/>
      <c r="D14" s="740"/>
      <c r="E14" s="741"/>
      <c r="F14" s="739"/>
      <c r="G14" s="740"/>
      <c r="H14" s="741"/>
      <c r="I14" s="739"/>
      <c r="J14" s="740"/>
      <c r="K14" s="741"/>
      <c r="L14" s="739"/>
      <c r="M14" s="740"/>
      <c r="N14" s="741"/>
      <c r="O14" s="739"/>
      <c r="P14" s="740"/>
      <c r="Q14" s="741"/>
      <c r="R14" s="739"/>
      <c r="S14" s="740"/>
      <c r="T14" s="741"/>
      <c r="U14" s="739"/>
      <c r="V14" s="740"/>
      <c r="W14" s="741"/>
      <c r="X14" s="739"/>
      <c r="Y14" s="740"/>
      <c r="Z14" s="741"/>
      <c r="AA14" s="739"/>
      <c r="AB14" s="740"/>
      <c r="AC14" s="741"/>
      <c r="AD14" s="739"/>
      <c r="AE14" s="740"/>
      <c r="AF14" s="741"/>
      <c r="AG14" s="739"/>
      <c r="AH14" s="740"/>
      <c r="AI14" s="741"/>
      <c r="AJ14" s="739"/>
      <c r="AK14" s="740"/>
      <c r="AL14" s="741"/>
      <c r="AM14" s="739"/>
      <c r="AN14" s="740"/>
      <c r="AO14" s="741"/>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44" t="s">
        <v>59</v>
      </c>
      <c r="C15" s="739"/>
      <c r="D15" s="740"/>
      <c r="E15" s="741"/>
      <c r="F15" s="739"/>
      <c r="G15" s="740"/>
      <c r="H15" s="741"/>
      <c r="I15" s="739"/>
      <c r="J15" s="740"/>
      <c r="K15" s="741"/>
      <c r="L15" s="739"/>
      <c r="M15" s="740"/>
      <c r="N15" s="741"/>
      <c r="O15" s="739"/>
      <c r="P15" s="740"/>
      <c r="Q15" s="741"/>
      <c r="R15" s="739"/>
      <c r="S15" s="740"/>
      <c r="T15" s="741"/>
      <c r="U15" s="739"/>
      <c r="V15" s="740"/>
      <c r="W15" s="741"/>
      <c r="X15" s="739"/>
      <c r="Y15" s="740"/>
      <c r="Z15" s="741"/>
      <c r="AA15" s="739"/>
      <c r="AB15" s="740"/>
      <c r="AC15" s="741"/>
      <c r="AD15" s="739"/>
      <c r="AE15" s="740"/>
      <c r="AF15" s="741"/>
      <c r="AG15" s="739"/>
      <c r="AH15" s="740"/>
      <c r="AI15" s="741"/>
      <c r="AJ15" s="739"/>
      <c r="AK15" s="740"/>
      <c r="AL15" s="741"/>
      <c r="AM15" s="739"/>
      <c r="AN15" s="740"/>
      <c r="AO15" s="741"/>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45" t="s">
        <v>101</v>
      </c>
      <c r="C16" s="1144">
        <v>638</v>
      </c>
      <c r="D16" s="1145">
        <v>2186.191598746077</v>
      </c>
      <c r="E16" s="1146">
        <v>1394790.2399999972</v>
      </c>
      <c r="F16" s="1144">
        <v>48</v>
      </c>
      <c r="G16" s="1145">
        <v>2369.9124999999772</v>
      </c>
      <c r="H16" s="1146">
        <v>113755.79999999891</v>
      </c>
      <c r="I16" s="1144">
        <v>30</v>
      </c>
      <c r="J16" s="1145">
        <v>2410.9103333333301</v>
      </c>
      <c r="K16" s="1146">
        <v>72327.309999999896</v>
      </c>
      <c r="L16" s="1144">
        <v>51</v>
      </c>
      <c r="M16" s="1145">
        <v>2104.7599999999984</v>
      </c>
      <c r="N16" s="1146">
        <v>107342.75999999991</v>
      </c>
      <c r="O16" s="1144">
        <v>56</v>
      </c>
      <c r="P16" s="1145">
        <v>2343.2046428571443</v>
      </c>
      <c r="Q16" s="1146">
        <v>131219.46000000008</v>
      </c>
      <c r="R16" s="1144">
        <v>52</v>
      </c>
      <c r="S16" s="1145">
        <v>2291.0755769230786</v>
      </c>
      <c r="T16" s="1146">
        <v>119135.93000000009</v>
      </c>
      <c r="U16" s="1144">
        <v>41</v>
      </c>
      <c r="V16" s="1145">
        <v>2033.4882926829293</v>
      </c>
      <c r="W16" s="1146">
        <v>83373.020000000106</v>
      </c>
      <c r="X16" s="1144">
        <v>76</v>
      </c>
      <c r="Y16" s="1145">
        <v>2212.6460526315786</v>
      </c>
      <c r="Z16" s="1146">
        <v>168161.09999999998</v>
      </c>
      <c r="AA16" s="1144">
        <v>64</v>
      </c>
      <c r="AB16" s="1145">
        <v>2298.4915624999985</v>
      </c>
      <c r="AC16" s="1146">
        <v>147103.4599999999</v>
      </c>
      <c r="AD16" s="1144">
        <v>63</v>
      </c>
      <c r="AE16" s="1145">
        <v>2419.8193650793651</v>
      </c>
      <c r="AF16" s="1146">
        <v>152448.62</v>
      </c>
      <c r="AG16" s="1144">
        <v>48</v>
      </c>
      <c r="AH16" s="1145">
        <v>2185.0231249999938</v>
      </c>
      <c r="AI16" s="1146">
        <v>104881.10999999969</v>
      </c>
      <c r="AJ16" s="1144">
        <v>70</v>
      </c>
      <c r="AK16" s="1145">
        <v>1811.2078571428417</v>
      </c>
      <c r="AL16" s="1146">
        <v>126784.54999999891</v>
      </c>
      <c r="AM16" s="1144">
        <v>39</v>
      </c>
      <c r="AN16" s="1145">
        <v>1750.1825641025614</v>
      </c>
      <c r="AO16" s="1146">
        <v>68257.119999999893</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44"/>
      <c r="C17" s="744"/>
      <c r="D17" s="740"/>
      <c r="E17" s="745"/>
      <c r="F17" s="744"/>
      <c r="G17" s="740"/>
      <c r="H17" s="745"/>
      <c r="I17" s="744"/>
      <c r="J17" s="740"/>
      <c r="K17" s="745"/>
      <c r="L17" s="744"/>
      <c r="M17" s="740"/>
      <c r="N17" s="745"/>
      <c r="O17" s="744"/>
      <c r="P17" s="740"/>
      <c r="Q17" s="745"/>
      <c r="R17" s="744"/>
      <c r="S17" s="740"/>
      <c r="T17" s="745"/>
      <c r="U17" s="744"/>
      <c r="V17" s="740"/>
      <c r="W17" s="745"/>
      <c r="X17" s="744"/>
      <c r="Y17" s="740"/>
      <c r="Z17" s="745"/>
      <c r="AA17" s="744"/>
      <c r="AB17" s="740"/>
      <c r="AC17" s="745"/>
      <c r="AD17" s="744"/>
      <c r="AE17" s="740"/>
      <c r="AF17" s="745"/>
      <c r="AG17" s="744"/>
      <c r="AH17" s="740"/>
      <c r="AI17" s="745"/>
      <c r="AJ17" s="744"/>
      <c r="AK17" s="740"/>
      <c r="AL17" s="745"/>
      <c r="AM17" s="744"/>
      <c r="AN17" s="740"/>
      <c r="AO17" s="745"/>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46" t="s">
        <v>102</v>
      </c>
      <c r="C18" s="749">
        <v>38</v>
      </c>
      <c r="D18" s="747">
        <v>1468.0957894736835</v>
      </c>
      <c r="E18" s="750">
        <v>55787.63999999997</v>
      </c>
      <c r="F18" s="749">
        <v>2</v>
      </c>
      <c r="G18" s="747">
        <v>2429.645</v>
      </c>
      <c r="H18" s="750">
        <v>4859.29</v>
      </c>
      <c r="I18" s="749">
        <v>2</v>
      </c>
      <c r="J18" s="747">
        <v>1540.699999999995</v>
      </c>
      <c r="K18" s="750">
        <v>3081.3999999999901</v>
      </c>
      <c r="L18" s="749">
        <v>4</v>
      </c>
      <c r="M18" s="747">
        <v>370.869999999995</v>
      </c>
      <c r="N18" s="750">
        <v>1483.47999999998</v>
      </c>
      <c r="O18" s="749">
        <v>2</v>
      </c>
      <c r="P18" s="747">
        <v>495.50500000000102</v>
      </c>
      <c r="Q18" s="750">
        <v>991.01000000000204</v>
      </c>
      <c r="R18" s="749">
        <v>5</v>
      </c>
      <c r="S18" s="747">
        <v>2015.8520000000001</v>
      </c>
      <c r="T18" s="750">
        <v>10079.26</v>
      </c>
      <c r="U18" s="749">
        <v>6</v>
      </c>
      <c r="V18" s="747">
        <v>1300.1783333333333</v>
      </c>
      <c r="W18" s="750">
        <v>7801.07</v>
      </c>
      <c r="X18" s="749">
        <v>5</v>
      </c>
      <c r="Y18" s="747">
        <v>1374.508</v>
      </c>
      <c r="Z18" s="750">
        <v>6872.54</v>
      </c>
      <c r="AA18" s="749">
        <v>3</v>
      </c>
      <c r="AB18" s="747">
        <v>942.82666666667001</v>
      </c>
      <c r="AC18" s="750">
        <v>2828.48000000001</v>
      </c>
      <c r="AD18" s="749">
        <v>1</v>
      </c>
      <c r="AE18" s="747">
        <v>1212.3399999999999</v>
      </c>
      <c r="AF18" s="750">
        <v>1212.3399999999999</v>
      </c>
      <c r="AG18" s="749">
        <v>3</v>
      </c>
      <c r="AH18" s="747">
        <v>1277.78666666666</v>
      </c>
      <c r="AI18" s="750">
        <v>3833.3599999999801</v>
      </c>
      <c r="AJ18" s="749">
        <v>2</v>
      </c>
      <c r="AK18" s="747">
        <v>2386.710000000005</v>
      </c>
      <c r="AL18" s="750">
        <v>4773.4200000000101</v>
      </c>
      <c r="AM18" s="749">
        <v>3</v>
      </c>
      <c r="AN18" s="747">
        <v>2657.33</v>
      </c>
      <c r="AO18" s="750">
        <v>7971.99</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44"/>
      <c r="C19" s="744"/>
      <c r="D19" s="740"/>
      <c r="E19" s="745"/>
      <c r="F19" s="744"/>
      <c r="G19" s="740"/>
      <c r="H19" s="745"/>
      <c r="I19" s="744"/>
      <c r="J19" s="740"/>
      <c r="K19" s="745"/>
      <c r="L19" s="744"/>
      <c r="M19" s="740"/>
      <c r="N19" s="745"/>
      <c r="O19" s="744"/>
      <c r="P19" s="740"/>
      <c r="Q19" s="745"/>
      <c r="R19" s="744"/>
      <c r="S19" s="740"/>
      <c r="T19" s="745"/>
      <c r="U19" s="744"/>
      <c r="V19" s="740"/>
      <c r="W19" s="745"/>
      <c r="X19" s="744"/>
      <c r="Y19" s="740"/>
      <c r="Z19" s="745"/>
      <c r="AA19" s="744"/>
      <c r="AB19" s="740"/>
      <c r="AC19" s="745"/>
      <c r="AD19" s="744"/>
      <c r="AE19" s="740"/>
      <c r="AF19" s="745"/>
      <c r="AG19" s="744"/>
      <c r="AH19" s="740"/>
      <c r="AI19" s="745"/>
      <c r="AJ19" s="744"/>
      <c r="AK19" s="740"/>
      <c r="AL19" s="745"/>
      <c r="AM19" s="744"/>
      <c r="AN19" s="740"/>
      <c r="AO19" s="745"/>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47" t="s">
        <v>103</v>
      </c>
      <c r="C20" s="742">
        <v>22</v>
      </c>
      <c r="D20" s="740">
        <v>2142.7154545454537</v>
      </c>
      <c r="E20" s="743">
        <v>47139.739999999983</v>
      </c>
      <c r="F20" s="742">
        <v>4</v>
      </c>
      <c r="G20" s="740">
        <v>2065.4675000000052</v>
      </c>
      <c r="H20" s="743">
        <v>8261.8700000000208</v>
      </c>
      <c r="I20" s="742">
        <v>8</v>
      </c>
      <c r="J20" s="740">
        <v>2662.0949999999998</v>
      </c>
      <c r="K20" s="743">
        <v>21296.76</v>
      </c>
      <c r="L20" s="742">
        <v>0</v>
      </c>
      <c r="M20" s="740">
        <v>0</v>
      </c>
      <c r="N20" s="743">
        <v>0</v>
      </c>
      <c r="O20" s="742">
        <v>0</v>
      </c>
      <c r="P20" s="740">
        <v>0</v>
      </c>
      <c r="Q20" s="743">
        <v>0</v>
      </c>
      <c r="R20" s="742">
        <v>0</v>
      </c>
      <c r="S20" s="740">
        <v>0</v>
      </c>
      <c r="T20" s="743">
        <v>0</v>
      </c>
      <c r="U20" s="742">
        <v>0</v>
      </c>
      <c r="V20" s="740">
        <v>0</v>
      </c>
      <c r="W20" s="743">
        <v>0</v>
      </c>
      <c r="X20" s="742">
        <v>0</v>
      </c>
      <c r="Y20" s="740">
        <v>0</v>
      </c>
      <c r="Z20" s="743">
        <v>0</v>
      </c>
      <c r="AA20" s="742">
        <v>2</v>
      </c>
      <c r="AB20" s="740">
        <v>905.91499999999996</v>
      </c>
      <c r="AC20" s="743">
        <v>1811.83</v>
      </c>
      <c r="AD20" s="742">
        <v>3</v>
      </c>
      <c r="AE20" s="740">
        <v>626.18666666666331</v>
      </c>
      <c r="AF20" s="743">
        <v>1878.5599999999899</v>
      </c>
      <c r="AG20" s="742">
        <v>3</v>
      </c>
      <c r="AH20" s="747">
        <v>2106.1833333333266</v>
      </c>
      <c r="AI20" s="743">
        <v>6318.5499999999802</v>
      </c>
      <c r="AJ20" s="742">
        <v>2</v>
      </c>
      <c r="AK20" s="747">
        <v>3786.084999999995</v>
      </c>
      <c r="AL20" s="743">
        <v>7572.1699999999901</v>
      </c>
      <c r="AM20" s="742">
        <v>0</v>
      </c>
      <c r="AN20" s="747">
        <v>0</v>
      </c>
      <c r="AO20" s="743">
        <v>0</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1148"/>
      <c r="D21" s="1149"/>
      <c r="E21" s="1150"/>
      <c r="F21" s="1148"/>
      <c r="G21" s="1149"/>
      <c r="H21" s="1150"/>
      <c r="I21" s="1148"/>
      <c r="J21" s="1149"/>
      <c r="K21" s="1150"/>
      <c r="L21" s="1148"/>
      <c r="M21" s="1149"/>
      <c r="N21" s="1150"/>
      <c r="O21" s="1148"/>
      <c r="P21" s="1149"/>
      <c r="Q21" s="1150"/>
      <c r="R21" s="1148"/>
      <c r="S21" s="1149"/>
      <c r="T21" s="1150"/>
      <c r="U21" s="1148"/>
      <c r="V21" s="1149"/>
      <c r="W21" s="1150"/>
      <c r="X21" s="1148"/>
      <c r="Y21" s="1149"/>
      <c r="Z21" s="1150"/>
      <c r="AA21" s="1148"/>
      <c r="AB21" s="1149"/>
      <c r="AC21" s="1150"/>
      <c r="AD21" s="1148"/>
      <c r="AE21" s="1149"/>
      <c r="AF21" s="1150"/>
      <c r="AG21" s="1148"/>
      <c r="AH21" s="1149"/>
      <c r="AI21" s="1150"/>
      <c r="AJ21" s="1148"/>
      <c r="AK21" s="1149"/>
      <c r="AL21" s="1150"/>
      <c r="AM21" s="1148"/>
      <c r="AN21" s="1149"/>
      <c r="AO21" s="1150"/>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3">
        <v>109828.40999999983</v>
      </c>
      <c r="F22" s="739"/>
      <c r="G22" s="740"/>
      <c r="H22" s="743">
        <v>4956</v>
      </c>
      <c r="I22" s="739"/>
      <c r="J22" s="740"/>
      <c r="K22" s="743">
        <v>6750.4500000000098</v>
      </c>
      <c r="L22" s="739"/>
      <c r="M22" s="740"/>
      <c r="N22" s="743">
        <v>13000.4</v>
      </c>
      <c r="O22" s="739"/>
      <c r="P22" s="740"/>
      <c r="Q22" s="743">
        <v>5903.28999999997</v>
      </c>
      <c r="R22" s="739"/>
      <c r="S22" s="740"/>
      <c r="T22" s="743">
        <v>11767.32</v>
      </c>
      <c r="U22" s="739"/>
      <c r="V22" s="740"/>
      <c r="W22" s="743">
        <v>6139.6</v>
      </c>
      <c r="X22" s="739"/>
      <c r="Y22" s="740"/>
      <c r="Z22" s="743">
        <v>12602.3499999999</v>
      </c>
      <c r="AA22" s="739"/>
      <c r="AB22" s="740"/>
      <c r="AC22" s="743">
        <v>9461.7300000000396</v>
      </c>
      <c r="AD22" s="739"/>
      <c r="AE22" s="740"/>
      <c r="AF22" s="743">
        <v>11637.4199999999</v>
      </c>
      <c r="AG22" s="739"/>
      <c r="AH22" s="740"/>
      <c r="AI22" s="743">
        <v>9560</v>
      </c>
      <c r="AJ22" s="739"/>
      <c r="AK22" s="740"/>
      <c r="AL22" s="743">
        <v>10650.01</v>
      </c>
      <c r="AM22" s="739"/>
      <c r="AN22" s="740"/>
      <c r="AO22" s="743">
        <v>7399.8400000000202</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1148"/>
      <c r="D23" s="1149"/>
      <c r="E23" s="1150"/>
      <c r="F23" s="1148"/>
      <c r="G23" s="1149"/>
      <c r="H23" s="1150"/>
      <c r="I23" s="1148"/>
      <c r="J23" s="1149"/>
      <c r="K23" s="1150"/>
      <c r="L23" s="1148"/>
      <c r="M23" s="1149"/>
      <c r="N23" s="1150"/>
      <c r="O23" s="1148"/>
      <c r="P23" s="1149"/>
      <c r="Q23" s="1150"/>
      <c r="R23" s="1148"/>
      <c r="S23" s="1149"/>
      <c r="T23" s="1150"/>
      <c r="U23" s="1148"/>
      <c r="V23" s="1149"/>
      <c r="W23" s="1150"/>
      <c r="X23" s="1148"/>
      <c r="Y23" s="1149"/>
      <c r="Z23" s="1150"/>
      <c r="AA23" s="1148"/>
      <c r="AB23" s="1149"/>
      <c r="AC23" s="1150"/>
      <c r="AD23" s="1148"/>
      <c r="AE23" s="1149"/>
      <c r="AF23" s="1150"/>
      <c r="AG23" s="1148"/>
      <c r="AH23" s="1149"/>
      <c r="AI23" s="1150"/>
      <c r="AJ23" s="1148"/>
      <c r="AK23" s="1149"/>
      <c r="AL23" s="1150"/>
      <c r="AM23" s="1148"/>
      <c r="AN23" s="1149"/>
      <c r="AO23" s="1150"/>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42"/>
      <c r="D24" s="740">
        <v>14.756686390532545</v>
      </c>
      <c r="E24" s="743">
        <v>9975.52</v>
      </c>
      <c r="F24" s="742"/>
      <c r="G24" s="740">
        <v>0</v>
      </c>
      <c r="H24" s="743">
        <v>0</v>
      </c>
      <c r="I24" s="742"/>
      <c r="J24" s="740">
        <v>19.229687500000001</v>
      </c>
      <c r="K24" s="743">
        <v>615.35</v>
      </c>
      <c r="L24" s="742"/>
      <c r="M24" s="740">
        <v>0</v>
      </c>
      <c r="N24" s="743">
        <v>0</v>
      </c>
      <c r="O24" s="742"/>
      <c r="P24" s="740">
        <v>0</v>
      </c>
      <c r="Q24" s="743">
        <v>0</v>
      </c>
      <c r="R24" s="742"/>
      <c r="S24" s="740">
        <v>11.182280701754387</v>
      </c>
      <c r="T24" s="743">
        <v>637.39</v>
      </c>
      <c r="U24" s="742"/>
      <c r="V24" s="740">
        <v>14.402127659574468</v>
      </c>
      <c r="W24" s="743">
        <v>676.9</v>
      </c>
      <c r="X24" s="742"/>
      <c r="Y24" s="740">
        <v>7.4635802469135797</v>
      </c>
      <c r="Z24" s="743">
        <v>604.54999999999995</v>
      </c>
      <c r="AA24" s="742"/>
      <c r="AB24" s="740">
        <v>25.274776119402986</v>
      </c>
      <c r="AC24" s="743">
        <v>1693.41</v>
      </c>
      <c r="AD24" s="742"/>
      <c r="AE24" s="740">
        <v>0</v>
      </c>
      <c r="AF24" s="743">
        <v>0</v>
      </c>
      <c r="AG24" s="742"/>
      <c r="AH24" s="740">
        <v>38.216862745098041</v>
      </c>
      <c r="AI24" s="743">
        <v>1949.06</v>
      </c>
      <c r="AJ24" s="742"/>
      <c r="AK24" s="740">
        <v>0</v>
      </c>
      <c r="AL24" s="743">
        <v>0</v>
      </c>
      <c r="AM24" s="742"/>
      <c r="AN24" s="740">
        <v>90.449047619047619</v>
      </c>
      <c r="AO24" s="743">
        <v>3798.86</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42"/>
      <c r="D25" s="740">
        <v>956.66136094674562</v>
      </c>
      <c r="E25" s="743">
        <v>646703.08000000007</v>
      </c>
      <c r="F25" s="742"/>
      <c r="G25" s="740">
        <v>1179.3872000000001</v>
      </c>
      <c r="H25" s="743">
        <v>58969.36</v>
      </c>
      <c r="I25" s="742"/>
      <c r="J25" s="740">
        <v>984.25156249999998</v>
      </c>
      <c r="K25" s="743">
        <v>31496.05</v>
      </c>
      <c r="L25" s="742"/>
      <c r="M25" s="740">
        <v>606.028909090909</v>
      </c>
      <c r="N25" s="743">
        <v>33331.589999999997</v>
      </c>
      <c r="O25" s="742"/>
      <c r="P25" s="740">
        <v>931.86034482758623</v>
      </c>
      <c r="Q25" s="743">
        <v>54047.9</v>
      </c>
      <c r="R25" s="742"/>
      <c r="S25" s="740">
        <v>1090.3154385964913</v>
      </c>
      <c r="T25" s="743">
        <v>62147.98</v>
      </c>
      <c r="U25" s="742"/>
      <c r="V25" s="740">
        <v>1023.1253191489361</v>
      </c>
      <c r="W25" s="743">
        <v>48086.89</v>
      </c>
      <c r="X25" s="742"/>
      <c r="Y25" s="740">
        <v>985.36333333333323</v>
      </c>
      <c r="Z25" s="743">
        <v>79814.429999999993</v>
      </c>
      <c r="AA25" s="742"/>
      <c r="AB25" s="740">
        <v>940.25194029850741</v>
      </c>
      <c r="AC25" s="743">
        <v>62996.88</v>
      </c>
      <c r="AD25" s="742"/>
      <c r="AE25" s="740">
        <v>952.71765625</v>
      </c>
      <c r="AF25" s="743">
        <v>60973.93</v>
      </c>
      <c r="AG25" s="742"/>
      <c r="AH25" s="740">
        <v>968.1554901960784</v>
      </c>
      <c r="AI25" s="743">
        <v>49375.93</v>
      </c>
      <c r="AJ25" s="742"/>
      <c r="AK25" s="740">
        <v>995.15555555555557</v>
      </c>
      <c r="AL25" s="743">
        <v>71651.199999999997</v>
      </c>
      <c r="AM25" s="742"/>
      <c r="AN25" s="740">
        <v>805.02238095238101</v>
      </c>
      <c r="AO25" s="743">
        <v>33810.94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42"/>
      <c r="D26" s="740">
        <v>5.3130325443786974</v>
      </c>
      <c r="E26" s="743">
        <v>3591.6099999999997</v>
      </c>
      <c r="F26" s="742"/>
      <c r="G26" s="740">
        <v>0</v>
      </c>
      <c r="H26" s="743">
        <v>0</v>
      </c>
      <c r="I26" s="742"/>
      <c r="J26" s="740">
        <v>13.862500000000001</v>
      </c>
      <c r="K26" s="743">
        <v>443.6</v>
      </c>
      <c r="L26" s="742"/>
      <c r="M26" s="740">
        <v>5.7529090909090916</v>
      </c>
      <c r="N26" s="743">
        <v>316.41000000000003</v>
      </c>
      <c r="O26" s="742"/>
      <c r="P26" s="740">
        <v>0</v>
      </c>
      <c r="Q26" s="743">
        <v>0</v>
      </c>
      <c r="R26" s="742"/>
      <c r="S26" s="740">
        <v>4.6777192982456137</v>
      </c>
      <c r="T26" s="743">
        <v>266.63</v>
      </c>
      <c r="U26" s="742"/>
      <c r="V26" s="740">
        <v>0</v>
      </c>
      <c r="W26" s="743">
        <v>0</v>
      </c>
      <c r="X26" s="742"/>
      <c r="Y26" s="740">
        <v>2.3029629629629627</v>
      </c>
      <c r="Z26" s="743">
        <v>186.54</v>
      </c>
      <c r="AA26" s="742"/>
      <c r="AB26" s="740">
        <v>5.9568656716417916</v>
      </c>
      <c r="AC26" s="743">
        <v>399.11</v>
      </c>
      <c r="AD26" s="742"/>
      <c r="AE26" s="740">
        <v>0</v>
      </c>
      <c r="AF26" s="743">
        <v>0</v>
      </c>
      <c r="AG26" s="742"/>
      <c r="AH26" s="740">
        <v>0</v>
      </c>
      <c r="AI26" s="743">
        <v>0</v>
      </c>
      <c r="AJ26" s="742"/>
      <c r="AK26" s="740">
        <v>13.881805555555555</v>
      </c>
      <c r="AL26" s="743">
        <v>999.49</v>
      </c>
      <c r="AM26" s="742"/>
      <c r="AN26" s="740">
        <v>23.329285714285714</v>
      </c>
      <c r="AO26" s="743">
        <v>979.83</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1144">
        <v>676</v>
      </c>
      <c r="D27" s="1145">
        <v>976.73107988165691</v>
      </c>
      <c r="E27" s="1146">
        <v>660270.21000000008</v>
      </c>
      <c r="F27" s="1144">
        <v>50</v>
      </c>
      <c r="G27" s="1145">
        <v>1179.3872000000001</v>
      </c>
      <c r="H27" s="1146">
        <v>58969.36</v>
      </c>
      <c r="I27" s="1144">
        <v>32</v>
      </c>
      <c r="J27" s="1145">
        <v>1017.3437499999999</v>
      </c>
      <c r="K27" s="1146">
        <v>32554.999999999996</v>
      </c>
      <c r="L27" s="1144">
        <v>55</v>
      </c>
      <c r="M27" s="1145">
        <v>611.78181818181815</v>
      </c>
      <c r="N27" s="1146">
        <v>33648</v>
      </c>
      <c r="O27" s="1144">
        <v>58</v>
      </c>
      <c r="P27" s="1145">
        <v>931.86034482758623</v>
      </c>
      <c r="Q27" s="1146">
        <v>54047.9</v>
      </c>
      <c r="R27" s="1144">
        <v>57</v>
      </c>
      <c r="S27" s="1145">
        <v>1106.1754385964912</v>
      </c>
      <c r="T27" s="1146">
        <v>63052</v>
      </c>
      <c r="U27" s="1144">
        <v>47</v>
      </c>
      <c r="V27" s="1145">
        <v>1037.5274468085106</v>
      </c>
      <c r="W27" s="1146">
        <v>48763.79</v>
      </c>
      <c r="X27" s="1144">
        <v>81</v>
      </c>
      <c r="Y27" s="1145">
        <v>995.12987654320978</v>
      </c>
      <c r="Z27" s="1146">
        <v>80605.51999999999</v>
      </c>
      <c r="AA27" s="1144">
        <v>67</v>
      </c>
      <c r="AB27" s="1145">
        <v>971.48358208955221</v>
      </c>
      <c r="AC27" s="1146">
        <v>65089.4</v>
      </c>
      <c r="AD27" s="1144">
        <v>64</v>
      </c>
      <c r="AE27" s="1145">
        <v>952.71765625</v>
      </c>
      <c r="AF27" s="1146">
        <v>60973.93</v>
      </c>
      <c r="AG27" s="1144">
        <v>51</v>
      </c>
      <c r="AH27" s="1145">
        <v>1006.3723529411765</v>
      </c>
      <c r="AI27" s="1146">
        <v>51324.99</v>
      </c>
      <c r="AJ27" s="1144">
        <v>72</v>
      </c>
      <c r="AK27" s="1145">
        <v>1009.0373611111112</v>
      </c>
      <c r="AL27" s="1146">
        <v>72650.69</v>
      </c>
      <c r="AM27" s="1144">
        <v>42</v>
      </c>
      <c r="AN27" s="1145">
        <v>918.80071428571443</v>
      </c>
      <c r="AO27" s="1146">
        <v>38589.630000000005</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4"/>
      <c r="D28" s="751"/>
      <c r="E28" s="752"/>
      <c r="F28" s="744"/>
      <c r="G28" s="751"/>
      <c r="H28" s="752"/>
      <c r="I28" s="744"/>
      <c r="J28" s="751"/>
      <c r="K28" s="752"/>
      <c r="L28" s="744"/>
      <c r="M28" s="751"/>
      <c r="N28" s="752"/>
      <c r="O28" s="744"/>
      <c r="P28" s="751"/>
      <c r="Q28" s="752"/>
      <c r="R28" s="744"/>
      <c r="S28" s="751"/>
      <c r="T28" s="752"/>
      <c r="U28" s="744"/>
      <c r="V28" s="751"/>
      <c r="W28" s="752"/>
      <c r="X28" s="744"/>
      <c r="Y28" s="751"/>
      <c r="Z28" s="752"/>
      <c r="AA28" s="744"/>
      <c r="AB28" s="751"/>
      <c r="AC28" s="752"/>
      <c r="AD28" s="744"/>
      <c r="AE28" s="751"/>
      <c r="AF28" s="752"/>
      <c r="AG28" s="744"/>
      <c r="AH28" s="751"/>
      <c r="AI28" s="752"/>
      <c r="AJ28" s="744"/>
      <c r="AK28" s="751"/>
      <c r="AL28" s="752"/>
      <c r="AM28" s="744"/>
      <c r="AN28" s="751"/>
      <c r="AO28" s="752"/>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4"/>
      <c r="D29" s="751"/>
      <c r="E29" s="745"/>
      <c r="F29" s="744"/>
      <c r="G29" s="751"/>
      <c r="H29" s="745"/>
      <c r="I29" s="744"/>
      <c r="J29" s="751"/>
      <c r="K29" s="745"/>
      <c r="L29" s="744"/>
      <c r="M29" s="751"/>
      <c r="N29" s="745"/>
      <c r="O29" s="744"/>
      <c r="P29" s="751"/>
      <c r="Q29" s="745"/>
      <c r="R29" s="744"/>
      <c r="S29" s="751"/>
      <c r="T29" s="745"/>
      <c r="U29" s="744"/>
      <c r="V29" s="751"/>
      <c r="W29" s="745"/>
      <c r="X29" s="744"/>
      <c r="Y29" s="751"/>
      <c r="Z29" s="745"/>
      <c r="AA29" s="744"/>
      <c r="AB29" s="751"/>
      <c r="AC29" s="745"/>
      <c r="AD29" s="744"/>
      <c r="AE29" s="751"/>
      <c r="AF29" s="745"/>
      <c r="AG29" s="744"/>
      <c r="AH29" s="751"/>
      <c r="AI29" s="745"/>
      <c r="AJ29" s="744"/>
      <c r="AK29" s="751"/>
      <c r="AL29" s="745"/>
      <c r="AM29" s="744"/>
      <c r="AN29" s="751"/>
      <c r="AO29" s="745"/>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3">
        <v>698</v>
      </c>
      <c r="D30" s="754">
        <v>3249.0204011461274</v>
      </c>
      <c r="E30" s="755">
        <v>2267816.239999997</v>
      </c>
      <c r="F30" s="753">
        <v>54</v>
      </c>
      <c r="G30" s="754">
        <v>3533.3762962962765</v>
      </c>
      <c r="H30" s="755">
        <v>190802.31999999893</v>
      </c>
      <c r="I30" s="753">
        <v>40</v>
      </c>
      <c r="J30" s="754">
        <v>3400.2729999999974</v>
      </c>
      <c r="K30" s="755">
        <v>136010.9199999999</v>
      </c>
      <c r="L30" s="753">
        <v>55</v>
      </c>
      <c r="M30" s="754">
        <v>2826.8116363636341</v>
      </c>
      <c r="N30" s="755">
        <v>155474.63999999987</v>
      </c>
      <c r="O30" s="753">
        <v>58</v>
      </c>
      <c r="P30" s="754">
        <v>3313.1320689655181</v>
      </c>
      <c r="Q30" s="755">
        <v>192161.66000000006</v>
      </c>
      <c r="R30" s="753">
        <v>57</v>
      </c>
      <c r="S30" s="754">
        <v>3579.552807017546</v>
      </c>
      <c r="T30" s="755">
        <v>204034.51000000013</v>
      </c>
      <c r="U30" s="753">
        <v>47</v>
      </c>
      <c r="V30" s="754">
        <v>3108.0314893617046</v>
      </c>
      <c r="W30" s="1238">
        <v>146077.48000000013</v>
      </c>
      <c r="X30" s="753">
        <v>81</v>
      </c>
      <c r="Y30" s="754">
        <v>3311.6235802469114</v>
      </c>
      <c r="Z30" s="1238">
        <v>268241.50999999983</v>
      </c>
      <c r="AA30" s="753">
        <v>69</v>
      </c>
      <c r="AB30" s="754">
        <v>3279.636231884057</v>
      </c>
      <c r="AC30" s="1238">
        <v>226294.89999999994</v>
      </c>
      <c r="AD30" s="753">
        <v>67</v>
      </c>
      <c r="AE30" s="754">
        <v>3405.2368656716399</v>
      </c>
      <c r="AF30" s="1238">
        <v>228150.86999999988</v>
      </c>
      <c r="AG30" s="753">
        <v>54</v>
      </c>
      <c r="AH30" s="754">
        <v>3257.7409259259198</v>
      </c>
      <c r="AI30" s="755">
        <v>175918.00999999966</v>
      </c>
      <c r="AJ30" s="753">
        <v>74</v>
      </c>
      <c r="AK30" s="754">
        <v>3005.8221621621474</v>
      </c>
      <c r="AL30" s="755">
        <v>222430.83999999892</v>
      </c>
      <c r="AM30" s="753">
        <v>42</v>
      </c>
      <c r="AN30" s="754">
        <v>2909.9661904761888</v>
      </c>
      <c r="AO30" s="755">
        <v>122218.57999999993</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56"/>
      <c r="D31" s="757"/>
      <c r="E31" s="758"/>
      <c r="F31" s="756"/>
      <c r="G31" s="757"/>
      <c r="H31" s="758"/>
      <c r="I31" s="756"/>
      <c r="J31" s="757"/>
      <c r="K31" s="758"/>
      <c r="L31" s="756"/>
      <c r="M31" s="757"/>
      <c r="N31" s="758"/>
      <c r="O31" s="756"/>
      <c r="P31" s="757"/>
      <c r="Q31" s="758"/>
      <c r="R31" s="756"/>
      <c r="S31" s="757"/>
      <c r="T31" s="758"/>
      <c r="U31" s="756"/>
      <c r="V31" s="757"/>
      <c r="W31" s="1239"/>
      <c r="X31" s="756"/>
      <c r="Y31" s="757"/>
      <c r="Z31" s="1239"/>
      <c r="AA31" s="756"/>
      <c r="AB31" s="757"/>
      <c r="AC31" s="1239"/>
      <c r="AD31" s="756"/>
      <c r="AE31" s="757"/>
      <c r="AF31" s="1239"/>
      <c r="AG31" s="756"/>
      <c r="AH31" s="757"/>
      <c r="AI31" s="758"/>
      <c r="AJ31" s="756"/>
      <c r="AK31" s="757"/>
      <c r="AL31" s="758"/>
      <c r="AM31" s="756"/>
      <c r="AN31" s="757"/>
      <c r="AO31" s="758"/>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59"/>
      <c r="D32" s="760"/>
      <c r="E32" s="761"/>
      <c r="F32" s="759"/>
      <c r="G32" s="760"/>
      <c r="H32" s="761"/>
      <c r="I32" s="759"/>
      <c r="J32" s="760"/>
      <c r="K32" s="761"/>
      <c r="L32" s="759"/>
      <c r="M32" s="760"/>
      <c r="N32" s="761"/>
      <c r="O32" s="759"/>
      <c r="P32" s="760"/>
      <c r="Q32" s="761"/>
      <c r="R32" s="759"/>
      <c r="S32" s="760"/>
      <c r="T32" s="761"/>
      <c r="U32" s="759"/>
      <c r="V32" s="760"/>
      <c r="W32" s="793"/>
      <c r="X32" s="759"/>
      <c r="Y32" s="760"/>
      <c r="Z32" s="793"/>
      <c r="AA32" s="759"/>
      <c r="AB32" s="760"/>
      <c r="AC32" s="793"/>
      <c r="AD32" s="759"/>
      <c r="AE32" s="760"/>
      <c r="AF32" s="793"/>
      <c r="AG32" s="759"/>
      <c r="AH32" s="760"/>
      <c r="AI32" s="761"/>
      <c r="AJ32" s="759"/>
      <c r="AK32" s="760"/>
      <c r="AL32" s="761"/>
      <c r="AM32" s="759"/>
      <c r="AN32" s="760"/>
      <c r="AO32" s="761"/>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4"/>
      <c r="D33" s="762"/>
      <c r="E33" s="745"/>
      <c r="F33" s="744"/>
      <c r="G33" s="762"/>
      <c r="H33" s="745"/>
      <c r="I33" s="744"/>
      <c r="J33" s="762"/>
      <c r="K33" s="745"/>
      <c r="L33" s="744"/>
      <c r="M33" s="762"/>
      <c r="N33" s="745"/>
      <c r="O33" s="744"/>
      <c r="P33" s="762"/>
      <c r="Q33" s="745"/>
      <c r="R33" s="744"/>
      <c r="S33" s="762"/>
      <c r="T33" s="745"/>
      <c r="U33" s="744"/>
      <c r="V33" s="762"/>
      <c r="W33" s="745"/>
      <c r="X33" s="744"/>
      <c r="Y33" s="762"/>
      <c r="Z33" s="745"/>
      <c r="AA33" s="744"/>
      <c r="AB33" s="762"/>
      <c r="AC33" s="745"/>
      <c r="AD33" s="744"/>
      <c r="AE33" s="762"/>
      <c r="AF33" s="745"/>
      <c r="AG33" s="744"/>
      <c r="AH33" s="762"/>
      <c r="AI33" s="745"/>
      <c r="AJ33" s="744"/>
      <c r="AK33" s="762"/>
      <c r="AL33" s="745"/>
      <c r="AM33" s="744"/>
      <c r="AN33" s="762"/>
      <c r="AO33" s="745"/>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3">
        <v>0.32111321730619591</v>
      </c>
      <c r="D34" s="764">
        <v>689.05285502958588</v>
      </c>
      <c r="E34" s="765">
        <v>465799.73000000004</v>
      </c>
      <c r="F34" s="763">
        <v>0.36865267311267397</v>
      </c>
      <c r="G34" s="764">
        <v>874.55539999999996</v>
      </c>
      <c r="H34" s="765">
        <v>43727.77</v>
      </c>
      <c r="I34" s="763">
        <v>0.35924126006133822</v>
      </c>
      <c r="J34" s="764">
        <v>846.56</v>
      </c>
      <c r="K34" s="765">
        <v>27089.919999999998</v>
      </c>
      <c r="L34" s="763">
        <v>0.28209804914697073</v>
      </c>
      <c r="M34" s="764">
        <v>558.17581818181816</v>
      </c>
      <c r="N34" s="765">
        <v>30699.67</v>
      </c>
      <c r="O34" s="763">
        <v>0.3081529775970086</v>
      </c>
      <c r="P34" s="764">
        <v>702.43189655172421</v>
      </c>
      <c r="Q34" s="765">
        <v>40741.050000000003</v>
      </c>
      <c r="R34" s="763">
        <v>0.33936869186974045</v>
      </c>
      <c r="S34" s="764">
        <v>769.32614035087715</v>
      </c>
      <c r="T34" s="765">
        <v>43851.59</v>
      </c>
      <c r="U34" s="763">
        <v>0.34423485882886201</v>
      </c>
      <c r="V34" s="764">
        <v>667.77234042553187</v>
      </c>
      <c r="W34" s="765">
        <v>31385.3</v>
      </c>
      <c r="X34" s="763">
        <v>0.2987177779082924</v>
      </c>
      <c r="Y34" s="764">
        <v>645.50197530864205</v>
      </c>
      <c r="Z34" s="765">
        <v>52285.66</v>
      </c>
      <c r="AA34" s="763">
        <v>0.31853546349096812</v>
      </c>
      <c r="AB34" s="764">
        <v>712.81552238805966</v>
      </c>
      <c r="AC34" s="765">
        <v>47758.64</v>
      </c>
      <c r="AD34" s="763">
        <v>0.27814436405968052</v>
      </c>
      <c r="AE34" s="764">
        <v>667.81140625</v>
      </c>
      <c r="AF34" s="765">
        <v>42739.93</v>
      </c>
      <c r="AG34" s="763">
        <v>0.37945868659434318</v>
      </c>
      <c r="AH34" s="764">
        <v>808.87549019607843</v>
      </c>
      <c r="AI34" s="765">
        <v>41252.65</v>
      </c>
      <c r="AJ34" s="763">
        <v>0.2766923965153939</v>
      </c>
      <c r="AK34" s="764">
        <v>505.57069444444437</v>
      </c>
      <c r="AL34" s="765">
        <v>36401.089999999997</v>
      </c>
      <c r="AM34" s="763">
        <v>0.36556192247292452</v>
      </c>
      <c r="AN34" s="764">
        <v>663.48714285714289</v>
      </c>
      <c r="AO34" s="1240">
        <v>27866.46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66">
        <v>0.25728074268260565</v>
      </c>
      <c r="D35" s="767">
        <v>251.29409763313609</v>
      </c>
      <c r="E35" s="769">
        <v>169874.81</v>
      </c>
      <c r="F35" s="766">
        <v>0.30000105139346939</v>
      </c>
      <c r="G35" s="767">
        <v>353.81739999999996</v>
      </c>
      <c r="H35" s="769">
        <v>17690.87</v>
      </c>
      <c r="I35" s="766">
        <v>0.24998525572108743</v>
      </c>
      <c r="J35" s="767">
        <v>254.32093750000001</v>
      </c>
      <c r="K35" s="769">
        <v>8138.27</v>
      </c>
      <c r="L35" s="766">
        <v>0.30698941987636708</v>
      </c>
      <c r="M35" s="767">
        <v>187.81054545454546</v>
      </c>
      <c r="N35" s="769">
        <v>10329.58</v>
      </c>
      <c r="O35" s="766">
        <v>0.20000869599003845</v>
      </c>
      <c r="P35" s="767">
        <v>186.3801724137931</v>
      </c>
      <c r="Q35" s="769">
        <v>10810.05</v>
      </c>
      <c r="R35" s="766">
        <v>0.29999762101122884</v>
      </c>
      <c r="S35" s="767">
        <v>331.85</v>
      </c>
      <c r="T35" s="769">
        <v>18915.45</v>
      </c>
      <c r="U35" s="766">
        <v>0.29928477667547992</v>
      </c>
      <c r="V35" s="767">
        <v>310.51617021276599</v>
      </c>
      <c r="W35" s="769">
        <v>14594.26</v>
      </c>
      <c r="X35" s="766">
        <v>0.25000198497571885</v>
      </c>
      <c r="Y35" s="767">
        <v>248.78444444444446</v>
      </c>
      <c r="Z35" s="769">
        <v>20151.54</v>
      </c>
      <c r="AA35" s="766">
        <v>0.2499947764152074</v>
      </c>
      <c r="AB35" s="767">
        <v>242.8658208955224</v>
      </c>
      <c r="AC35" s="769">
        <v>16272.01</v>
      </c>
      <c r="AD35" s="766">
        <v>0.26000357857858269</v>
      </c>
      <c r="AE35" s="767">
        <v>247.71</v>
      </c>
      <c r="AF35" s="769">
        <v>15853.44</v>
      </c>
      <c r="AG35" s="766">
        <v>0.26999966293222855</v>
      </c>
      <c r="AH35" s="767">
        <v>271.72019607843134</v>
      </c>
      <c r="AI35" s="769">
        <v>13857.73</v>
      </c>
      <c r="AJ35" s="766">
        <v>0.26999660980508233</v>
      </c>
      <c r="AK35" s="767">
        <v>272.43666666666667</v>
      </c>
      <c r="AL35" s="769">
        <v>19615.439999999999</v>
      </c>
      <c r="AM35" s="766">
        <v>9.4485746559373585E-2</v>
      </c>
      <c r="AN35" s="767">
        <v>86.813571428571436</v>
      </c>
      <c r="AO35" s="1241">
        <v>3646.17</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4"/>
      <c r="D36" s="764">
        <v>105.38633136094676</v>
      </c>
      <c r="E36" s="765">
        <v>71241.16</v>
      </c>
      <c r="F36" s="744"/>
      <c r="G36" s="764">
        <v>88.648399999999995</v>
      </c>
      <c r="H36" s="765">
        <v>4432.42</v>
      </c>
      <c r="I36" s="744"/>
      <c r="J36" s="764">
        <v>98.328437500000007</v>
      </c>
      <c r="K36" s="765">
        <v>3146.51</v>
      </c>
      <c r="L36" s="744"/>
      <c r="M36" s="764">
        <v>35.17581818181818</v>
      </c>
      <c r="N36" s="765">
        <v>1934.67</v>
      </c>
      <c r="O36" s="744"/>
      <c r="P36" s="764">
        <v>166.21517241379308</v>
      </c>
      <c r="Q36" s="765">
        <v>9640.48</v>
      </c>
      <c r="R36" s="744"/>
      <c r="S36" s="764">
        <v>138.49438596491228</v>
      </c>
      <c r="T36" s="765">
        <v>7894.18</v>
      </c>
      <c r="U36" s="744"/>
      <c r="V36" s="764">
        <v>111.73617021276597</v>
      </c>
      <c r="W36" s="765">
        <v>5251.6</v>
      </c>
      <c r="X36" s="744"/>
      <c r="Y36" s="764">
        <v>112.60814814814815</v>
      </c>
      <c r="Z36" s="765">
        <v>9121.26</v>
      </c>
      <c r="AA36" s="744"/>
      <c r="AB36" s="764">
        <v>78.424925373134329</v>
      </c>
      <c r="AC36" s="765">
        <v>5254.47</v>
      </c>
      <c r="AD36" s="744"/>
      <c r="AE36" s="764">
        <v>130.02187499999999</v>
      </c>
      <c r="AF36" s="765">
        <v>8321.4</v>
      </c>
      <c r="AG36" s="744"/>
      <c r="AH36" s="764">
        <v>127.63843137254902</v>
      </c>
      <c r="AI36" s="765">
        <v>6509.56</v>
      </c>
      <c r="AJ36" s="744"/>
      <c r="AK36" s="764">
        <v>73.221249999999998</v>
      </c>
      <c r="AL36" s="765">
        <v>5271.93</v>
      </c>
      <c r="AM36" s="744"/>
      <c r="AN36" s="764">
        <v>106.25428571428571</v>
      </c>
      <c r="AO36" s="1240">
        <v>4462.68</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4"/>
      <c r="D37" s="764">
        <v>4.9730325443786985</v>
      </c>
      <c r="E37" s="765">
        <v>3361.7700000000004</v>
      </c>
      <c r="F37" s="744"/>
      <c r="G37" s="764">
        <v>1.8593999999999999</v>
      </c>
      <c r="H37" s="765">
        <v>92.97</v>
      </c>
      <c r="I37" s="744"/>
      <c r="J37" s="764">
        <v>30.533124999999998</v>
      </c>
      <c r="K37" s="765">
        <v>977.06</v>
      </c>
      <c r="L37" s="744"/>
      <c r="M37" s="764">
        <v>10.110181818181816</v>
      </c>
      <c r="N37" s="765">
        <v>556.05999999999995</v>
      </c>
      <c r="O37" s="744"/>
      <c r="P37" s="764">
        <v>6.0170689655172414</v>
      </c>
      <c r="Q37" s="765">
        <v>348.99</v>
      </c>
      <c r="R37" s="744"/>
      <c r="S37" s="764">
        <v>6.6315789473684203E-2</v>
      </c>
      <c r="T37" s="765">
        <v>3.78</v>
      </c>
      <c r="U37" s="744"/>
      <c r="V37" s="764">
        <v>5.4995744680851066</v>
      </c>
      <c r="W37" s="765">
        <v>258.48</v>
      </c>
      <c r="X37" s="744"/>
      <c r="Y37" s="764">
        <v>0</v>
      </c>
      <c r="Z37" s="765">
        <v>0</v>
      </c>
      <c r="AA37" s="744"/>
      <c r="AB37" s="764">
        <v>8.5468656716417915</v>
      </c>
      <c r="AC37" s="765">
        <v>572.64</v>
      </c>
      <c r="AD37" s="744"/>
      <c r="AE37" s="764">
        <v>0</v>
      </c>
      <c r="AF37" s="765">
        <v>0</v>
      </c>
      <c r="AG37" s="744"/>
      <c r="AH37" s="764">
        <v>4.0194117647058825</v>
      </c>
      <c r="AI37" s="765">
        <v>204.99</v>
      </c>
      <c r="AJ37" s="744"/>
      <c r="AK37" s="764">
        <v>3.7194444444444446</v>
      </c>
      <c r="AL37" s="765">
        <v>267.8</v>
      </c>
      <c r="AM37" s="744"/>
      <c r="AN37" s="764">
        <v>1.8809523809523809</v>
      </c>
      <c r="AO37" s="1240">
        <v>79</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0"/>
      <c r="D38" s="767">
        <v>119.19736686390532</v>
      </c>
      <c r="E38" s="769">
        <v>80577.42</v>
      </c>
      <c r="F38" s="770"/>
      <c r="G38" s="767">
        <v>115.9442</v>
      </c>
      <c r="H38" s="769">
        <v>5797.21</v>
      </c>
      <c r="I38" s="770"/>
      <c r="J38" s="767">
        <v>268.93781250000001</v>
      </c>
      <c r="K38" s="769">
        <v>8606.01</v>
      </c>
      <c r="L38" s="770"/>
      <c r="M38" s="767">
        <v>117.53781818181818</v>
      </c>
      <c r="N38" s="769">
        <v>6464.58</v>
      </c>
      <c r="O38" s="770"/>
      <c r="P38" s="767">
        <v>133.99603448275863</v>
      </c>
      <c r="Q38" s="769">
        <v>7771.77</v>
      </c>
      <c r="R38" s="770"/>
      <c r="S38" s="767">
        <v>167.94543859649121</v>
      </c>
      <c r="T38" s="769">
        <v>9572.89</v>
      </c>
      <c r="U38" s="770"/>
      <c r="V38" s="767">
        <v>168.73936170212767</v>
      </c>
      <c r="W38" s="769">
        <v>7930.75</v>
      </c>
      <c r="X38" s="770"/>
      <c r="Y38" s="767">
        <v>43.995185185185186</v>
      </c>
      <c r="Z38" s="769">
        <v>3563.61</v>
      </c>
      <c r="AA38" s="770"/>
      <c r="AB38" s="767">
        <v>50.172238805970146</v>
      </c>
      <c r="AC38" s="769">
        <v>3361.54</v>
      </c>
      <c r="AD38" s="770"/>
      <c r="AE38" s="767">
        <v>121.188125</v>
      </c>
      <c r="AF38" s="769">
        <v>7756.04</v>
      </c>
      <c r="AG38" s="770"/>
      <c r="AH38" s="767">
        <v>94.619411764705887</v>
      </c>
      <c r="AI38" s="769">
        <v>4825.59</v>
      </c>
      <c r="AJ38" s="770"/>
      <c r="AK38" s="767">
        <v>109.28874999999999</v>
      </c>
      <c r="AL38" s="769">
        <v>7868.79</v>
      </c>
      <c r="AM38" s="770"/>
      <c r="AN38" s="767">
        <v>168.06285714285715</v>
      </c>
      <c r="AO38" s="1241">
        <v>7058.64</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4"/>
      <c r="D39" s="764">
        <v>152.67334319526623</v>
      </c>
      <c r="E39" s="765">
        <v>103207.17999999998</v>
      </c>
      <c r="F39" s="744"/>
      <c r="G39" s="764">
        <v>91.287399999999991</v>
      </c>
      <c r="H39" s="765">
        <v>4564.37</v>
      </c>
      <c r="I39" s="744"/>
      <c r="J39" s="764">
        <v>137.4765625</v>
      </c>
      <c r="K39" s="765">
        <v>4399.25</v>
      </c>
      <c r="L39" s="744"/>
      <c r="M39" s="764">
        <v>367.98563636363633</v>
      </c>
      <c r="N39" s="765">
        <v>20239.21</v>
      </c>
      <c r="O39" s="744"/>
      <c r="P39" s="764">
        <v>245.72724137931036</v>
      </c>
      <c r="Q39" s="765">
        <v>14252.18</v>
      </c>
      <c r="R39" s="744"/>
      <c r="S39" s="764">
        <v>171.58052631578948</v>
      </c>
      <c r="T39" s="765">
        <v>9780.09</v>
      </c>
      <c r="U39" s="744"/>
      <c r="V39" s="764">
        <v>108.28021276595744</v>
      </c>
      <c r="W39" s="765">
        <v>5089.17</v>
      </c>
      <c r="X39" s="744"/>
      <c r="Y39" s="764">
        <v>45.389259259259262</v>
      </c>
      <c r="Z39" s="765">
        <v>3676.53</v>
      </c>
      <c r="AA39" s="744"/>
      <c r="AB39" s="764">
        <v>86.991044776119395</v>
      </c>
      <c r="AC39" s="765">
        <v>5828.4</v>
      </c>
      <c r="AD39" s="744"/>
      <c r="AE39" s="764">
        <v>124.21734375</v>
      </c>
      <c r="AF39" s="765">
        <v>7949.91</v>
      </c>
      <c r="AG39" s="744"/>
      <c r="AH39" s="764">
        <v>233.87333333333336</v>
      </c>
      <c r="AI39" s="765">
        <v>11927.54</v>
      </c>
      <c r="AJ39" s="744"/>
      <c r="AK39" s="764">
        <v>53.550416666666528</v>
      </c>
      <c r="AL39" s="765">
        <v>3855.6299999999901</v>
      </c>
      <c r="AM39" s="744"/>
      <c r="AN39" s="764">
        <v>277.25952380952378</v>
      </c>
      <c r="AO39" s="1240">
        <v>11644.9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4"/>
      <c r="D40" s="764">
        <v>224.57977810650891</v>
      </c>
      <c r="E40" s="765">
        <v>151815.93000000002</v>
      </c>
      <c r="F40" s="744"/>
      <c r="G40" s="764">
        <v>538.39339999999993</v>
      </c>
      <c r="H40" s="765">
        <v>26919.67</v>
      </c>
      <c r="I40" s="744"/>
      <c r="J40" s="764">
        <v>-353.66</v>
      </c>
      <c r="K40" s="765">
        <v>-11317.12</v>
      </c>
      <c r="L40" s="744"/>
      <c r="M40" s="764">
        <v>437.24599999999998</v>
      </c>
      <c r="N40" s="765">
        <v>24048.53</v>
      </c>
      <c r="O40" s="744"/>
      <c r="P40" s="764">
        <v>-85.485517241379313</v>
      </c>
      <c r="Q40" s="765">
        <v>-4958.16</v>
      </c>
      <c r="R40" s="744"/>
      <c r="S40" s="764">
        <v>227.21438596491228</v>
      </c>
      <c r="T40" s="765">
        <v>12951.22</v>
      </c>
      <c r="U40" s="744"/>
      <c r="V40" s="764">
        <v>280.19212765957451</v>
      </c>
      <c r="W40" s="765">
        <v>13169.03</v>
      </c>
      <c r="X40" s="744"/>
      <c r="Y40" s="764">
        <v>273.39222222222224</v>
      </c>
      <c r="Z40" s="765">
        <v>22144.77</v>
      </c>
      <c r="AA40" s="744"/>
      <c r="AB40" s="764">
        <v>22.367313432835818</v>
      </c>
      <c r="AC40" s="765">
        <v>1498.61</v>
      </c>
      <c r="AD40" s="744"/>
      <c r="AE40" s="764">
        <v>37.670468749999998</v>
      </c>
      <c r="AF40" s="765">
        <v>2410.91</v>
      </c>
      <c r="AG40" s="744"/>
      <c r="AH40" s="764">
        <v>425.86784313725485</v>
      </c>
      <c r="AI40" s="765">
        <v>21719.26</v>
      </c>
      <c r="AJ40" s="744"/>
      <c r="AK40" s="764">
        <v>337.88694444444445</v>
      </c>
      <c r="AL40" s="765">
        <v>24327.86</v>
      </c>
      <c r="AM40" s="744"/>
      <c r="AN40" s="764">
        <v>450.03214285714284</v>
      </c>
      <c r="AO40" s="1240">
        <v>18901.349999999999</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4"/>
      <c r="D41" s="764"/>
      <c r="E41" s="752"/>
      <c r="F41" s="744"/>
      <c r="G41" s="764"/>
      <c r="H41" s="752"/>
      <c r="I41" s="744"/>
      <c r="J41" s="764"/>
      <c r="K41" s="752"/>
      <c r="L41" s="744"/>
      <c r="M41" s="764"/>
      <c r="N41" s="752"/>
      <c r="O41" s="744"/>
      <c r="P41" s="764"/>
      <c r="Q41" s="752"/>
      <c r="R41" s="744"/>
      <c r="S41" s="764"/>
      <c r="T41" s="752"/>
      <c r="U41" s="744"/>
      <c r="V41" s="764"/>
      <c r="W41" s="752"/>
      <c r="X41" s="744"/>
      <c r="Y41" s="764"/>
      <c r="Z41" s="752"/>
      <c r="AA41" s="744"/>
      <c r="AB41" s="764"/>
      <c r="AC41" s="752"/>
      <c r="AD41" s="744"/>
      <c r="AE41" s="764"/>
      <c r="AF41" s="752"/>
      <c r="AG41" s="744"/>
      <c r="AH41" s="764"/>
      <c r="AI41" s="752"/>
      <c r="AJ41" s="744"/>
      <c r="AK41" s="764"/>
      <c r="AL41" s="752"/>
      <c r="AM41" s="744"/>
      <c r="AN41" s="764"/>
      <c r="AO41" s="752"/>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4"/>
      <c r="D42" s="764"/>
      <c r="E42" s="752"/>
      <c r="F42" s="744"/>
      <c r="G42" s="764"/>
      <c r="H42" s="752"/>
      <c r="I42" s="744"/>
      <c r="J42" s="764"/>
      <c r="K42" s="752"/>
      <c r="L42" s="744"/>
      <c r="M42" s="764"/>
      <c r="N42" s="752"/>
      <c r="O42" s="744"/>
      <c r="P42" s="764"/>
      <c r="Q42" s="752"/>
      <c r="R42" s="744"/>
      <c r="S42" s="764"/>
      <c r="T42" s="752"/>
      <c r="U42" s="744"/>
      <c r="V42" s="764"/>
      <c r="W42" s="752"/>
      <c r="X42" s="744"/>
      <c r="Y42" s="764"/>
      <c r="Z42" s="752"/>
      <c r="AA42" s="744"/>
      <c r="AB42" s="764"/>
      <c r="AC42" s="752"/>
      <c r="AD42" s="744"/>
      <c r="AE42" s="764"/>
      <c r="AF42" s="752"/>
      <c r="AG42" s="744"/>
      <c r="AH42" s="764"/>
      <c r="AI42" s="752"/>
      <c r="AJ42" s="744"/>
      <c r="AK42" s="764"/>
      <c r="AL42" s="752"/>
      <c r="AM42" s="744"/>
      <c r="AN42" s="764"/>
      <c r="AO42" s="752"/>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0"/>
      <c r="D43" s="764"/>
      <c r="E43" s="752"/>
      <c r="F43" s="770"/>
      <c r="G43" s="764"/>
      <c r="H43" s="752"/>
      <c r="I43" s="770"/>
      <c r="J43" s="764"/>
      <c r="K43" s="752"/>
      <c r="L43" s="770"/>
      <c r="M43" s="764"/>
      <c r="N43" s="752"/>
      <c r="O43" s="770"/>
      <c r="P43" s="764"/>
      <c r="Q43" s="752"/>
      <c r="R43" s="770"/>
      <c r="S43" s="764"/>
      <c r="T43" s="752"/>
      <c r="U43" s="770"/>
      <c r="V43" s="764"/>
      <c r="W43" s="752"/>
      <c r="X43" s="770"/>
      <c r="Y43" s="764"/>
      <c r="Z43" s="752"/>
      <c r="AA43" s="770"/>
      <c r="AB43" s="764"/>
      <c r="AC43" s="752"/>
      <c r="AD43" s="770"/>
      <c r="AE43" s="764"/>
      <c r="AF43" s="752"/>
      <c r="AG43" s="770"/>
      <c r="AH43" s="764"/>
      <c r="AI43" s="752"/>
      <c r="AJ43" s="770"/>
      <c r="AK43" s="764"/>
      <c r="AL43" s="752"/>
      <c r="AM43" s="770"/>
      <c r="AN43" s="764"/>
      <c r="AO43" s="752"/>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1155" t="s">
        <v>119</v>
      </c>
      <c r="D44" s="1156">
        <v>0.46118286903175254</v>
      </c>
      <c r="E44" s="1157">
        <v>1045878.0000000001</v>
      </c>
      <c r="F44" s="1155" t="s">
        <v>119</v>
      </c>
      <c r="G44" s="1156">
        <v>0.54100641962844365</v>
      </c>
      <c r="H44" s="1157">
        <v>103225.28</v>
      </c>
      <c r="I44" s="1155" t="s">
        <v>119</v>
      </c>
      <c r="J44" s="1156">
        <v>0.30173974266183945</v>
      </c>
      <c r="K44" s="1157">
        <v>41039.9</v>
      </c>
      <c r="L44" s="1155" t="s">
        <v>119</v>
      </c>
      <c r="M44" s="1156">
        <v>0.60635162107466578</v>
      </c>
      <c r="N44" s="1157">
        <v>94272.299999999988</v>
      </c>
      <c r="O44" s="1155" t="s">
        <v>119</v>
      </c>
      <c r="P44" s="1156">
        <v>0.40906370188517294</v>
      </c>
      <c r="Q44" s="1157">
        <v>78606.359999999986</v>
      </c>
      <c r="R44" s="1155" t="s">
        <v>119</v>
      </c>
      <c r="S44" s="1156">
        <v>0.50466560779350478</v>
      </c>
      <c r="T44" s="1157">
        <v>102969.2</v>
      </c>
      <c r="U44" s="1155" t="s">
        <v>119</v>
      </c>
      <c r="V44" s="1156">
        <v>0.53176293840775413</v>
      </c>
      <c r="W44" s="1242">
        <v>77678.59</v>
      </c>
      <c r="X44" s="1155" t="s">
        <v>119</v>
      </c>
      <c r="Y44" s="1156">
        <v>0.4135950845191711</v>
      </c>
      <c r="Z44" s="1242">
        <v>110943.37000000001</v>
      </c>
      <c r="AA44" s="1155" t="s">
        <v>119</v>
      </c>
      <c r="AB44" s="1156">
        <v>0.35593515364243739</v>
      </c>
      <c r="AC44" s="1242">
        <v>80546.309999999983</v>
      </c>
      <c r="AD44" s="1155" t="s">
        <v>119</v>
      </c>
      <c r="AE44" s="1156">
        <v>0.37269912667876326</v>
      </c>
      <c r="AF44" s="1242">
        <v>85031.63</v>
      </c>
      <c r="AG44" s="1155" t="s">
        <v>119</v>
      </c>
      <c r="AH44" s="1156">
        <v>0.57013673585780211</v>
      </c>
      <c r="AI44" s="1157">
        <v>100297.31999999999</v>
      </c>
      <c r="AJ44" s="1155" t="s">
        <v>119</v>
      </c>
      <c r="AK44" s="1156">
        <v>0.43882646848791501</v>
      </c>
      <c r="AL44" s="1157">
        <v>97608.54</v>
      </c>
      <c r="AM44" s="1155" t="s">
        <v>119</v>
      </c>
      <c r="AN44" s="1156">
        <v>0.60268414180560792</v>
      </c>
      <c r="AO44" s="1157">
        <v>73659.199999999997</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4"/>
      <c r="D45" s="751"/>
      <c r="E45" s="765">
        <v>243304.97000000003</v>
      </c>
      <c r="F45" s="744"/>
      <c r="G45" s="751"/>
      <c r="H45" s="765">
        <v>23989.06</v>
      </c>
      <c r="I45" s="744"/>
      <c r="J45" s="751"/>
      <c r="K45" s="765">
        <v>19757.52</v>
      </c>
      <c r="L45" s="744"/>
      <c r="M45" s="751"/>
      <c r="N45" s="765">
        <v>23707.52</v>
      </c>
      <c r="O45" s="744"/>
      <c r="P45" s="751"/>
      <c r="Q45" s="765">
        <v>22738.29</v>
      </c>
      <c r="R45" s="744"/>
      <c r="S45" s="751"/>
      <c r="T45" s="765">
        <v>18969.05</v>
      </c>
      <c r="U45" s="744"/>
      <c r="V45" s="751"/>
      <c r="W45" s="765">
        <v>17276.740000000002</v>
      </c>
      <c r="X45" s="744"/>
      <c r="Y45" s="751"/>
      <c r="Z45" s="765">
        <v>21170.97</v>
      </c>
      <c r="AA45" s="744"/>
      <c r="AB45" s="751"/>
      <c r="AC45" s="765">
        <v>18122.89</v>
      </c>
      <c r="AD45" s="744"/>
      <c r="AE45" s="751"/>
      <c r="AF45" s="765">
        <v>21495.49</v>
      </c>
      <c r="AG45" s="744"/>
      <c r="AH45" s="751"/>
      <c r="AI45" s="765">
        <v>20142.13</v>
      </c>
      <c r="AJ45" s="744"/>
      <c r="AK45" s="751"/>
      <c r="AL45" s="765">
        <v>16358.33</v>
      </c>
      <c r="AM45" s="744"/>
      <c r="AN45" s="751"/>
      <c r="AO45" s="1240">
        <v>19576.98</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4"/>
      <c r="D46" s="751"/>
      <c r="E46" s="765">
        <v>171218.81</v>
      </c>
      <c r="F46" s="744"/>
      <c r="G46" s="751"/>
      <c r="H46" s="765">
        <v>13193.79</v>
      </c>
      <c r="I46" s="744"/>
      <c r="J46" s="751"/>
      <c r="K46" s="765">
        <v>12111.66</v>
      </c>
      <c r="L46" s="744"/>
      <c r="M46" s="751"/>
      <c r="N46" s="765">
        <v>12526.87</v>
      </c>
      <c r="O46" s="744"/>
      <c r="P46" s="751"/>
      <c r="Q46" s="765">
        <v>12985.89</v>
      </c>
      <c r="R46" s="744"/>
      <c r="S46" s="751"/>
      <c r="T46" s="765">
        <v>14463.37</v>
      </c>
      <c r="U46" s="744"/>
      <c r="V46" s="751"/>
      <c r="W46" s="765">
        <v>12517.38</v>
      </c>
      <c r="X46" s="744"/>
      <c r="Y46" s="751"/>
      <c r="Z46" s="765">
        <v>11846.53</v>
      </c>
      <c r="AA46" s="744"/>
      <c r="AB46" s="751"/>
      <c r="AC46" s="765">
        <v>15664.78</v>
      </c>
      <c r="AD46" s="744"/>
      <c r="AE46" s="751"/>
      <c r="AF46" s="765">
        <v>17579.27</v>
      </c>
      <c r="AG46" s="744"/>
      <c r="AH46" s="751"/>
      <c r="AI46" s="765">
        <v>20057.189999999999</v>
      </c>
      <c r="AJ46" s="744"/>
      <c r="AK46" s="751"/>
      <c r="AL46" s="765">
        <v>13068.19</v>
      </c>
      <c r="AM46" s="744"/>
      <c r="AN46" s="751"/>
      <c r="AO46" s="1240">
        <v>15203.89</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1142"/>
      <c r="D47" s="1160"/>
      <c r="E47" s="1162">
        <v>16771.800000000003</v>
      </c>
      <c r="F47" s="1142"/>
      <c r="G47" s="1160"/>
      <c r="H47" s="1162">
        <v>1613</v>
      </c>
      <c r="I47" s="1142"/>
      <c r="J47" s="1160"/>
      <c r="K47" s="1162">
        <v>2451</v>
      </c>
      <c r="L47" s="1142"/>
      <c r="M47" s="1160"/>
      <c r="N47" s="1162">
        <v>-312</v>
      </c>
      <c r="O47" s="1142"/>
      <c r="P47" s="1160"/>
      <c r="Q47" s="1162">
        <v>1208.75</v>
      </c>
      <c r="R47" s="1142"/>
      <c r="S47" s="1160"/>
      <c r="T47" s="1162">
        <v>2903.5</v>
      </c>
      <c r="U47" s="1142"/>
      <c r="V47" s="1160"/>
      <c r="W47" s="1162">
        <v>1819.6</v>
      </c>
      <c r="X47" s="1142"/>
      <c r="Y47" s="1160"/>
      <c r="Z47" s="1162">
        <v>1963.25</v>
      </c>
      <c r="AA47" s="1142"/>
      <c r="AB47" s="1160"/>
      <c r="AC47" s="1162">
        <v>1579.5</v>
      </c>
      <c r="AD47" s="1142"/>
      <c r="AE47" s="1160"/>
      <c r="AF47" s="1162">
        <v>11.25</v>
      </c>
      <c r="AG47" s="1142"/>
      <c r="AH47" s="1160"/>
      <c r="AI47" s="1162">
        <v>930.2</v>
      </c>
      <c r="AJ47" s="1142"/>
      <c r="AK47" s="1160"/>
      <c r="AL47" s="1162">
        <v>1451.6</v>
      </c>
      <c r="AM47" s="1142"/>
      <c r="AN47" s="1160"/>
      <c r="AO47" s="1243">
        <v>1152.1500000000001</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4"/>
      <c r="D48" s="751"/>
      <c r="E48" s="765">
        <v>0</v>
      </c>
      <c r="F48" s="744"/>
      <c r="G48" s="751"/>
      <c r="H48" s="765">
        <v>0</v>
      </c>
      <c r="I48" s="744"/>
      <c r="J48" s="751"/>
      <c r="K48" s="765">
        <v>0</v>
      </c>
      <c r="L48" s="744"/>
      <c r="M48" s="751"/>
      <c r="N48" s="765">
        <v>0</v>
      </c>
      <c r="O48" s="744"/>
      <c r="P48" s="751"/>
      <c r="Q48" s="765">
        <v>0</v>
      </c>
      <c r="R48" s="744"/>
      <c r="S48" s="751"/>
      <c r="T48" s="765">
        <v>0</v>
      </c>
      <c r="U48" s="744"/>
      <c r="V48" s="751"/>
      <c r="W48" s="765">
        <v>0</v>
      </c>
      <c r="X48" s="744"/>
      <c r="Y48" s="751"/>
      <c r="Z48" s="765">
        <v>0</v>
      </c>
      <c r="AA48" s="744"/>
      <c r="AB48" s="751"/>
      <c r="AC48" s="765">
        <v>0</v>
      </c>
      <c r="AD48" s="744"/>
      <c r="AE48" s="751"/>
      <c r="AF48" s="765">
        <v>0</v>
      </c>
      <c r="AG48" s="744"/>
      <c r="AH48" s="751"/>
      <c r="AI48" s="765">
        <v>0</v>
      </c>
      <c r="AJ48" s="744"/>
      <c r="AK48" s="751"/>
      <c r="AL48" s="765">
        <v>0</v>
      </c>
      <c r="AM48" s="744"/>
      <c r="AN48" s="751"/>
      <c r="AO48" s="1240">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4"/>
      <c r="D49" s="751"/>
      <c r="E49" s="765"/>
      <c r="F49" s="744"/>
      <c r="G49" s="751"/>
      <c r="H49" s="765"/>
      <c r="I49" s="744"/>
      <c r="J49" s="751"/>
      <c r="K49" s="765"/>
      <c r="L49" s="744"/>
      <c r="M49" s="751"/>
      <c r="N49" s="765"/>
      <c r="O49" s="744"/>
      <c r="P49" s="751"/>
      <c r="Q49" s="765"/>
      <c r="R49" s="744"/>
      <c r="S49" s="751"/>
      <c r="T49" s="765"/>
      <c r="U49" s="744"/>
      <c r="V49" s="751"/>
      <c r="W49" s="765"/>
      <c r="X49" s="744"/>
      <c r="Y49" s="751"/>
      <c r="Z49" s="765"/>
      <c r="AA49" s="744"/>
      <c r="AB49" s="751"/>
      <c r="AC49" s="765"/>
      <c r="AD49" s="744"/>
      <c r="AE49" s="751"/>
      <c r="AF49" s="765"/>
      <c r="AG49" s="744"/>
      <c r="AH49" s="751"/>
      <c r="AI49" s="765"/>
      <c r="AJ49" s="744"/>
      <c r="AK49" s="751"/>
      <c r="AL49" s="765"/>
      <c r="AM49" s="744"/>
      <c r="AN49" s="751"/>
      <c r="AO49" s="1240"/>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4"/>
      <c r="D50" s="751"/>
      <c r="E50" s="765"/>
      <c r="F50" s="744"/>
      <c r="G50" s="751"/>
      <c r="H50" s="765"/>
      <c r="I50" s="744"/>
      <c r="J50" s="751"/>
      <c r="K50" s="765"/>
      <c r="L50" s="744"/>
      <c r="M50" s="751"/>
      <c r="N50" s="765"/>
      <c r="O50" s="744"/>
      <c r="P50" s="751"/>
      <c r="Q50" s="765"/>
      <c r="R50" s="744"/>
      <c r="S50" s="751"/>
      <c r="T50" s="765"/>
      <c r="U50" s="744"/>
      <c r="V50" s="751"/>
      <c r="W50" s="765"/>
      <c r="X50" s="744"/>
      <c r="Y50" s="751"/>
      <c r="Z50" s="765"/>
      <c r="AA50" s="744"/>
      <c r="AB50" s="751"/>
      <c r="AC50" s="765"/>
      <c r="AD50" s="744"/>
      <c r="AE50" s="751"/>
      <c r="AF50" s="765"/>
      <c r="AG50" s="744"/>
      <c r="AH50" s="751"/>
      <c r="AI50" s="765"/>
      <c r="AJ50" s="744"/>
      <c r="AK50" s="751"/>
      <c r="AL50" s="765"/>
      <c r="AM50" s="744"/>
      <c r="AN50" s="751"/>
      <c r="AO50" s="1240"/>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4"/>
      <c r="D51" s="751"/>
      <c r="E51" s="765"/>
      <c r="F51" s="744"/>
      <c r="G51" s="751"/>
      <c r="H51" s="765"/>
      <c r="I51" s="744"/>
      <c r="J51" s="751"/>
      <c r="K51" s="765"/>
      <c r="L51" s="744"/>
      <c r="M51" s="751"/>
      <c r="N51" s="765"/>
      <c r="O51" s="744"/>
      <c r="P51" s="751"/>
      <c r="Q51" s="765"/>
      <c r="R51" s="744"/>
      <c r="S51" s="751"/>
      <c r="T51" s="765"/>
      <c r="U51" s="744"/>
      <c r="V51" s="751"/>
      <c r="W51" s="765"/>
      <c r="X51" s="744"/>
      <c r="Y51" s="751"/>
      <c r="Z51" s="765"/>
      <c r="AA51" s="744"/>
      <c r="AB51" s="751"/>
      <c r="AC51" s="765"/>
      <c r="AD51" s="744"/>
      <c r="AE51" s="751"/>
      <c r="AF51" s="765"/>
      <c r="AG51" s="744"/>
      <c r="AH51" s="751"/>
      <c r="AI51" s="765"/>
      <c r="AJ51" s="744"/>
      <c r="AK51" s="751"/>
      <c r="AL51" s="765"/>
      <c r="AM51" s="744"/>
      <c r="AN51" s="751"/>
      <c r="AO51" s="1240"/>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4"/>
      <c r="D52" s="751"/>
      <c r="E52" s="765">
        <v>136704.35</v>
      </c>
      <c r="F52" s="744"/>
      <c r="G52" s="751"/>
      <c r="H52" s="765">
        <v>11297.5</v>
      </c>
      <c r="I52" s="744"/>
      <c r="J52" s="751"/>
      <c r="K52" s="765">
        <v>8944.73</v>
      </c>
      <c r="L52" s="744"/>
      <c r="M52" s="751"/>
      <c r="N52" s="765">
        <v>12291.71</v>
      </c>
      <c r="O52" s="744"/>
      <c r="P52" s="751"/>
      <c r="Q52" s="765">
        <v>12288.84</v>
      </c>
      <c r="R52" s="744"/>
      <c r="S52" s="751"/>
      <c r="T52" s="765">
        <v>14676.27</v>
      </c>
      <c r="U52" s="744"/>
      <c r="V52" s="751"/>
      <c r="W52" s="765">
        <v>11092.96</v>
      </c>
      <c r="X52" s="744"/>
      <c r="Y52" s="751"/>
      <c r="Z52" s="765">
        <v>10866.84</v>
      </c>
      <c r="AA52" s="744"/>
      <c r="AB52" s="751"/>
      <c r="AC52" s="765">
        <v>11090.84</v>
      </c>
      <c r="AD52" s="744"/>
      <c r="AE52" s="751"/>
      <c r="AF52" s="765">
        <v>9162.42</v>
      </c>
      <c r="AG52" s="744"/>
      <c r="AH52" s="751"/>
      <c r="AI52" s="765">
        <v>13521.92</v>
      </c>
      <c r="AJ52" s="744"/>
      <c r="AK52" s="751"/>
      <c r="AL52" s="765">
        <v>12767.3</v>
      </c>
      <c r="AM52" s="744"/>
      <c r="AN52" s="751"/>
      <c r="AO52" s="1240">
        <v>8703.02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1142"/>
      <c r="D53" s="1160"/>
      <c r="E53" s="1162">
        <v>170955.68</v>
      </c>
      <c r="F53" s="1142"/>
      <c r="G53" s="1160"/>
      <c r="H53" s="1162">
        <v>14203.83</v>
      </c>
      <c r="I53" s="1142"/>
      <c r="J53" s="1160"/>
      <c r="K53" s="1162">
        <v>12821.25</v>
      </c>
      <c r="L53" s="1142"/>
      <c r="M53" s="1160"/>
      <c r="N53" s="1162">
        <v>14654.31</v>
      </c>
      <c r="O53" s="1142"/>
      <c r="P53" s="1160"/>
      <c r="Q53" s="1162">
        <v>15510.75</v>
      </c>
      <c r="R53" s="1142"/>
      <c r="S53" s="1160"/>
      <c r="T53" s="1162">
        <v>17960</v>
      </c>
      <c r="U53" s="1142"/>
      <c r="V53" s="1160"/>
      <c r="W53" s="1162">
        <v>13743.57</v>
      </c>
      <c r="X53" s="1142"/>
      <c r="Y53" s="1160"/>
      <c r="Z53" s="1162">
        <v>13752.02</v>
      </c>
      <c r="AA53" s="1142"/>
      <c r="AB53" s="1160"/>
      <c r="AC53" s="1162">
        <v>13852.73</v>
      </c>
      <c r="AD53" s="1142"/>
      <c r="AE53" s="1160"/>
      <c r="AF53" s="1162">
        <v>12339.01</v>
      </c>
      <c r="AG53" s="1142"/>
      <c r="AH53" s="1160"/>
      <c r="AI53" s="1162">
        <v>15758.45</v>
      </c>
      <c r="AJ53" s="1142"/>
      <c r="AK53" s="1160"/>
      <c r="AL53" s="1162">
        <v>15446.59</v>
      </c>
      <c r="AM53" s="1142"/>
      <c r="AN53" s="1160"/>
      <c r="AO53" s="1243">
        <v>10913.17</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4"/>
      <c r="D54" s="751"/>
      <c r="E54" s="765">
        <v>84834.499999999985</v>
      </c>
      <c r="F54" s="744"/>
      <c r="G54" s="751"/>
      <c r="H54" s="765">
        <v>7181.9</v>
      </c>
      <c r="I54" s="744"/>
      <c r="J54" s="751"/>
      <c r="K54" s="765">
        <v>4964.91</v>
      </c>
      <c r="L54" s="744"/>
      <c r="M54" s="751"/>
      <c r="N54" s="765">
        <v>7784.41</v>
      </c>
      <c r="O54" s="744"/>
      <c r="P54" s="751"/>
      <c r="Q54" s="765">
        <v>8178.51</v>
      </c>
      <c r="R54" s="744"/>
      <c r="S54" s="751"/>
      <c r="T54" s="765">
        <v>8486.02</v>
      </c>
      <c r="U54" s="744"/>
      <c r="V54" s="751"/>
      <c r="W54" s="765">
        <v>6407</v>
      </c>
      <c r="X54" s="744"/>
      <c r="Y54" s="751"/>
      <c r="Z54" s="765">
        <v>7178.18</v>
      </c>
      <c r="AA54" s="744"/>
      <c r="AB54" s="751"/>
      <c r="AC54" s="765">
        <v>7016.94</v>
      </c>
      <c r="AD54" s="744"/>
      <c r="AE54" s="751"/>
      <c r="AF54" s="765">
        <v>4769.3799999999901</v>
      </c>
      <c r="AG54" s="744"/>
      <c r="AH54" s="751"/>
      <c r="AI54" s="765">
        <v>8227.6299999999992</v>
      </c>
      <c r="AJ54" s="744"/>
      <c r="AK54" s="751"/>
      <c r="AL54" s="765">
        <v>8320.0400000000009</v>
      </c>
      <c r="AM54" s="744"/>
      <c r="AN54" s="751"/>
      <c r="AO54" s="1240">
        <v>6319.58</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4"/>
      <c r="D55" s="751"/>
      <c r="E55" s="765">
        <v>32563.559999999998</v>
      </c>
      <c r="F55" s="744"/>
      <c r="G55" s="751"/>
      <c r="H55" s="765">
        <v>2463.48</v>
      </c>
      <c r="I55" s="744"/>
      <c r="J55" s="751"/>
      <c r="K55" s="765">
        <v>3329.22</v>
      </c>
      <c r="L55" s="744"/>
      <c r="M55" s="751"/>
      <c r="N55" s="765">
        <v>2218.0500000000002</v>
      </c>
      <c r="O55" s="744"/>
      <c r="P55" s="751"/>
      <c r="Q55" s="765">
        <v>3094.69</v>
      </c>
      <c r="R55" s="744"/>
      <c r="S55" s="751"/>
      <c r="T55" s="765">
        <v>2876.17</v>
      </c>
      <c r="U55" s="744"/>
      <c r="V55" s="751"/>
      <c r="W55" s="765">
        <v>2667.67</v>
      </c>
      <c r="X55" s="744"/>
      <c r="Y55" s="751"/>
      <c r="Z55" s="765">
        <v>3241.11</v>
      </c>
      <c r="AA55" s="744"/>
      <c r="AB55" s="751"/>
      <c r="AC55" s="765">
        <v>2868.85</v>
      </c>
      <c r="AD55" s="744"/>
      <c r="AE55" s="751"/>
      <c r="AF55" s="765">
        <v>2753.54</v>
      </c>
      <c r="AG55" s="744"/>
      <c r="AH55" s="751"/>
      <c r="AI55" s="765">
        <v>3456.94</v>
      </c>
      <c r="AJ55" s="744"/>
      <c r="AK55" s="751"/>
      <c r="AL55" s="765">
        <v>1641.57</v>
      </c>
      <c r="AM55" s="744"/>
      <c r="AN55" s="751"/>
      <c r="AO55" s="1240">
        <v>1952.27</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0"/>
      <c r="D56" s="771"/>
      <c r="E56" s="768"/>
      <c r="F56" s="770"/>
      <c r="G56" s="771"/>
      <c r="H56" s="768"/>
      <c r="I56" s="770"/>
      <c r="J56" s="771"/>
      <c r="K56" s="768"/>
      <c r="L56" s="770"/>
      <c r="M56" s="771"/>
      <c r="N56" s="768"/>
      <c r="O56" s="770"/>
      <c r="P56" s="771"/>
      <c r="Q56" s="768"/>
      <c r="R56" s="770"/>
      <c r="S56" s="771"/>
      <c r="T56" s="768"/>
      <c r="U56" s="770"/>
      <c r="V56" s="771"/>
      <c r="W56" s="768"/>
      <c r="X56" s="770"/>
      <c r="Y56" s="771"/>
      <c r="Z56" s="768"/>
      <c r="AA56" s="770"/>
      <c r="AB56" s="771"/>
      <c r="AC56" s="768"/>
      <c r="AD56" s="770"/>
      <c r="AE56" s="771"/>
      <c r="AF56" s="768"/>
      <c r="AG56" s="770"/>
      <c r="AH56" s="771"/>
      <c r="AI56" s="768"/>
      <c r="AJ56" s="770"/>
      <c r="AK56" s="771"/>
      <c r="AL56" s="768"/>
      <c r="AM56" s="770"/>
      <c r="AN56" s="771"/>
      <c r="AO56" s="768"/>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1155" t="s">
        <v>119</v>
      </c>
      <c r="D57" s="1156">
        <v>0.37761157844076526</v>
      </c>
      <c r="E57" s="1157">
        <v>856353.67000000016</v>
      </c>
      <c r="F57" s="1155" t="s">
        <v>119</v>
      </c>
      <c r="G57" s="1156">
        <v>1.26360057986615</v>
      </c>
      <c r="H57" s="1157">
        <v>73942.559999999998</v>
      </c>
      <c r="I57" s="1155" t="s">
        <v>119</v>
      </c>
      <c r="J57" s="1156">
        <v>1.26360057986615</v>
      </c>
      <c r="K57" s="1157">
        <v>64380.290000000008</v>
      </c>
      <c r="L57" s="1155" t="s">
        <v>119</v>
      </c>
      <c r="M57" s="1156">
        <v>1.26360057986615</v>
      </c>
      <c r="N57" s="1157">
        <v>72870.87</v>
      </c>
      <c r="O57" s="1155" t="s">
        <v>119</v>
      </c>
      <c r="P57" s="1156">
        <v>1.26360057986615</v>
      </c>
      <c r="Q57" s="1157">
        <v>76005.72</v>
      </c>
      <c r="R57" s="1155" t="s">
        <v>119</v>
      </c>
      <c r="S57" s="1156">
        <v>1.26360057986615</v>
      </c>
      <c r="T57" s="1157">
        <v>80334.38</v>
      </c>
      <c r="U57" s="1155" t="s">
        <v>119</v>
      </c>
      <c r="V57" s="1156">
        <v>1.26360057986615</v>
      </c>
      <c r="W57" s="1242">
        <v>65524.92</v>
      </c>
      <c r="X57" s="1155" t="s">
        <v>119</v>
      </c>
      <c r="Y57" s="1156">
        <v>1.26360057986615</v>
      </c>
      <c r="Z57" s="1242">
        <v>70018.900000000009</v>
      </c>
      <c r="AA57" s="1155" t="s">
        <v>119</v>
      </c>
      <c r="AB57" s="1156">
        <v>1.26360057986615</v>
      </c>
      <c r="AC57" s="1242">
        <v>70196.53</v>
      </c>
      <c r="AD57" s="1155" t="s">
        <v>119</v>
      </c>
      <c r="AE57" s="1156">
        <v>1.26360057986615</v>
      </c>
      <c r="AF57" s="1242">
        <v>68110.359999999986</v>
      </c>
      <c r="AG57" s="1155" t="s">
        <v>119</v>
      </c>
      <c r="AH57" s="1156">
        <v>1.26360057986615</v>
      </c>
      <c r="AI57" s="1157">
        <v>82094.460000000006</v>
      </c>
      <c r="AJ57" s="1155" t="s">
        <v>119</v>
      </c>
      <c r="AK57" s="1156">
        <v>1.26360057986615</v>
      </c>
      <c r="AL57" s="1157">
        <v>69053.62</v>
      </c>
      <c r="AM57" s="1155" t="s">
        <v>119</v>
      </c>
      <c r="AN57" s="1156">
        <v>1.26360057986615</v>
      </c>
      <c r="AO57" s="1157">
        <v>63821.05999999999</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4"/>
      <c r="D58" s="751"/>
      <c r="E58" s="765">
        <v>0</v>
      </c>
      <c r="F58" s="744"/>
      <c r="G58" s="751"/>
      <c r="H58" s="765">
        <v>0</v>
      </c>
      <c r="I58" s="744"/>
      <c r="J58" s="751"/>
      <c r="K58" s="765">
        <v>0</v>
      </c>
      <c r="L58" s="744"/>
      <c r="M58" s="751"/>
      <c r="N58" s="765">
        <v>0</v>
      </c>
      <c r="O58" s="744"/>
      <c r="P58" s="751"/>
      <c r="Q58" s="765">
        <v>0</v>
      </c>
      <c r="R58" s="744"/>
      <c r="S58" s="751"/>
      <c r="T58" s="765">
        <v>0</v>
      </c>
      <c r="U58" s="744"/>
      <c r="V58" s="751"/>
      <c r="W58" s="765">
        <v>0</v>
      </c>
      <c r="X58" s="744"/>
      <c r="Y58" s="751"/>
      <c r="Z58" s="765">
        <v>0</v>
      </c>
      <c r="AA58" s="744"/>
      <c r="AB58" s="751"/>
      <c r="AC58" s="765">
        <v>0</v>
      </c>
      <c r="AD58" s="744"/>
      <c r="AE58" s="751"/>
      <c r="AF58" s="765">
        <v>0</v>
      </c>
      <c r="AG58" s="744"/>
      <c r="AH58" s="751"/>
      <c r="AI58" s="765">
        <v>0</v>
      </c>
      <c r="AJ58" s="744"/>
      <c r="AK58" s="751"/>
      <c r="AL58" s="765">
        <v>0</v>
      </c>
      <c r="AM58" s="744"/>
      <c r="AN58" s="751"/>
      <c r="AO58" s="1240">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4"/>
      <c r="D59" s="751"/>
      <c r="E59" s="765">
        <v>0</v>
      </c>
      <c r="F59" s="744"/>
      <c r="G59" s="751"/>
      <c r="H59" s="765">
        <v>0</v>
      </c>
      <c r="I59" s="744"/>
      <c r="J59" s="751"/>
      <c r="K59" s="765">
        <v>0</v>
      </c>
      <c r="L59" s="744"/>
      <c r="M59" s="751"/>
      <c r="N59" s="765">
        <v>0</v>
      </c>
      <c r="O59" s="744"/>
      <c r="P59" s="751"/>
      <c r="Q59" s="765">
        <v>0</v>
      </c>
      <c r="R59" s="744"/>
      <c r="S59" s="751"/>
      <c r="T59" s="765">
        <v>0</v>
      </c>
      <c r="U59" s="744"/>
      <c r="V59" s="751"/>
      <c r="W59" s="765">
        <v>0</v>
      </c>
      <c r="X59" s="744"/>
      <c r="Y59" s="751"/>
      <c r="Z59" s="765">
        <v>0</v>
      </c>
      <c r="AA59" s="744"/>
      <c r="AB59" s="751"/>
      <c r="AC59" s="765">
        <v>0</v>
      </c>
      <c r="AD59" s="744"/>
      <c r="AE59" s="751"/>
      <c r="AF59" s="765">
        <v>0</v>
      </c>
      <c r="AG59" s="744"/>
      <c r="AH59" s="751"/>
      <c r="AI59" s="765">
        <v>0</v>
      </c>
      <c r="AJ59" s="744"/>
      <c r="AK59" s="751"/>
      <c r="AL59" s="765">
        <v>0</v>
      </c>
      <c r="AM59" s="744"/>
      <c r="AN59" s="751"/>
      <c r="AO59" s="1240">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72"/>
      <c r="D60" s="773"/>
      <c r="E60" s="775">
        <v>113056.32000000001</v>
      </c>
      <c r="F60" s="772"/>
      <c r="G60" s="773"/>
      <c r="H60" s="775">
        <v>11043.63</v>
      </c>
      <c r="I60" s="772"/>
      <c r="J60" s="773"/>
      <c r="K60" s="775">
        <v>10438.73</v>
      </c>
      <c r="L60" s="772"/>
      <c r="M60" s="773"/>
      <c r="N60" s="775">
        <v>8585.7900000000009</v>
      </c>
      <c r="O60" s="772"/>
      <c r="P60" s="773"/>
      <c r="Q60" s="775">
        <v>5799.11</v>
      </c>
      <c r="R60" s="772"/>
      <c r="S60" s="773"/>
      <c r="T60" s="775">
        <v>13630.57</v>
      </c>
      <c r="U60" s="772"/>
      <c r="V60" s="773"/>
      <c r="W60" s="775">
        <v>11014.36</v>
      </c>
      <c r="X60" s="772"/>
      <c r="Y60" s="773"/>
      <c r="Z60" s="775">
        <v>7490.62</v>
      </c>
      <c r="AA60" s="772"/>
      <c r="AB60" s="773"/>
      <c r="AC60" s="775">
        <v>9933.1299999999992</v>
      </c>
      <c r="AD60" s="772"/>
      <c r="AE60" s="773"/>
      <c r="AF60" s="775">
        <v>8541.7199999999993</v>
      </c>
      <c r="AG60" s="772"/>
      <c r="AH60" s="773"/>
      <c r="AI60" s="775">
        <v>6523.11</v>
      </c>
      <c r="AJ60" s="772"/>
      <c r="AK60" s="773"/>
      <c r="AL60" s="775">
        <v>9881.7800000000007</v>
      </c>
      <c r="AM60" s="772"/>
      <c r="AN60" s="773"/>
      <c r="AO60" s="1244">
        <v>10173.77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4"/>
      <c r="D61" s="751"/>
      <c r="E61" s="765">
        <v>90221.78</v>
      </c>
      <c r="F61" s="744"/>
      <c r="G61" s="751"/>
      <c r="H61" s="765">
        <v>6207.73</v>
      </c>
      <c r="I61" s="744"/>
      <c r="J61" s="751"/>
      <c r="K61" s="765">
        <v>6313.34</v>
      </c>
      <c r="L61" s="744"/>
      <c r="M61" s="751"/>
      <c r="N61" s="765">
        <v>7256.78</v>
      </c>
      <c r="O61" s="744"/>
      <c r="P61" s="751"/>
      <c r="Q61" s="765">
        <v>7784.61</v>
      </c>
      <c r="R61" s="744"/>
      <c r="S61" s="751"/>
      <c r="T61" s="765">
        <v>9063.09</v>
      </c>
      <c r="U61" s="744"/>
      <c r="V61" s="751"/>
      <c r="W61" s="765">
        <v>5623.99</v>
      </c>
      <c r="X61" s="744"/>
      <c r="Y61" s="751"/>
      <c r="Z61" s="765">
        <v>7652.37</v>
      </c>
      <c r="AA61" s="744"/>
      <c r="AB61" s="751"/>
      <c r="AC61" s="765">
        <v>6190.88</v>
      </c>
      <c r="AD61" s="744"/>
      <c r="AE61" s="751"/>
      <c r="AF61" s="765">
        <v>9523.36</v>
      </c>
      <c r="AG61" s="744"/>
      <c r="AH61" s="751"/>
      <c r="AI61" s="765">
        <v>7696.69</v>
      </c>
      <c r="AJ61" s="744"/>
      <c r="AK61" s="751"/>
      <c r="AL61" s="765">
        <v>6971.19</v>
      </c>
      <c r="AM61" s="744"/>
      <c r="AN61" s="751"/>
      <c r="AO61" s="1240">
        <v>9937.75</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4"/>
      <c r="D62" s="751"/>
      <c r="E62" s="765">
        <v>19344.939999999999</v>
      </c>
      <c r="F62" s="744"/>
      <c r="G62" s="751"/>
      <c r="H62" s="765">
        <v>1811.46</v>
      </c>
      <c r="I62" s="744"/>
      <c r="J62" s="751"/>
      <c r="K62" s="765">
        <v>995.9</v>
      </c>
      <c r="L62" s="744"/>
      <c r="M62" s="751"/>
      <c r="N62" s="765">
        <v>1059.24</v>
      </c>
      <c r="O62" s="744"/>
      <c r="P62" s="751"/>
      <c r="Q62" s="765">
        <v>1501.77</v>
      </c>
      <c r="R62" s="744"/>
      <c r="S62" s="751"/>
      <c r="T62" s="765">
        <v>1778.24</v>
      </c>
      <c r="U62" s="744"/>
      <c r="V62" s="751"/>
      <c r="W62" s="765">
        <v>2225.94</v>
      </c>
      <c r="X62" s="744"/>
      <c r="Y62" s="751"/>
      <c r="Z62" s="765">
        <v>1293.58</v>
      </c>
      <c r="AA62" s="744"/>
      <c r="AB62" s="751"/>
      <c r="AC62" s="765">
        <v>765.11</v>
      </c>
      <c r="AD62" s="744"/>
      <c r="AE62" s="751"/>
      <c r="AF62" s="765">
        <v>1925.24</v>
      </c>
      <c r="AG62" s="744"/>
      <c r="AH62" s="751"/>
      <c r="AI62" s="765">
        <v>2623.13</v>
      </c>
      <c r="AJ62" s="744"/>
      <c r="AK62" s="751"/>
      <c r="AL62" s="765">
        <v>1668.07</v>
      </c>
      <c r="AM62" s="744"/>
      <c r="AN62" s="751"/>
      <c r="AO62" s="1240">
        <v>1697.26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72"/>
      <c r="D63" s="773"/>
      <c r="E63" s="775">
        <v>86815.53</v>
      </c>
      <c r="F63" s="772"/>
      <c r="G63" s="773"/>
      <c r="H63" s="775">
        <v>7697.88</v>
      </c>
      <c r="I63" s="772"/>
      <c r="J63" s="773"/>
      <c r="K63" s="775">
        <v>7771.09</v>
      </c>
      <c r="L63" s="772"/>
      <c r="M63" s="773"/>
      <c r="N63" s="775">
        <v>10430.41</v>
      </c>
      <c r="O63" s="772"/>
      <c r="P63" s="773"/>
      <c r="Q63" s="775">
        <v>7415.88</v>
      </c>
      <c r="R63" s="772"/>
      <c r="S63" s="773"/>
      <c r="T63" s="775">
        <v>7261.42</v>
      </c>
      <c r="U63" s="772"/>
      <c r="V63" s="773"/>
      <c r="W63" s="775">
        <v>6186.82</v>
      </c>
      <c r="X63" s="772"/>
      <c r="Y63" s="773"/>
      <c r="Z63" s="775">
        <v>8436.09</v>
      </c>
      <c r="AA63" s="772"/>
      <c r="AB63" s="773"/>
      <c r="AC63" s="775">
        <v>6440.06</v>
      </c>
      <c r="AD63" s="772"/>
      <c r="AE63" s="773"/>
      <c r="AF63" s="775">
        <v>8397.52</v>
      </c>
      <c r="AG63" s="772"/>
      <c r="AH63" s="773"/>
      <c r="AI63" s="775">
        <v>8395.9699999999993</v>
      </c>
      <c r="AJ63" s="772"/>
      <c r="AK63" s="773"/>
      <c r="AL63" s="775">
        <v>9175.1200000000008</v>
      </c>
      <c r="AM63" s="772"/>
      <c r="AN63" s="773"/>
      <c r="AO63" s="1244">
        <v>-792.73</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4"/>
      <c r="D64" s="751"/>
      <c r="E64" s="765">
        <v>463.94999999999993</v>
      </c>
      <c r="F64" s="744"/>
      <c r="G64" s="751"/>
      <c r="H64" s="765">
        <v>0</v>
      </c>
      <c r="I64" s="744"/>
      <c r="J64" s="751"/>
      <c r="K64" s="765">
        <v>165.98</v>
      </c>
      <c r="L64" s="744"/>
      <c r="M64" s="751"/>
      <c r="N64" s="765">
        <v>140.41</v>
      </c>
      <c r="O64" s="744"/>
      <c r="P64" s="751"/>
      <c r="Q64" s="765">
        <v>0</v>
      </c>
      <c r="R64" s="744"/>
      <c r="S64" s="751"/>
      <c r="T64" s="765">
        <v>0</v>
      </c>
      <c r="U64" s="744"/>
      <c r="V64" s="751"/>
      <c r="W64" s="765">
        <v>0</v>
      </c>
      <c r="X64" s="744"/>
      <c r="Y64" s="751"/>
      <c r="Z64" s="765">
        <v>0</v>
      </c>
      <c r="AA64" s="744"/>
      <c r="AB64" s="751"/>
      <c r="AC64" s="765">
        <v>131.91</v>
      </c>
      <c r="AD64" s="744"/>
      <c r="AE64" s="751"/>
      <c r="AF64" s="765">
        <v>25.65</v>
      </c>
      <c r="AG64" s="744"/>
      <c r="AH64" s="751"/>
      <c r="AI64" s="765">
        <v>0</v>
      </c>
      <c r="AJ64" s="744"/>
      <c r="AK64" s="751"/>
      <c r="AL64" s="765">
        <v>0</v>
      </c>
      <c r="AM64" s="744"/>
      <c r="AN64" s="751"/>
      <c r="AO64" s="1240">
        <v>0</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4"/>
      <c r="D65" s="751"/>
      <c r="E65" s="765">
        <v>623</v>
      </c>
      <c r="F65" s="744"/>
      <c r="G65" s="751"/>
      <c r="H65" s="765">
        <v>623</v>
      </c>
      <c r="I65" s="744"/>
      <c r="J65" s="751"/>
      <c r="K65" s="765">
        <v>0</v>
      </c>
      <c r="L65" s="744"/>
      <c r="M65" s="751"/>
      <c r="N65" s="765">
        <v>0</v>
      </c>
      <c r="O65" s="744"/>
      <c r="P65" s="751"/>
      <c r="Q65" s="765">
        <v>0</v>
      </c>
      <c r="R65" s="744"/>
      <c r="S65" s="751"/>
      <c r="T65" s="765">
        <v>0</v>
      </c>
      <c r="U65" s="744"/>
      <c r="V65" s="751"/>
      <c r="W65" s="765">
        <v>0</v>
      </c>
      <c r="X65" s="744"/>
      <c r="Y65" s="751"/>
      <c r="Z65" s="765">
        <v>0</v>
      </c>
      <c r="AA65" s="744"/>
      <c r="AB65" s="751"/>
      <c r="AC65" s="765">
        <v>0</v>
      </c>
      <c r="AD65" s="744"/>
      <c r="AE65" s="751"/>
      <c r="AF65" s="765">
        <v>0</v>
      </c>
      <c r="AG65" s="744"/>
      <c r="AH65" s="751"/>
      <c r="AI65" s="765">
        <v>0</v>
      </c>
      <c r="AJ65" s="744"/>
      <c r="AK65" s="751"/>
      <c r="AL65" s="765">
        <v>0</v>
      </c>
      <c r="AM65" s="744"/>
      <c r="AN65" s="751"/>
      <c r="AO65" s="1240">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4"/>
      <c r="D66" s="751"/>
      <c r="E66" s="765">
        <v>6389.3099999999995</v>
      </c>
      <c r="F66" s="744"/>
      <c r="G66" s="751"/>
      <c r="H66" s="765">
        <v>161.72999999999999</v>
      </c>
      <c r="I66" s="744"/>
      <c r="J66" s="751"/>
      <c r="K66" s="765">
        <v>1041.95</v>
      </c>
      <c r="L66" s="744"/>
      <c r="M66" s="751"/>
      <c r="N66" s="765">
        <v>543.03</v>
      </c>
      <c r="O66" s="744"/>
      <c r="P66" s="751"/>
      <c r="Q66" s="765">
        <v>58.13</v>
      </c>
      <c r="R66" s="744"/>
      <c r="S66" s="751"/>
      <c r="T66" s="765">
        <v>1047.3499999999999</v>
      </c>
      <c r="U66" s="744"/>
      <c r="V66" s="751"/>
      <c r="W66" s="765">
        <v>408.53</v>
      </c>
      <c r="X66" s="744"/>
      <c r="Y66" s="751"/>
      <c r="Z66" s="765">
        <v>218.53</v>
      </c>
      <c r="AA66" s="744"/>
      <c r="AB66" s="751"/>
      <c r="AC66" s="765">
        <v>821.13</v>
      </c>
      <c r="AD66" s="744"/>
      <c r="AE66" s="751"/>
      <c r="AF66" s="765">
        <v>299.54000000000002</v>
      </c>
      <c r="AG66" s="744"/>
      <c r="AH66" s="751"/>
      <c r="AI66" s="765">
        <v>58.95</v>
      </c>
      <c r="AJ66" s="744"/>
      <c r="AK66" s="751"/>
      <c r="AL66" s="765">
        <v>1466.35</v>
      </c>
      <c r="AM66" s="744"/>
      <c r="AN66" s="751"/>
      <c r="AO66" s="1240">
        <v>264.08999999999997</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4"/>
      <c r="D67" s="751"/>
      <c r="E67" s="765">
        <v>4914.1400000000003</v>
      </c>
      <c r="F67" s="744"/>
      <c r="G67" s="751"/>
      <c r="H67" s="765">
        <v>469.87</v>
      </c>
      <c r="I67" s="744"/>
      <c r="J67" s="751"/>
      <c r="K67" s="765">
        <v>439.54</v>
      </c>
      <c r="L67" s="744"/>
      <c r="M67" s="751"/>
      <c r="N67" s="765">
        <v>387.42</v>
      </c>
      <c r="O67" s="744"/>
      <c r="P67" s="751"/>
      <c r="Q67" s="765">
        <v>396.63</v>
      </c>
      <c r="R67" s="744"/>
      <c r="S67" s="751"/>
      <c r="T67" s="765">
        <v>471.73</v>
      </c>
      <c r="U67" s="744"/>
      <c r="V67" s="751"/>
      <c r="W67" s="765">
        <v>389.49</v>
      </c>
      <c r="X67" s="744"/>
      <c r="Y67" s="751"/>
      <c r="Z67" s="765">
        <v>355.13</v>
      </c>
      <c r="AA67" s="744"/>
      <c r="AB67" s="751"/>
      <c r="AC67" s="765">
        <v>467.29</v>
      </c>
      <c r="AD67" s="744"/>
      <c r="AE67" s="751"/>
      <c r="AF67" s="765">
        <v>368.32</v>
      </c>
      <c r="AG67" s="744"/>
      <c r="AH67" s="751"/>
      <c r="AI67" s="765">
        <v>402.18</v>
      </c>
      <c r="AJ67" s="744"/>
      <c r="AK67" s="751"/>
      <c r="AL67" s="765">
        <v>398.61</v>
      </c>
      <c r="AM67" s="744"/>
      <c r="AN67" s="751"/>
      <c r="AO67" s="1240">
        <v>367.93</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4"/>
      <c r="D68" s="751"/>
      <c r="E68" s="765">
        <v>2686.24</v>
      </c>
      <c r="F68" s="744"/>
      <c r="G68" s="751"/>
      <c r="H68" s="765">
        <v>725.8</v>
      </c>
      <c r="I68" s="744"/>
      <c r="J68" s="751"/>
      <c r="K68" s="765">
        <v>447.9</v>
      </c>
      <c r="L68" s="744"/>
      <c r="M68" s="751"/>
      <c r="N68" s="765">
        <v>405.83</v>
      </c>
      <c r="O68" s="744"/>
      <c r="P68" s="751"/>
      <c r="Q68" s="765">
        <v>131.27000000000001</v>
      </c>
      <c r="R68" s="744"/>
      <c r="S68" s="751"/>
      <c r="T68" s="765">
        <v>211.16</v>
      </c>
      <c r="U68" s="744"/>
      <c r="V68" s="751"/>
      <c r="W68" s="765">
        <v>88.36</v>
      </c>
      <c r="X68" s="744"/>
      <c r="Y68" s="751"/>
      <c r="Z68" s="765">
        <v>54.6</v>
      </c>
      <c r="AA68" s="744"/>
      <c r="AB68" s="751"/>
      <c r="AC68" s="765">
        <v>204.13</v>
      </c>
      <c r="AD68" s="744"/>
      <c r="AE68" s="751"/>
      <c r="AF68" s="765">
        <v>78.17</v>
      </c>
      <c r="AG68" s="744"/>
      <c r="AH68" s="751"/>
      <c r="AI68" s="765">
        <v>87.27</v>
      </c>
      <c r="AJ68" s="744"/>
      <c r="AK68" s="751"/>
      <c r="AL68" s="765">
        <v>116.66</v>
      </c>
      <c r="AM68" s="744"/>
      <c r="AN68" s="751"/>
      <c r="AO68" s="1240">
        <v>135.09</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4"/>
      <c r="D69" s="751"/>
      <c r="E69" s="765">
        <v>1996.17</v>
      </c>
      <c r="F69" s="744"/>
      <c r="G69" s="751"/>
      <c r="H69" s="765">
        <v>89.42</v>
      </c>
      <c r="I69" s="744"/>
      <c r="J69" s="751"/>
      <c r="K69" s="765">
        <v>71.209999999999994</v>
      </c>
      <c r="L69" s="744"/>
      <c r="M69" s="751"/>
      <c r="N69" s="765">
        <v>71.209999999999994</v>
      </c>
      <c r="O69" s="744"/>
      <c r="P69" s="751"/>
      <c r="Q69" s="765">
        <v>121.08</v>
      </c>
      <c r="R69" s="744"/>
      <c r="S69" s="751"/>
      <c r="T69" s="765">
        <v>111.68</v>
      </c>
      <c r="U69" s="744"/>
      <c r="V69" s="751"/>
      <c r="W69" s="765">
        <v>62.72</v>
      </c>
      <c r="X69" s="744"/>
      <c r="Y69" s="751"/>
      <c r="Z69" s="765">
        <v>62.72</v>
      </c>
      <c r="AA69" s="744"/>
      <c r="AB69" s="751"/>
      <c r="AC69" s="765">
        <v>62.72</v>
      </c>
      <c r="AD69" s="744"/>
      <c r="AE69" s="751"/>
      <c r="AF69" s="765">
        <v>134.72</v>
      </c>
      <c r="AG69" s="744"/>
      <c r="AH69" s="751"/>
      <c r="AI69" s="765">
        <v>62.72</v>
      </c>
      <c r="AJ69" s="744"/>
      <c r="AK69" s="751"/>
      <c r="AL69" s="765">
        <v>410.38</v>
      </c>
      <c r="AM69" s="744"/>
      <c r="AN69" s="751"/>
      <c r="AO69" s="1240">
        <v>735.59</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4"/>
      <c r="D70" s="751"/>
      <c r="E70" s="765">
        <v>18826.98</v>
      </c>
      <c r="F70" s="744"/>
      <c r="G70" s="751"/>
      <c r="H70" s="765">
        <v>2282.7199999999998</v>
      </c>
      <c r="I70" s="744"/>
      <c r="J70" s="751"/>
      <c r="K70" s="765">
        <v>683.97</v>
      </c>
      <c r="L70" s="744"/>
      <c r="M70" s="751"/>
      <c r="N70" s="765">
        <v>3869.98</v>
      </c>
      <c r="O70" s="744"/>
      <c r="P70" s="751"/>
      <c r="Q70" s="765">
        <v>3882.08</v>
      </c>
      <c r="R70" s="744"/>
      <c r="S70" s="751"/>
      <c r="T70" s="765">
        <v>-43.66</v>
      </c>
      <c r="U70" s="744"/>
      <c r="V70" s="751"/>
      <c r="W70" s="765">
        <v>2302.08</v>
      </c>
      <c r="X70" s="744"/>
      <c r="Y70" s="751"/>
      <c r="Z70" s="765">
        <v>2528.0700000000002</v>
      </c>
      <c r="AA70" s="744"/>
      <c r="AB70" s="751"/>
      <c r="AC70" s="765">
        <v>620.33000000000004</v>
      </c>
      <c r="AD70" s="744"/>
      <c r="AE70" s="751"/>
      <c r="AF70" s="765">
        <v>1414.3</v>
      </c>
      <c r="AG70" s="744"/>
      <c r="AH70" s="751"/>
      <c r="AI70" s="765">
        <v>611.27</v>
      </c>
      <c r="AJ70" s="744"/>
      <c r="AK70" s="751"/>
      <c r="AL70" s="765">
        <v>573.76</v>
      </c>
      <c r="AM70" s="744"/>
      <c r="AN70" s="751"/>
      <c r="AO70" s="1240">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4"/>
      <c r="D71" s="751"/>
      <c r="E71" s="765">
        <v>48083.390000000007</v>
      </c>
      <c r="F71" s="744"/>
      <c r="G71" s="751"/>
      <c r="H71" s="765">
        <v>2802.79</v>
      </c>
      <c r="I71" s="744"/>
      <c r="J71" s="751"/>
      <c r="K71" s="765">
        <v>2165.37</v>
      </c>
      <c r="L71" s="744"/>
      <c r="M71" s="751"/>
      <c r="N71" s="765">
        <v>3719.82</v>
      </c>
      <c r="O71" s="744"/>
      <c r="P71" s="751"/>
      <c r="Q71" s="765">
        <v>4608.58</v>
      </c>
      <c r="R71" s="744"/>
      <c r="S71" s="751"/>
      <c r="T71" s="765">
        <v>4559.6400000000003</v>
      </c>
      <c r="U71" s="744"/>
      <c r="V71" s="751"/>
      <c r="W71" s="765">
        <v>3513.7</v>
      </c>
      <c r="X71" s="744"/>
      <c r="Y71" s="751"/>
      <c r="Z71" s="765">
        <v>3902.37</v>
      </c>
      <c r="AA71" s="744"/>
      <c r="AB71" s="751"/>
      <c r="AC71" s="765">
        <v>3804.86</v>
      </c>
      <c r="AD71" s="744"/>
      <c r="AE71" s="751"/>
      <c r="AF71" s="765">
        <v>4016.45</v>
      </c>
      <c r="AG71" s="744"/>
      <c r="AH71" s="751"/>
      <c r="AI71" s="765">
        <v>4645.42</v>
      </c>
      <c r="AJ71" s="744"/>
      <c r="AK71" s="751"/>
      <c r="AL71" s="765">
        <v>6358.02</v>
      </c>
      <c r="AM71" s="744"/>
      <c r="AN71" s="751"/>
      <c r="AO71" s="1240">
        <v>3986.37</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4"/>
      <c r="D72" s="751"/>
      <c r="E72" s="752"/>
      <c r="F72" s="744"/>
      <c r="G72" s="751"/>
      <c r="H72" s="752"/>
      <c r="I72" s="744"/>
      <c r="J72" s="751"/>
      <c r="K72" s="752"/>
      <c r="L72" s="744"/>
      <c r="M72" s="751"/>
      <c r="N72" s="752"/>
      <c r="O72" s="744"/>
      <c r="P72" s="751"/>
      <c r="Q72" s="752"/>
      <c r="R72" s="744"/>
      <c r="S72" s="751"/>
      <c r="T72" s="752"/>
      <c r="U72" s="744"/>
      <c r="V72" s="751"/>
      <c r="W72" s="752"/>
      <c r="X72" s="744"/>
      <c r="Y72" s="751"/>
      <c r="Z72" s="752"/>
      <c r="AA72" s="744"/>
      <c r="AB72" s="751"/>
      <c r="AC72" s="752"/>
      <c r="AD72" s="744"/>
      <c r="AE72" s="751"/>
      <c r="AF72" s="752"/>
      <c r="AG72" s="744"/>
      <c r="AH72" s="751"/>
      <c r="AI72" s="752"/>
      <c r="AJ72" s="744"/>
      <c r="AK72" s="751"/>
      <c r="AL72" s="752"/>
      <c r="AM72" s="744"/>
      <c r="AN72" s="751"/>
      <c r="AO72" s="752"/>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4"/>
      <c r="D73" s="751"/>
      <c r="E73" s="752"/>
      <c r="F73" s="744"/>
      <c r="G73" s="751"/>
      <c r="H73" s="752"/>
      <c r="I73" s="744"/>
      <c r="J73" s="751"/>
      <c r="K73" s="752"/>
      <c r="L73" s="744"/>
      <c r="M73" s="751"/>
      <c r="N73" s="752"/>
      <c r="O73" s="744"/>
      <c r="P73" s="751"/>
      <c r="Q73" s="752"/>
      <c r="R73" s="744"/>
      <c r="S73" s="751"/>
      <c r="T73" s="752"/>
      <c r="U73" s="744"/>
      <c r="V73" s="751"/>
      <c r="W73" s="752"/>
      <c r="X73" s="744"/>
      <c r="Y73" s="751"/>
      <c r="Z73" s="752"/>
      <c r="AA73" s="744"/>
      <c r="AB73" s="751"/>
      <c r="AC73" s="752"/>
      <c r="AD73" s="744"/>
      <c r="AE73" s="751"/>
      <c r="AF73" s="752"/>
      <c r="AG73" s="744"/>
      <c r="AH73" s="751"/>
      <c r="AI73" s="752"/>
      <c r="AJ73" s="744"/>
      <c r="AK73" s="751"/>
      <c r="AL73" s="752"/>
      <c r="AM73" s="744"/>
      <c r="AN73" s="751"/>
      <c r="AO73" s="752"/>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0"/>
      <c r="D74" s="771"/>
      <c r="E74" s="752"/>
      <c r="F74" s="770"/>
      <c r="G74" s="771"/>
      <c r="H74" s="752"/>
      <c r="I74" s="770"/>
      <c r="J74" s="771"/>
      <c r="K74" s="752"/>
      <c r="L74" s="770"/>
      <c r="M74" s="771"/>
      <c r="N74" s="752"/>
      <c r="O74" s="770"/>
      <c r="P74" s="771"/>
      <c r="Q74" s="752"/>
      <c r="R74" s="770"/>
      <c r="S74" s="771"/>
      <c r="T74" s="752"/>
      <c r="U74" s="770"/>
      <c r="V74" s="771"/>
      <c r="W74" s="752"/>
      <c r="X74" s="770"/>
      <c r="Y74" s="771"/>
      <c r="Z74" s="752"/>
      <c r="AA74" s="770"/>
      <c r="AB74" s="771"/>
      <c r="AC74" s="752"/>
      <c r="AD74" s="770"/>
      <c r="AE74" s="771"/>
      <c r="AF74" s="752"/>
      <c r="AG74" s="770"/>
      <c r="AH74" s="771"/>
      <c r="AI74" s="752"/>
      <c r="AJ74" s="770"/>
      <c r="AK74" s="771"/>
      <c r="AL74" s="752"/>
      <c r="AM74" s="770"/>
      <c r="AN74" s="771"/>
      <c r="AO74" s="752"/>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1155" t="s">
        <v>119</v>
      </c>
      <c r="D75" s="1156">
        <v>0.1734804359633656</v>
      </c>
      <c r="E75" s="1157">
        <v>393421.75</v>
      </c>
      <c r="F75" s="1155" t="s">
        <v>119</v>
      </c>
      <c r="G75" s="1156">
        <v>0.17775480927066395</v>
      </c>
      <c r="H75" s="1157">
        <v>33916.03</v>
      </c>
      <c r="I75" s="1155" t="s">
        <v>119</v>
      </c>
      <c r="J75" s="1156">
        <v>0.22450388542331767</v>
      </c>
      <c r="K75" s="1157">
        <v>30534.980000000003</v>
      </c>
      <c r="L75" s="1155" t="s">
        <v>119</v>
      </c>
      <c r="M75" s="1156">
        <v>0.23457150310815983</v>
      </c>
      <c r="N75" s="1157">
        <v>36469.919999999998</v>
      </c>
      <c r="O75" s="1155" t="s">
        <v>119</v>
      </c>
      <c r="P75" s="1156">
        <v>0.16496079394817884</v>
      </c>
      <c r="Q75" s="1157">
        <v>31699.140000000007</v>
      </c>
      <c r="R75" s="1155" t="s">
        <v>119</v>
      </c>
      <c r="S75" s="1156">
        <v>0.18669008492729969</v>
      </c>
      <c r="T75" s="1157">
        <v>38091.22</v>
      </c>
      <c r="U75" s="1155" t="s">
        <v>119</v>
      </c>
      <c r="V75" s="1156">
        <v>0.21780215540410455</v>
      </c>
      <c r="W75" s="1242">
        <v>31815.99</v>
      </c>
      <c r="X75" s="1155" t="s">
        <v>119</v>
      </c>
      <c r="Y75" s="1156">
        <v>0.11927341148653696</v>
      </c>
      <c r="Z75" s="1242">
        <v>31994.079999999998</v>
      </c>
      <c r="AA75" s="1155" t="s">
        <v>119</v>
      </c>
      <c r="AB75" s="1156">
        <v>0.13010257853800511</v>
      </c>
      <c r="AC75" s="1242">
        <v>29441.550000000007</v>
      </c>
      <c r="AD75" s="1155" t="s">
        <v>119</v>
      </c>
      <c r="AE75" s="1156">
        <v>0.15220187413705688</v>
      </c>
      <c r="AF75" s="1242">
        <v>34724.990000000005</v>
      </c>
      <c r="AG75" s="1155" t="s">
        <v>119</v>
      </c>
      <c r="AH75" s="1156">
        <v>0.17682504480354266</v>
      </c>
      <c r="AI75" s="1157">
        <v>31106.710000000006</v>
      </c>
      <c r="AJ75" s="1155" t="s">
        <v>119</v>
      </c>
      <c r="AK75" s="1156">
        <v>0.16643348557241514</v>
      </c>
      <c r="AL75" s="1157">
        <v>37019.94</v>
      </c>
      <c r="AM75" s="1155" t="s">
        <v>119</v>
      </c>
      <c r="AN75" s="1156">
        <v>0.21770176023972801</v>
      </c>
      <c r="AO75" s="1157">
        <v>26607.200000000001</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0"/>
      <c r="D76" s="771"/>
      <c r="E76" s="768"/>
      <c r="F76" s="770"/>
      <c r="G76" s="771"/>
      <c r="H76" s="768"/>
      <c r="I76" s="770"/>
      <c r="J76" s="771"/>
      <c r="K76" s="768"/>
      <c r="L76" s="770"/>
      <c r="M76" s="771"/>
      <c r="N76" s="768"/>
      <c r="O76" s="770"/>
      <c r="P76" s="771"/>
      <c r="Q76" s="768"/>
      <c r="R76" s="770"/>
      <c r="S76" s="771"/>
      <c r="T76" s="768"/>
      <c r="U76" s="770"/>
      <c r="V76" s="771"/>
      <c r="W76" s="768"/>
      <c r="X76" s="770"/>
      <c r="Y76" s="771"/>
      <c r="Z76" s="768"/>
      <c r="AA76" s="770"/>
      <c r="AB76" s="771"/>
      <c r="AC76" s="768"/>
      <c r="AD76" s="770"/>
      <c r="AE76" s="771"/>
      <c r="AF76" s="768"/>
      <c r="AG76" s="770"/>
      <c r="AH76" s="771"/>
      <c r="AI76" s="768"/>
      <c r="AJ76" s="770"/>
      <c r="AK76" s="771"/>
      <c r="AL76" s="768"/>
      <c r="AM76" s="770"/>
      <c r="AN76" s="771"/>
      <c r="AO76" s="768"/>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1155" t="s">
        <v>119</v>
      </c>
      <c r="D77" s="1156">
        <v>1.0122748834358835</v>
      </c>
      <c r="E77" s="1165">
        <v>2295653.4200000004</v>
      </c>
      <c r="F77" s="1155" t="s">
        <v>119</v>
      </c>
      <c r="G77" s="1156">
        <v>1.1062961393760893</v>
      </c>
      <c r="H77" s="1165">
        <v>211083.87</v>
      </c>
      <c r="I77" s="1155" t="s">
        <v>119</v>
      </c>
      <c r="J77" s="1156">
        <v>0.99959010644145418</v>
      </c>
      <c r="K77" s="1165">
        <v>135955.17000000001</v>
      </c>
      <c r="L77" s="1155" t="s">
        <v>119</v>
      </c>
      <c r="M77" s="1156">
        <v>1.3096225210748205</v>
      </c>
      <c r="N77" s="1165">
        <v>203613.08999999997</v>
      </c>
      <c r="O77" s="1155" t="s">
        <v>119</v>
      </c>
      <c r="P77" s="1156">
        <v>0.96955459273197342</v>
      </c>
      <c r="Q77" s="1165">
        <v>186311.22</v>
      </c>
      <c r="R77" s="1155" t="s">
        <v>119</v>
      </c>
      <c r="S77" s="1156">
        <v>1.0850850672271073</v>
      </c>
      <c r="T77" s="1165">
        <v>221394.80000000002</v>
      </c>
      <c r="U77" s="1155" t="s">
        <v>119</v>
      </c>
      <c r="V77" s="1156">
        <v>1.19812787022339</v>
      </c>
      <c r="W77" s="1245">
        <v>175019.5</v>
      </c>
      <c r="X77" s="1155" t="s">
        <v>119</v>
      </c>
      <c r="Y77" s="1156">
        <v>0.79389781991609032</v>
      </c>
      <c r="Z77" s="1245">
        <v>212956.35</v>
      </c>
      <c r="AA77" s="1155" t="s">
        <v>119</v>
      </c>
      <c r="AB77" s="1156">
        <v>0.79623707825496748</v>
      </c>
      <c r="AC77" s="1245">
        <v>180184.38999999998</v>
      </c>
      <c r="AD77" s="1155" t="s">
        <v>119</v>
      </c>
      <c r="AE77" s="1156">
        <v>0.82343310810079351</v>
      </c>
      <c r="AF77" s="1245">
        <v>187866.97999999998</v>
      </c>
      <c r="AG77" s="1155" t="s">
        <v>119</v>
      </c>
      <c r="AH77" s="1156">
        <v>1.2136249722242789</v>
      </c>
      <c r="AI77" s="1165">
        <v>213498.49</v>
      </c>
      <c r="AJ77" s="1155" t="s">
        <v>119</v>
      </c>
      <c r="AK77" s="1156">
        <v>0.91570979995400348</v>
      </c>
      <c r="AL77" s="1165">
        <v>203682.09999999998</v>
      </c>
      <c r="AM77" s="1155" t="s">
        <v>119</v>
      </c>
      <c r="AN77" s="1156">
        <v>1.3425737723347799</v>
      </c>
      <c r="AO77" s="1165">
        <v>164087.46</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4"/>
      <c r="D78" s="751"/>
      <c r="E78" s="765">
        <v>88064.2</v>
      </c>
      <c r="F78" s="744"/>
      <c r="G78" s="751"/>
      <c r="H78" s="765">
        <v>0</v>
      </c>
      <c r="I78" s="744"/>
      <c r="J78" s="751"/>
      <c r="K78" s="765">
        <v>0</v>
      </c>
      <c r="L78" s="744"/>
      <c r="M78" s="751"/>
      <c r="N78" s="765">
        <v>0</v>
      </c>
      <c r="O78" s="744"/>
      <c r="P78" s="751"/>
      <c r="Q78" s="765">
        <v>0</v>
      </c>
      <c r="R78" s="744"/>
      <c r="S78" s="751"/>
      <c r="T78" s="765">
        <v>0</v>
      </c>
      <c r="U78" s="744"/>
      <c r="V78" s="751"/>
      <c r="W78" s="765">
        <v>12000</v>
      </c>
      <c r="X78" s="744"/>
      <c r="Y78" s="751"/>
      <c r="Z78" s="765">
        <v>0</v>
      </c>
      <c r="AA78" s="744"/>
      <c r="AB78" s="751"/>
      <c r="AC78" s="765">
        <v>19414.2</v>
      </c>
      <c r="AD78" s="744"/>
      <c r="AE78" s="751"/>
      <c r="AF78" s="765">
        <v>0</v>
      </c>
      <c r="AG78" s="744"/>
      <c r="AH78" s="751"/>
      <c r="AI78" s="765">
        <v>45250</v>
      </c>
      <c r="AJ78" s="744"/>
      <c r="AK78" s="751"/>
      <c r="AL78" s="765">
        <v>0</v>
      </c>
      <c r="AM78" s="744"/>
      <c r="AN78" s="751"/>
      <c r="AO78" s="765">
        <v>11400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4"/>
      <c r="D79" s="751"/>
      <c r="E79" s="765">
        <v>0</v>
      </c>
      <c r="F79" s="744"/>
      <c r="G79" s="751"/>
      <c r="H79" s="765">
        <v>0</v>
      </c>
      <c r="I79" s="744"/>
      <c r="J79" s="751"/>
      <c r="K79" s="765">
        <v>0</v>
      </c>
      <c r="L79" s="744"/>
      <c r="M79" s="751"/>
      <c r="N79" s="765">
        <v>0</v>
      </c>
      <c r="O79" s="744"/>
      <c r="P79" s="751"/>
      <c r="Q79" s="765">
        <v>0</v>
      </c>
      <c r="R79" s="744"/>
      <c r="S79" s="751"/>
      <c r="T79" s="765">
        <v>0</v>
      </c>
      <c r="U79" s="744"/>
      <c r="V79" s="751"/>
      <c r="W79" s="765">
        <v>0</v>
      </c>
      <c r="X79" s="744"/>
      <c r="Y79" s="751"/>
      <c r="Z79" s="765">
        <v>0</v>
      </c>
      <c r="AA79" s="744"/>
      <c r="AB79" s="751"/>
      <c r="AC79" s="765">
        <v>0</v>
      </c>
      <c r="AD79" s="744"/>
      <c r="AE79" s="751"/>
      <c r="AF79" s="765">
        <v>0</v>
      </c>
      <c r="AG79" s="744"/>
      <c r="AH79" s="751"/>
      <c r="AI79" s="765">
        <v>0</v>
      </c>
      <c r="AJ79" s="744"/>
      <c r="AK79" s="751"/>
      <c r="AL79" s="765">
        <v>0</v>
      </c>
      <c r="AM79" s="744"/>
      <c r="AN79" s="751"/>
      <c r="AO79" s="765">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4"/>
      <c r="D80" s="751"/>
      <c r="E80" s="765">
        <v>0</v>
      </c>
      <c r="F80" s="744"/>
      <c r="G80" s="751"/>
      <c r="H80" s="765">
        <v>0</v>
      </c>
      <c r="I80" s="744"/>
      <c r="J80" s="751"/>
      <c r="K80" s="765">
        <v>0</v>
      </c>
      <c r="L80" s="744"/>
      <c r="M80" s="751"/>
      <c r="N80" s="765">
        <v>0</v>
      </c>
      <c r="O80" s="744"/>
      <c r="P80" s="751"/>
      <c r="Q80" s="765">
        <v>0</v>
      </c>
      <c r="R80" s="744"/>
      <c r="S80" s="751"/>
      <c r="T80" s="765">
        <v>0</v>
      </c>
      <c r="U80" s="744"/>
      <c r="V80" s="751"/>
      <c r="W80" s="765">
        <v>0</v>
      </c>
      <c r="X80" s="744"/>
      <c r="Y80" s="751"/>
      <c r="Z80" s="765">
        <v>0</v>
      </c>
      <c r="AA80" s="744"/>
      <c r="AB80" s="751"/>
      <c r="AC80" s="765">
        <v>0</v>
      </c>
      <c r="AD80" s="744"/>
      <c r="AE80" s="751"/>
      <c r="AF80" s="765">
        <v>0</v>
      </c>
      <c r="AG80" s="744"/>
      <c r="AH80" s="751"/>
      <c r="AI80" s="765">
        <v>0</v>
      </c>
      <c r="AJ80" s="744"/>
      <c r="AK80" s="751"/>
      <c r="AL80" s="765">
        <v>0</v>
      </c>
      <c r="AM80" s="744"/>
      <c r="AN80" s="751"/>
      <c r="AO80" s="765">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4"/>
      <c r="D81" s="751"/>
      <c r="E81" s="765">
        <v>890720.4</v>
      </c>
      <c r="F81" s="744"/>
      <c r="G81" s="751"/>
      <c r="H81" s="765">
        <v>82565</v>
      </c>
      <c r="I81" s="744"/>
      <c r="J81" s="751"/>
      <c r="K81" s="765">
        <v>47635</v>
      </c>
      <c r="L81" s="744"/>
      <c r="M81" s="751"/>
      <c r="N81" s="765">
        <v>69794</v>
      </c>
      <c r="O81" s="744"/>
      <c r="P81" s="751"/>
      <c r="Q81" s="765">
        <v>77555</v>
      </c>
      <c r="R81" s="744"/>
      <c r="S81" s="751"/>
      <c r="T81" s="765">
        <v>69529</v>
      </c>
      <c r="U81" s="744"/>
      <c r="V81" s="751"/>
      <c r="W81" s="765">
        <v>61215.55</v>
      </c>
      <c r="X81" s="744"/>
      <c r="Y81" s="751"/>
      <c r="Z81" s="765">
        <v>94826.85</v>
      </c>
      <c r="AA81" s="744"/>
      <c r="AB81" s="751"/>
      <c r="AC81" s="765">
        <v>80559</v>
      </c>
      <c r="AD81" s="744"/>
      <c r="AE81" s="751"/>
      <c r="AF81" s="765">
        <v>77496</v>
      </c>
      <c r="AG81" s="744"/>
      <c r="AH81" s="751"/>
      <c r="AI81" s="765">
        <v>76838</v>
      </c>
      <c r="AJ81" s="744"/>
      <c r="AK81" s="751"/>
      <c r="AL81" s="765">
        <v>95331</v>
      </c>
      <c r="AM81" s="744"/>
      <c r="AN81" s="751"/>
      <c r="AO81" s="765">
        <v>57376</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4"/>
      <c r="D82" s="751"/>
      <c r="E82" s="765"/>
      <c r="F82" s="744"/>
      <c r="G82" s="751"/>
      <c r="H82" s="765"/>
      <c r="I82" s="744"/>
      <c r="J82" s="751"/>
      <c r="K82" s="765"/>
      <c r="L82" s="744"/>
      <c r="M82" s="751"/>
      <c r="N82" s="765"/>
      <c r="O82" s="744"/>
      <c r="P82" s="751"/>
      <c r="Q82" s="765"/>
      <c r="R82" s="744"/>
      <c r="S82" s="751"/>
      <c r="T82" s="765"/>
      <c r="U82" s="744"/>
      <c r="V82" s="751"/>
      <c r="W82" s="765"/>
      <c r="X82" s="744"/>
      <c r="Y82" s="751"/>
      <c r="Z82" s="765"/>
      <c r="AA82" s="744"/>
      <c r="AB82" s="751"/>
      <c r="AC82" s="765"/>
      <c r="AD82" s="744"/>
      <c r="AE82" s="751"/>
      <c r="AF82" s="765"/>
      <c r="AG82" s="744"/>
      <c r="AH82" s="751"/>
      <c r="AI82" s="765"/>
      <c r="AJ82" s="744"/>
      <c r="AK82" s="751"/>
      <c r="AL82" s="765"/>
      <c r="AM82" s="744"/>
      <c r="AN82" s="751"/>
      <c r="AO82" s="765"/>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4"/>
      <c r="D83" s="751"/>
      <c r="E83" s="765"/>
      <c r="F83" s="744"/>
      <c r="G83" s="751"/>
      <c r="H83" s="765"/>
      <c r="I83" s="744"/>
      <c r="J83" s="751"/>
      <c r="K83" s="765"/>
      <c r="L83" s="744"/>
      <c r="M83" s="751"/>
      <c r="N83" s="765"/>
      <c r="O83" s="744"/>
      <c r="P83" s="751"/>
      <c r="Q83" s="765"/>
      <c r="R83" s="744"/>
      <c r="S83" s="751"/>
      <c r="T83" s="765"/>
      <c r="U83" s="744"/>
      <c r="V83" s="751"/>
      <c r="W83" s="765"/>
      <c r="X83" s="744"/>
      <c r="Y83" s="751"/>
      <c r="Z83" s="765"/>
      <c r="AA83" s="744"/>
      <c r="AB83" s="751"/>
      <c r="AC83" s="765"/>
      <c r="AD83" s="744"/>
      <c r="AE83" s="751"/>
      <c r="AF83" s="765"/>
      <c r="AG83" s="744"/>
      <c r="AH83" s="751"/>
      <c r="AI83" s="765"/>
      <c r="AJ83" s="744"/>
      <c r="AK83" s="751"/>
      <c r="AL83" s="765"/>
      <c r="AM83" s="744"/>
      <c r="AN83" s="751"/>
      <c r="AO83" s="765"/>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4"/>
      <c r="D84" s="751"/>
      <c r="E84" s="765"/>
      <c r="F84" s="744"/>
      <c r="G84" s="751"/>
      <c r="H84" s="765"/>
      <c r="I84" s="744"/>
      <c r="J84" s="751"/>
      <c r="K84" s="765"/>
      <c r="L84" s="744"/>
      <c r="M84" s="751"/>
      <c r="N84" s="765"/>
      <c r="O84" s="744"/>
      <c r="P84" s="751"/>
      <c r="Q84" s="765"/>
      <c r="R84" s="744"/>
      <c r="S84" s="751"/>
      <c r="T84" s="765"/>
      <c r="U84" s="744"/>
      <c r="V84" s="751"/>
      <c r="W84" s="765"/>
      <c r="X84" s="744"/>
      <c r="Y84" s="751"/>
      <c r="Z84" s="765"/>
      <c r="AA84" s="744"/>
      <c r="AB84" s="751"/>
      <c r="AC84" s="765"/>
      <c r="AD84" s="744"/>
      <c r="AE84" s="751"/>
      <c r="AF84" s="765"/>
      <c r="AG84" s="744"/>
      <c r="AH84" s="751"/>
      <c r="AI84" s="765"/>
      <c r="AJ84" s="744"/>
      <c r="AK84" s="751"/>
      <c r="AL84" s="765"/>
      <c r="AM84" s="744"/>
      <c r="AN84" s="751"/>
      <c r="AO84" s="765"/>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4"/>
      <c r="D85" s="751"/>
      <c r="E85" s="765">
        <v>318588</v>
      </c>
      <c r="F85" s="744"/>
      <c r="G85" s="751"/>
      <c r="H85" s="765">
        <v>24546</v>
      </c>
      <c r="I85" s="744"/>
      <c r="J85" s="751"/>
      <c r="K85" s="765">
        <v>15936</v>
      </c>
      <c r="L85" s="744"/>
      <c r="M85" s="751"/>
      <c r="N85" s="765">
        <v>23652</v>
      </c>
      <c r="O85" s="744"/>
      <c r="P85" s="751"/>
      <c r="Q85" s="765">
        <v>24441</v>
      </c>
      <c r="R85" s="744"/>
      <c r="S85" s="751"/>
      <c r="T85" s="765">
        <v>26496</v>
      </c>
      <c r="U85" s="744"/>
      <c r="V85" s="751"/>
      <c r="W85" s="765">
        <v>23346</v>
      </c>
      <c r="X85" s="744"/>
      <c r="Y85" s="751"/>
      <c r="Z85" s="765">
        <v>39648</v>
      </c>
      <c r="AA85" s="744"/>
      <c r="AB85" s="751"/>
      <c r="AC85" s="765">
        <v>33150</v>
      </c>
      <c r="AD85" s="744"/>
      <c r="AE85" s="751"/>
      <c r="AF85" s="765">
        <v>31659</v>
      </c>
      <c r="AG85" s="744"/>
      <c r="AH85" s="751"/>
      <c r="AI85" s="765">
        <v>22968</v>
      </c>
      <c r="AJ85" s="744"/>
      <c r="AK85" s="751"/>
      <c r="AL85" s="765">
        <v>31746</v>
      </c>
      <c r="AM85" s="744"/>
      <c r="AN85" s="751"/>
      <c r="AO85" s="765">
        <v>21000</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76"/>
      <c r="D86" s="1167"/>
      <c r="E86" s="777">
        <v>1297372.6000000001</v>
      </c>
      <c r="F86" s="776"/>
      <c r="G86" s="1167"/>
      <c r="H86" s="777">
        <v>107111</v>
      </c>
      <c r="I86" s="776"/>
      <c r="J86" s="1167"/>
      <c r="K86" s="777">
        <v>63571</v>
      </c>
      <c r="L86" s="776"/>
      <c r="M86" s="1167"/>
      <c r="N86" s="777">
        <v>93446</v>
      </c>
      <c r="O86" s="776"/>
      <c r="P86" s="1167"/>
      <c r="Q86" s="777">
        <v>101996</v>
      </c>
      <c r="R86" s="776"/>
      <c r="S86" s="1167"/>
      <c r="T86" s="777">
        <v>96025</v>
      </c>
      <c r="U86" s="776"/>
      <c r="V86" s="1167"/>
      <c r="W86" s="1246">
        <v>96561.55</v>
      </c>
      <c r="X86" s="776"/>
      <c r="Y86" s="1167"/>
      <c r="Z86" s="1246">
        <v>134474.85</v>
      </c>
      <c r="AA86" s="776"/>
      <c r="AB86" s="1167"/>
      <c r="AC86" s="1246">
        <v>133123.20000000001</v>
      </c>
      <c r="AD86" s="776"/>
      <c r="AE86" s="1167"/>
      <c r="AF86" s="1246">
        <v>109155</v>
      </c>
      <c r="AG86" s="776"/>
      <c r="AH86" s="1167"/>
      <c r="AI86" s="777">
        <v>145056</v>
      </c>
      <c r="AJ86" s="776"/>
      <c r="AK86" s="1167"/>
      <c r="AL86" s="777">
        <v>127077</v>
      </c>
      <c r="AM86" s="776"/>
      <c r="AN86" s="1167"/>
      <c r="AO86" s="777">
        <v>89776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78"/>
      <c r="D87" s="779"/>
      <c r="E87" s="780"/>
      <c r="F87" s="778"/>
      <c r="G87" s="779"/>
      <c r="H87" s="780"/>
      <c r="I87" s="778"/>
      <c r="J87" s="779"/>
      <c r="K87" s="780"/>
      <c r="L87" s="778"/>
      <c r="M87" s="779"/>
      <c r="N87" s="780"/>
      <c r="O87" s="778"/>
      <c r="P87" s="779"/>
      <c r="Q87" s="780"/>
      <c r="R87" s="778"/>
      <c r="S87" s="779"/>
      <c r="T87" s="780"/>
      <c r="U87" s="778"/>
      <c r="V87" s="779"/>
      <c r="W87" s="1247"/>
      <c r="X87" s="778"/>
      <c r="Y87" s="779"/>
      <c r="Z87" s="1247"/>
      <c r="AA87" s="778"/>
      <c r="AB87" s="779"/>
      <c r="AC87" s="1247"/>
      <c r="AD87" s="778"/>
      <c r="AE87" s="779"/>
      <c r="AF87" s="1247"/>
      <c r="AG87" s="778"/>
      <c r="AH87" s="779"/>
      <c r="AI87" s="780"/>
      <c r="AJ87" s="778"/>
      <c r="AK87" s="779"/>
      <c r="AL87" s="780"/>
      <c r="AM87" s="778"/>
      <c r="AN87" s="779"/>
      <c r="AO87" s="780"/>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1169"/>
      <c r="D88" s="1172"/>
      <c r="E88" s="1171">
        <v>1269535.4199999967</v>
      </c>
      <c r="F88" s="1169"/>
      <c r="G88" s="1172"/>
      <c r="H88" s="1171">
        <v>86829.449999998935</v>
      </c>
      <c r="I88" s="1169"/>
      <c r="J88" s="1172"/>
      <c r="K88" s="1171">
        <v>63626.749999999884</v>
      </c>
      <c r="L88" s="1169"/>
      <c r="M88" s="1172"/>
      <c r="N88" s="1171">
        <v>45307.549999999901</v>
      </c>
      <c r="O88" s="1169"/>
      <c r="P88" s="1172"/>
      <c r="Q88" s="1171">
        <v>107846.44000000006</v>
      </c>
      <c r="R88" s="1169"/>
      <c r="S88" s="1172"/>
      <c r="T88" s="1171">
        <v>78664.710000000108</v>
      </c>
      <c r="U88" s="1169"/>
      <c r="V88" s="1172"/>
      <c r="W88" s="1248">
        <v>67619.53000000013</v>
      </c>
      <c r="X88" s="1169"/>
      <c r="Y88" s="1172"/>
      <c r="Z88" s="1248">
        <v>189760.00999999983</v>
      </c>
      <c r="AA88" s="1169"/>
      <c r="AB88" s="1172"/>
      <c r="AC88" s="1248">
        <v>179233.70999999996</v>
      </c>
      <c r="AD88" s="1169"/>
      <c r="AE88" s="1172"/>
      <c r="AF88" s="1248">
        <v>149438.8899999999</v>
      </c>
      <c r="AG88" s="1169"/>
      <c r="AH88" s="1172"/>
      <c r="AI88" s="1171">
        <v>107475.51999999967</v>
      </c>
      <c r="AJ88" s="1169"/>
      <c r="AK88" s="1172"/>
      <c r="AL88" s="1171">
        <v>145825.73999999894</v>
      </c>
      <c r="AM88" s="1169"/>
      <c r="AN88" s="1172"/>
      <c r="AO88" s="1171">
        <v>47907.119999999937</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81"/>
      <c r="D89" s="781"/>
      <c r="E89" s="782"/>
      <c r="F89" s="781"/>
      <c r="G89" s="781"/>
      <c r="H89" s="782"/>
      <c r="I89" s="781"/>
      <c r="J89" s="781"/>
      <c r="K89" s="782"/>
      <c r="L89" s="781"/>
      <c r="M89" s="781"/>
      <c r="N89" s="782"/>
      <c r="O89" s="781"/>
      <c r="P89" s="781"/>
      <c r="Q89" s="782"/>
      <c r="R89" s="781"/>
      <c r="S89" s="781"/>
      <c r="T89" s="782"/>
      <c r="U89" s="781"/>
      <c r="V89" s="781"/>
      <c r="W89" s="782"/>
      <c r="X89" s="781"/>
      <c r="Y89" s="781"/>
      <c r="Z89" s="782"/>
      <c r="AA89" s="781"/>
      <c r="AB89" s="781"/>
      <c r="AC89" s="782"/>
      <c r="AD89" s="781"/>
      <c r="AE89" s="781"/>
      <c r="AF89" s="782"/>
      <c r="AG89" s="781"/>
      <c r="AH89" s="781"/>
      <c r="AI89" s="782"/>
      <c r="AJ89" s="781"/>
      <c r="AK89" s="781"/>
      <c r="AL89" s="782"/>
      <c r="AM89" s="781"/>
      <c r="AN89" s="781"/>
      <c r="AO89" s="782"/>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81"/>
      <c r="D90" s="781"/>
      <c r="E90" s="781"/>
      <c r="F90" s="781"/>
      <c r="G90" s="781"/>
      <c r="H90" s="781"/>
      <c r="I90" s="781"/>
      <c r="J90" s="781"/>
      <c r="K90" s="781"/>
      <c r="L90" s="781"/>
      <c r="M90" s="781"/>
      <c r="N90" s="781"/>
      <c r="O90" s="781"/>
      <c r="P90" s="781"/>
      <c r="Q90" s="781"/>
      <c r="R90" s="781"/>
      <c r="S90" s="781"/>
      <c r="T90" s="781"/>
      <c r="U90" s="781"/>
      <c r="V90" s="781"/>
      <c r="W90" s="781"/>
      <c r="X90" s="781"/>
      <c r="Y90" s="781"/>
      <c r="Z90" s="781"/>
      <c r="AA90" s="781"/>
      <c r="AB90" s="781"/>
      <c r="AC90" s="781"/>
      <c r="AD90" s="781"/>
      <c r="AE90" s="781"/>
      <c r="AF90" s="781"/>
      <c r="AG90" s="781"/>
      <c r="AH90" s="781"/>
      <c r="AI90" s="781"/>
      <c r="AJ90" s="781"/>
      <c r="AK90" s="781"/>
      <c r="AL90" s="781"/>
      <c r="AM90" s="781"/>
      <c r="AN90" s="781"/>
      <c r="AO90" s="781"/>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783"/>
      <c r="D91" s="783"/>
      <c r="E91" s="783"/>
      <c r="F91" s="783"/>
      <c r="G91" s="783"/>
      <c r="H91" s="783"/>
      <c r="I91" s="783"/>
      <c r="J91" s="783"/>
      <c r="K91" s="783"/>
      <c r="L91" s="783"/>
      <c r="M91" s="783"/>
      <c r="N91" s="783"/>
      <c r="O91" s="783"/>
      <c r="P91" s="783"/>
      <c r="Q91" s="783"/>
      <c r="R91" s="783"/>
      <c r="S91" s="783"/>
      <c r="T91" s="783"/>
      <c r="U91" s="783"/>
      <c r="V91" s="783"/>
      <c r="W91" s="783"/>
      <c r="X91" s="783"/>
      <c r="Y91" s="783"/>
      <c r="Z91" s="783"/>
      <c r="AA91" s="783"/>
      <c r="AB91" s="783"/>
      <c r="AC91" s="783"/>
      <c r="AD91" s="783"/>
      <c r="AE91" s="783"/>
      <c r="AF91" s="783"/>
      <c r="AG91" s="783"/>
      <c r="AH91" s="783"/>
      <c r="AI91" s="783"/>
      <c r="AJ91" s="783"/>
      <c r="AK91" s="783"/>
      <c r="AL91" s="783"/>
      <c r="AM91" s="783"/>
      <c r="AN91" s="783"/>
      <c r="AO91" s="783"/>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3934</v>
      </c>
      <c r="C92" s="784" t="s">
        <v>152</v>
      </c>
      <c r="D92" s="784"/>
      <c r="E92" s="784"/>
      <c r="F92" s="784"/>
      <c r="G92" s="784"/>
      <c r="H92" s="784"/>
      <c r="I92" s="784"/>
      <c r="J92" s="784"/>
      <c r="K92" s="784"/>
      <c r="L92" s="784"/>
      <c r="M92" s="784"/>
      <c r="N92" s="784"/>
      <c r="O92" s="784"/>
      <c r="P92" s="784"/>
      <c r="Q92" s="784"/>
      <c r="R92" s="784"/>
      <c r="S92" s="784"/>
      <c r="T92" s="784"/>
      <c r="U92" s="784"/>
      <c r="V92" s="784"/>
      <c r="W92" s="784"/>
      <c r="X92" s="784"/>
      <c r="Y92" s="784"/>
      <c r="Z92" s="784"/>
      <c r="AA92" s="784"/>
      <c r="AB92" s="784"/>
      <c r="AC92" s="784"/>
      <c r="AD92" s="784"/>
      <c r="AE92" s="784"/>
      <c r="AF92" s="784"/>
      <c r="AG92" s="784"/>
      <c r="AH92" s="784"/>
      <c r="AI92" s="784"/>
      <c r="AJ92" s="784"/>
      <c r="AK92" s="784"/>
      <c r="AL92" s="784"/>
      <c r="AM92" s="784"/>
      <c r="AN92" s="784"/>
      <c r="AO92" s="784"/>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783"/>
      <c r="D93" s="783"/>
      <c r="E93" s="783"/>
      <c r="F93" s="783"/>
      <c r="G93" s="783"/>
      <c r="H93" s="783"/>
      <c r="I93" s="783"/>
      <c r="J93" s="783"/>
      <c r="K93" s="783"/>
      <c r="L93" s="783"/>
      <c r="M93" s="783"/>
      <c r="N93" s="783"/>
      <c r="O93" s="783"/>
      <c r="P93" s="783"/>
      <c r="Q93" s="783"/>
      <c r="R93" s="783"/>
      <c r="S93" s="783"/>
      <c r="T93" s="783"/>
      <c r="U93" s="783"/>
      <c r="V93" s="783"/>
      <c r="W93" s="783"/>
      <c r="X93" s="783"/>
      <c r="Y93" s="783"/>
      <c r="Z93" s="783"/>
      <c r="AA93" s="783"/>
      <c r="AB93" s="783"/>
      <c r="AC93" s="783"/>
      <c r="AD93" s="783"/>
      <c r="AE93" s="783"/>
      <c r="AF93" s="783"/>
      <c r="AG93" s="783"/>
      <c r="AH93" s="783"/>
      <c r="AI93" s="783"/>
      <c r="AJ93" s="783"/>
      <c r="AK93" s="783"/>
      <c r="AL93" s="783"/>
      <c r="AM93" s="783"/>
      <c r="AN93" s="783"/>
      <c r="AO93" s="783"/>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729">
        <v>2025</v>
      </c>
      <c r="D94" s="730"/>
      <c r="E94" s="73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785" t="s">
        <v>93</v>
      </c>
      <c r="D95" s="762" t="s">
        <v>94</v>
      </c>
      <c r="E95" s="786" t="s">
        <v>95</v>
      </c>
      <c r="F95" s="785" t="s">
        <v>93</v>
      </c>
      <c r="G95" s="762" t="s">
        <v>94</v>
      </c>
      <c r="H95" s="786" t="s">
        <v>95</v>
      </c>
      <c r="I95" s="785" t="s">
        <v>93</v>
      </c>
      <c r="J95" s="762" t="s">
        <v>94</v>
      </c>
      <c r="K95" s="786" t="s">
        <v>95</v>
      </c>
      <c r="L95" s="785" t="s">
        <v>93</v>
      </c>
      <c r="M95" s="762" t="s">
        <v>94</v>
      </c>
      <c r="N95" s="786" t="s">
        <v>95</v>
      </c>
      <c r="O95" s="785" t="s">
        <v>93</v>
      </c>
      <c r="P95" s="762" t="s">
        <v>94</v>
      </c>
      <c r="Q95" s="786" t="s">
        <v>95</v>
      </c>
      <c r="R95" s="785" t="s">
        <v>93</v>
      </c>
      <c r="S95" s="762" t="s">
        <v>94</v>
      </c>
      <c r="T95" s="786" t="s">
        <v>95</v>
      </c>
      <c r="U95" s="785" t="s">
        <v>93</v>
      </c>
      <c r="V95" s="762" t="s">
        <v>94</v>
      </c>
      <c r="W95" s="786" t="s">
        <v>95</v>
      </c>
      <c r="X95" s="785" t="s">
        <v>93</v>
      </c>
      <c r="Y95" s="762" t="s">
        <v>94</v>
      </c>
      <c r="Z95" s="786" t="s">
        <v>95</v>
      </c>
      <c r="AA95" s="785" t="s">
        <v>93</v>
      </c>
      <c r="AB95" s="762" t="s">
        <v>94</v>
      </c>
      <c r="AC95" s="786" t="s">
        <v>95</v>
      </c>
      <c r="AD95" s="785" t="s">
        <v>93</v>
      </c>
      <c r="AE95" s="762" t="s">
        <v>94</v>
      </c>
      <c r="AF95" s="786" t="s">
        <v>95</v>
      </c>
      <c r="AG95" s="785" t="s">
        <v>93</v>
      </c>
      <c r="AH95" s="762" t="s">
        <v>94</v>
      </c>
      <c r="AI95" s="786" t="s">
        <v>95</v>
      </c>
      <c r="AJ95" s="785" t="s">
        <v>93</v>
      </c>
      <c r="AK95" s="762" t="s">
        <v>94</v>
      </c>
      <c r="AL95" s="786" t="s">
        <v>95</v>
      </c>
      <c r="AM95" s="785" t="s">
        <v>93</v>
      </c>
      <c r="AN95" s="762" t="s">
        <v>94</v>
      </c>
      <c r="AO95" s="786"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87">
        <v>15676831.449999999</v>
      </c>
      <c r="F96" s="735"/>
      <c r="G96" s="736"/>
      <c r="H96" s="787">
        <v>857558.07</v>
      </c>
      <c r="I96" s="735"/>
      <c r="J96" s="736"/>
      <c r="K96" s="787">
        <v>616311.43999999994</v>
      </c>
      <c r="L96" s="735"/>
      <c r="M96" s="736"/>
      <c r="N96" s="787">
        <v>833663.21</v>
      </c>
      <c r="O96" s="735"/>
      <c r="P96" s="736"/>
      <c r="Q96" s="787">
        <v>1017681</v>
      </c>
      <c r="R96" s="735"/>
      <c r="S96" s="736"/>
      <c r="T96" s="787">
        <v>1290713.76</v>
      </c>
      <c r="U96" s="735"/>
      <c r="V96" s="736"/>
      <c r="W96" s="787">
        <v>1616914.64</v>
      </c>
      <c r="X96" s="735"/>
      <c r="Y96" s="736"/>
      <c r="Z96" s="787">
        <v>1735831.76</v>
      </c>
      <c r="AA96" s="735"/>
      <c r="AB96" s="736"/>
      <c r="AC96" s="787">
        <v>1633303.65</v>
      </c>
      <c r="AD96" s="735"/>
      <c r="AE96" s="736"/>
      <c r="AF96" s="787">
        <v>1445195.34</v>
      </c>
      <c r="AG96" s="735"/>
      <c r="AH96" s="736"/>
      <c r="AI96" s="787">
        <v>1500069.75</v>
      </c>
      <c r="AJ96" s="735"/>
      <c r="AK96" s="736"/>
      <c r="AL96" s="787">
        <v>2000604.9</v>
      </c>
      <c r="AM96" s="735"/>
      <c r="AN96" s="736"/>
      <c r="AO96" s="787">
        <v>1128983.93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42">
        <v>290</v>
      </c>
      <c r="D97" s="740">
        <v>1381.2152068965504</v>
      </c>
      <c r="E97" s="743">
        <v>400552.40999999963</v>
      </c>
      <c r="F97" s="742">
        <v>18</v>
      </c>
      <c r="G97" s="740">
        <v>1713.5988888888887</v>
      </c>
      <c r="H97" s="743">
        <v>30844.78</v>
      </c>
      <c r="I97" s="742">
        <v>13</v>
      </c>
      <c r="J97" s="740">
        <v>1495.4061538461463</v>
      </c>
      <c r="K97" s="743">
        <v>19440.279999999901</v>
      </c>
      <c r="L97" s="742">
        <v>28</v>
      </c>
      <c r="M97" s="740">
        <v>1195.8296428571393</v>
      </c>
      <c r="N97" s="743">
        <v>33483.229999999901</v>
      </c>
      <c r="O97" s="742">
        <v>28</v>
      </c>
      <c r="P97" s="740">
        <v>952.90392857142501</v>
      </c>
      <c r="Q97" s="743">
        <v>26681.309999999899</v>
      </c>
      <c r="R97" s="742">
        <v>29</v>
      </c>
      <c r="S97" s="740">
        <v>1404.173448275862</v>
      </c>
      <c r="T97" s="743">
        <v>40721.03</v>
      </c>
      <c r="U97" s="742">
        <v>30</v>
      </c>
      <c r="V97" s="740">
        <v>1968.6749999999965</v>
      </c>
      <c r="W97" s="743">
        <v>59060.249999999898</v>
      </c>
      <c r="X97" s="742">
        <v>28</v>
      </c>
      <c r="Y97" s="740">
        <v>1004.9228571428536</v>
      </c>
      <c r="Z97" s="743">
        <v>28137.839999999898</v>
      </c>
      <c r="AA97" s="742">
        <v>27</v>
      </c>
      <c r="AB97" s="740">
        <v>556.57629629629628</v>
      </c>
      <c r="AC97" s="743">
        <v>15027.56</v>
      </c>
      <c r="AD97" s="742">
        <v>25</v>
      </c>
      <c r="AE97" s="740">
        <v>2129.2080000000042</v>
      </c>
      <c r="AF97" s="743">
        <v>53230.200000000099</v>
      </c>
      <c r="AG97" s="742">
        <v>15</v>
      </c>
      <c r="AH97" s="740">
        <v>2694.2226666666666</v>
      </c>
      <c r="AI97" s="743">
        <v>40413.339999999997</v>
      </c>
      <c r="AJ97" s="742">
        <v>28</v>
      </c>
      <c r="AK97" s="740">
        <v>1446.2435714285714</v>
      </c>
      <c r="AL97" s="743">
        <v>40494.82</v>
      </c>
      <c r="AM97" s="742">
        <v>21</v>
      </c>
      <c r="AN97" s="740">
        <v>619.89380952380952</v>
      </c>
      <c r="AO97" s="743">
        <v>13017.77</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42">
        <v>9</v>
      </c>
      <c r="D98" s="740">
        <v>560.16333333333114</v>
      </c>
      <c r="E98" s="743">
        <v>5041.4699999999802</v>
      </c>
      <c r="F98" s="742">
        <v>4</v>
      </c>
      <c r="G98" s="740">
        <v>1079.3549999999975</v>
      </c>
      <c r="H98" s="743">
        <v>4317.4199999999901</v>
      </c>
      <c r="I98" s="742">
        <v>2</v>
      </c>
      <c r="J98" s="740">
        <v>-169.7949999999995</v>
      </c>
      <c r="K98" s="743">
        <v>-339.58999999999901</v>
      </c>
      <c r="L98" s="742">
        <v>1</v>
      </c>
      <c r="M98" s="740">
        <v>3949.99</v>
      </c>
      <c r="N98" s="743">
        <v>3949.99</v>
      </c>
      <c r="O98" s="742">
        <v>0</v>
      </c>
      <c r="P98" s="740">
        <v>0</v>
      </c>
      <c r="Q98" s="743">
        <v>-4705.95</v>
      </c>
      <c r="R98" s="742">
        <v>1</v>
      </c>
      <c r="S98" s="740">
        <v>1376.02999999999</v>
      </c>
      <c r="T98" s="743">
        <v>1376.02999999999</v>
      </c>
      <c r="U98" s="742">
        <v>0</v>
      </c>
      <c r="V98" s="740">
        <v>0</v>
      </c>
      <c r="W98" s="743">
        <v>0</v>
      </c>
      <c r="X98" s="742">
        <v>0</v>
      </c>
      <c r="Y98" s="740">
        <v>0</v>
      </c>
      <c r="Z98" s="743">
        <v>0</v>
      </c>
      <c r="AA98" s="742">
        <v>0</v>
      </c>
      <c r="AB98" s="740">
        <v>0</v>
      </c>
      <c r="AC98" s="743">
        <v>0</v>
      </c>
      <c r="AD98" s="742">
        <v>1</v>
      </c>
      <c r="AE98" s="740">
        <v>1000</v>
      </c>
      <c r="AF98" s="743">
        <v>1000</v>
      </c>
      <c r="AG98" s="742">
        <v>0</v>
      </c>
      <c r="AH98" s="740">
        <v>0</v>
      </c>
      <c r="AI98" s="743">
        <v>0</v>
      </c>
      <c r="AJ98" s="742">
        <v>0</v>
      </c>
      <c r="AK98" s="740">
        <v>0</v>
      </c>
      <c r="AL98" s="743">
        <v>0</v>
      </c>
      <c r="AM98" s="742">
        <v>0</v>
      </c>
      <c r="AN98" s="740">
        <v>0</v>
      </c>
      <c r="AO98" s="743">
        <v>-556.42999999999995</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42">
        <v>8</v>
      </c>
      <c r="D99" s="740">
        <v>2577.5499999999975</v>
      </c>
      <c r="E99" s="743">
        <v>20620.39999999998</v>
      </c>
      <c r="F99" s="742">
        <v>2</v>
      </c>
      <c r="G99" s="740">
        <v>1352.424999999995</v>
      </c>
      <c r="H99" s="743">
        <v>2704.8499999999899</v>
      </c>
      <c r="I99" s="742">
        <v>2</v>
      </c>
      <c r="J99" s="740">
        <v>1908.175</v>
      </c>
      <c r="K99" s="743">
        <v>3816.35</v>
      </c>
      <c r="L99" s="742">
        <v>1</v>
      </c>
      <c r="M99" s="740">
        <v>4152.3</v>
      </c>
      <c r="N99" s="743">
        <v>4152.3</v>
      </c>
      <c r="O99" s="742">
        <v>2</v>
      </c>
      <c r="P99" s="740">
        <v>2899.7999999999952</v>
      </c>
      <c r="Q99" s="743">
        <v>5799.5999999999904</v>
      </c>
      <c r="R99" s="742">
        <v>0</v>
      </c>
      <c r="S99" s="740">
        <v>0</v>
      </c>
      <c r="T99" s="743">
        <v>0</v>
      </c>
      <c r="U99" s="742">
        <v>0</v>
      </c>
      <c r="V99" s="740">
        <v>0</v>
      </c>
      <c r="W99" s="743">
        <v>0</v>
      </c>
      <c r="X99" s="742">
        <v>0</v>
      </c>
      <c r="Y99" s="740">
        <v>0</v>
      </c>
      <c r="Z99" s="743">
        <v>0</v>
      </c>
      <c r="AA99" s="742">
        <v>0</v>
      </c>
      <c r="AB99" s="740">
        <v>0</v>
      </c>
      <c r="AC99" s="743">
        <v>0</v>
      </c>
      <c r="AD99" s="742">
        <v>0</v>
      </c>
      <c r="AE99" s="740">
        <v>0</v>
      </c>
      <c r="AF99" s="743">
        <v>0</v>
      </c>
      <c r="AG99" s="742">
        <v>0</v>
      </c>
      <c r="AH99" s="740">
        <v>0</v>
      </c>
      <c r="AI99" s="743">
        <v>0</v>
      </c>
      <c r="AJ99" s="742">
        <v>0</v>
      </c>
      <c r="AK99" s="740">
        <v>0</v>
      </c>
      <c r="AL99" s="743">
        <v>0</v>
      </c>
      <c r="AM99" s="742">
        <v>1</v>
      </c>
      <c r="AN99" s="740">
        <v>4147.3</v>
      </c>
      <c r="AO99" s="743">
        <v>4147.3</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1144">
        <v>307</v>
      </c>
      <c r="D100" s="1145">
        <v>1388.3201302931582</v>
      </c>
      <c r="E100" s="1146">
        <v>426214.27999999956</v>
      </c>
      <c r="F100" s="1144">
        <v>24</v>
      </c>
      <c r="G100" s="1145">
        <v>1577.7937499999991</v>
      </c>
      <c r="H100" s="1146">
        <v>37867.049999999981</v>
      </c>
      <c r="I100" s="1144">
        <v>17</v>
      </c>
      <c r="J100" s="1145">
        <v>1348.0611764705823</v>
      </c>
      <c r="K100" s="1146">
        <v>22917.039999999899</v>
      </c>
      <c r="L100" s="1144">
        <v>30</v>
      </c>
      <c r="M100" s="1145">
        <v>1386.1839999999968</v>
      </c>
      <c r="N100" s="1146">
        <v>41585.519999999902</v>
      </c>
      <c r="O100" s="1144">
        <v>30</v>
      </c>
      <c r="P100" s="1145">
        <v>925.83199999999636</v>
      </c>
      <c r="Q100" s="1146">
        <v>27774.95999999989</v>
      </c>
      <c r="R100" s="1144">
        <v>30</v>
      </c>
      <c r="S100" s="1145">
        <v>1403.2353333333331</v>
      </c>
      <c r="T100" s="1146">
        <v>42097.05999999999</v>
      </c>
      <c r="U100" s="1144">
        <v>30</v>
      </c>
      <c r="V100" s="1145">
        <v>1968.6749999999965</v>
      </c>
      <c r="W100" s="1146">
        <v>59060.249999999898</v>
      </c>
      <c r="X100" s="1144">
        <v>28</v>
      </c>
      <c r="Y100" s="1145">
        <v>1004.9228571428536</v>
      </c>
      <c r="Z100" s="1146">
        <v>28137.839999999898</v>
      </c>
      <c r="AA100" s="1144">
        <v>27</v>
      </c>
      <c r="AB100" s="1145">
        <v>556.57629629629628</v>
      </c>
      <c r="AC100" s="1146">
        <v>15027.56</v>
      </c>
      <c r="AD100" s="1144">
        <v>26</v>
      </c>
      <c r="AE100" s="1145">
        <v>2085.7769230769268</v>
      </c>
      <c r="AF100" s="1146">
        <v>54230.200000000099</v>
      </c>
      <c r="AG100" s="1144">
        <v>15</v>
      </c>
      <c r="AH100" s="1145">
        <v>2694.2226666666666</v>
      </c>
      <c r="AI100" s="1146">
        <v>40413.339999999997</v>
      </c>
      <c r="AJ100" s="1144">
        <v>28</v>
      </c>
      <c r="AK100" s="1145">
        <v>1446.2435714285714</v>
      </c>
      <c r="AL100" s="1146">
        <v>40494.82</v>
      </c>
      <c r="AM100" s="1144">
        <v>22</v>
      </c>
      <c r="AN100" s="1145">
        <v>754.93818181818176</v>
      </c>
      <c r="AO100" s="1146">
        <v>16608.64</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1249"/>
      <c r="D101" s="1250"/>
      <c r="E101" s="1251"/>
      <c r="F101" s="1249"/>
      <c r="G101" s="1250"/>
      <c r="H101" s="1251"/>
      <c r="I101" s="1249"/>
      <c r="J101" s="1250"/>
      <c r="K101" s="1251"/>
      <c r="L101" s="1249"/>
      <c r="M101" s="1250"/>
      <c r="N101" s="1251"/>
      <c r="O101" s="1249"/>
      <c r="P101" s="1250"/>
      <c r="Q101" s="1251"/>
      <c r="R101" s="1249"/>
      <c r="S101" s="1250"/>
      <c r="T101" s="1251"/>
      <c r="U101" s="1249"/>
      <c r="V101" s="1250"/>
      <c r="W101" s="1251"/>
      <c r="X101" s="1249"/>
      <c r="Y101" s="1250"/>
      <c r="Z101" s="1251"/>
      <c r="AA101" s="1249"/>
      <c r="AB101" s="1250"/>
      <c r="AC101" s="1251"/>
      <c r="AD101" s="1249"/>
      <c r="AE101" s="1250"/>
      <c r="AF101" s="1251"/>
      <c r="AG101" s="1249"/>
      <c r="AH101" s="1250"/>
      <c r="AI101" s="1251"/>
      <c r="AJ101" s="1249"/>
      <c r="AK101" s="1250"/>
      <c r="AL101" s="1251"/>
      <c r="AM101" s="1249"/>
      <c r="AN101" s="1250"/>
      <c r="AO101" s="1251"/>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4"/>
      <c r="D102" s="751"/>
      <c r="E102" s="745"/>
      <c r="F102" s="739"/>
      <c r="G102" s="751"/>
      <c r="H102" s="741"/>
      <c r="I102" s="739"/>
      <c r="J102" s="751"/>
      <c r="K102" s="741"/>
      <c r="L102" s="739"/>
      <c r="M102" s="751"/>
      <c r="N102" s="741"/>
      <c r="O102" s="739"/>
      <c r="P102" s="751"/>
      <c r="Q102" s="741"/>
      <c r="R102" s="739"/>
      <c r="S102" s="751"/>
      <c r="T102" s="741"/>
      <c r="U102" s="739"/>
      <c r="V102" s="751"/>
      <c r="W102" s="741"/>
      <c r="X102" s="739"/>
      <c r="Y102" s="751"/>
      <c r="Z102" s="741"/>
      <c r="AA102" s="739"/>
      <c r="AB102" s="751"/>
      <c r="AC102" s="741"/>
      <c r="AD102" s="739"/>
      <c r="AE102" s="751"/>
      <c r="AF102" s="741"/>
      <c r="AG102" s="739"/>
      <c r="AH102" s="751"/>
      <c r="AI102" s="741"/>
      <c r="AJ102" s="739"/>
      <c r="AK102" s="751"/>
      <c r="AL102" s="741"/>
      <c r="AM102" s="739"/>
      <c r="AN102" s="751"/>
      <c r="AO102" s="741"/>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42">
        <v>404</v>
      </c>
      <c r="D103" s="740">
        <v>543.00831683168246</v>
      </c>
      <c r="E103" s="743">
        <v>219375.35999999969</v>
      </c>
      <c r="F103" s="742">
        <v>19</v>
      </c>
      <c r="G103" s="740">
        <v>343.84315789473737</v>
      </c>
      <c r="H103" s="743">
        <v>6533.0200000000104</v>
      </c>
      <c r="I103" s="742">
        <v>10</v>
      </c>
      <c r="J103" s="740">
        <v>743.69200000000103</v>
      </c>
      <c r="K103" s="743">
        <v>7436.9200000000101</v>
      </c>
      <c r="L103" s="742">
        <v>10</v>
      </c>
      <c r="M103" s="740">
        <v>1059.873</v>
      </c>
      <c r="N103" s="743">
        <v>10598.73</v>
      </c>
      <c r="O103" s="742">
        <v>18</v>
      </c>
      <c r="P103" s="740">
        <v>1446.8283333333334</v>
      </c>
      <c r="Q103" s="743">
        <v>26042.91</v>
      </c>
      <c r="R103" s="742">
        <v>26</v>
      </c>
      <c r="S103" s="740">
        <v>637.83153846153459</v>
      </c>
      <c r="T103" s="743">
        <v>16583.619999999901</v>
      </c>
      <c r="U103" s="742">
        <v>45</v>
      </c>
      <c r="V103" s="740">
        <v>996.06622222222006</v>
      </c>
      <c r="W103" s="743">
        <v>44822.979999999901</v>
      </c>
      <c r="X103" s="742">
        <v>51</v>
      </c>
      <c r="Y103" s="740">
        <v>737.09647058823521</v>
      </c>
      <c r="Z103" s="743">
        <v>37591.919999999998</v>
      </c>
      <c r="AA103" s="742">
        <v>50</v>
      </c>
      <c r="AB103" s="740">
        <v>637.0086</v>
      </c>
      <c r="AC103" s="743">
        <v>31850.43</v>
      </c>
      <c r="AD103" s="742">
        <v>38</v>
      </c>
      <c r="AE103" s="740">
        <v>366.98736842105262</v>
      </c>
      <c r="AF103" s="743">
        <v>13945.52</v>
      </c>
      <c r="AG103" s="742">
        <v>52</v>
      </c>
      <c r="AH103" s="740">
        <v>182.21538461538364</v>
      </c>
      <c r="AI103" s="743">
        <v>9475.1999999999498</v>
      </c>
      <c r="AJ103" s="742">
        <v>57</v>
      </c>
      <c r="AK103" s="740">
        <v>-132.43754385964806</v>
      </c>
      <c r="AL103" s="743">
        <v>-7548.9399999999396</v>
      </c>
      <c r="AM103" s="742">
        <v>28</v>
      </c>
      <c r="AN103" s="740">
        <v>787.25178571428216</v>
      </c>
      <c r="AO103" s="743">
        <v>22043.049999999901</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788"/>
      <c r="D104" s="789"/>
      <c r="E104" s="790"/>
      <c r="F104" s="788"/>
      <c r="G104" s="789"/>
      <c r="H104" s="790"/>
      <c r="I104" s="788"/>
      <c r="J104" s="789"/>
      <c r="K104" s="790"/>
      <c r="L104" s="788"/>
      <c r="M104" s="789"/>
      <c r="N104" s="790"/>
      <c r="O104" s="788"/>
      <c r="P104" s="789"/>
      <c r="Q104" s="790"/>
      <c r="R104" s="788"/>
      <c r="S104" s="789"/>
      <c r="T104" s="790"/>
      <c r="U104" s="788"/>
      <c r="V104" s="789"/>
      <c r="W104" s="790"/>
      <c r="X104" s="788"/>
      <c r="Y104" s="789"/>
      <c r="Z104" s="790"/>
      <c r="AA104" s="788"/>
      <c r="AB104" s="789"/>
      <c r="AC104" s="790"/>
      <c r="AD104" s="788"/>
      <c r="AE104" s="789"/>
      <c r="AF104" s="790"/>
      <c r="AG104" s="788"/>
      <c r="AH104" s="789"/>
      <c r="AI104" s="790"/>
      <c r="AJ104" s="788"/>
      <c r="AK104" s="789"/>
      <c r="AL104" s="790"/>
      <c r="AM104" s="788"/>
      <c r="AN104" s="789"/>
      <c r="AO104" s="790"/>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42"/>
      <c r="D105" s="740">
        <v>330.46899022801313</v>
      </c>
      <c r="E105" s="743">
        <v>101453.98000000003</v>
      </c>
      <c r="F105" s="742"/>
      <c r="G105" s="740">
        <v>357.98250000000002</v>
      </c>
      <c r="H105" s="743">
        <v>8591.58</v>
      </c>
      <c r="I105" s="742"/>
      <c r="J105" s="740">
        <v>230.15882352941176</v>
      </c>
      <c r="K105" s="743">
        <v>3912.7</v>
      </c>
      <c r="L105" s="742"/>
      <c r="M105" s="740">
        <v>393.4133333333333</v>
      </c>
      <c r="N105" s="743">
        <v>11802.4</v>
      </c>
      <c r="O105" s="742"/>
      <c r="P105" s="740">
        <v>305.93433333333337</v>
      </c>
      <c r="Q105" s="743">
        <v>9178.0300000000007</v>
      </c>
      <c r="R105" s="742"/>
      <c r="S105" s="740">
        <v>357.35966666666667</v>
      </c>
      <c r="T105" s="743">
        <v>10720.79</v>
      </c>
      <c r="U105" s="742"/>
      <c r="V105" s="740">
        <v>373.98400000000004</v>
      </c>
      <c r="W105" s="743">
        <v>11219.52</v>
      </c>
      <c r="X105" s="742"/>
      <c r="Y105" s="740">
        <v>450.1742857142857</v>
      </c>
      <c r="Z105" s="743">
        <v>12604.88</v>
      </c>
      <c r="AA105" s="742"/>
      <c r="AB105" s="740">
        <v>444.74962962962962</v>
      </c>
      <c r="AC105" s="743">
        <v>12008.24</v>
      </c>
      <c r="AD105" s="742"/>
      <c r="AE105" s="740">
        <v>508.61423076923074</v>
      </c>
      <c r="AF105" s="743">
        <v>13223.97</v>
      </c>
      <c r="AG105" s="742"/>
      <c r="AH105" s="740">
        <v>75.055333333333323</v>
      </c>
      <c r="AI105" s="743">
        <v>1125.83</v>
      </c>
      <c r="AJ105" s="742"/>
      <c r="AK105" s="740">
        <v>134.03428571428572</v>
      </c>
      <c r="AL105" s="743">
        <v>3752.96</v>
      </c>
      <c r="AM105" s="742"/>
      <c r="AN105" s="740">
        <v>150.59454545454545</v>
      </c>
      <c r="AO105" s="743">
        <v>3313.08</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42"/>
      <c r="D106" s="740">
        <v>1691.1939087947883</v>
      </c>
      <c r="E106" s="743">
        <v>519196.52999999997</v>
      </c>
      <c r="F106" s="742"/>
      <c r="G106" s="740">
        <v>1456.1245833333332</v>
      </c>
      <c r="H106" s="743">
        <v>34946.99</v>
      </c>
      <c r="I106" s="742"/>
      <c r="J106" s="740">
        <v>1336.4476470588236</v>
      </c>
      <c r="K106" s="743">
        <v>22719.61</v>
      </c>
      <c r="L106" s="742"/>
      <c r="M106" s="740">
        <v>1414.3993333333301</v>
      </c>
      <c r="N106" s="743">
        <v>42431.979999999901</v>
      </c>
      <c r="O106" s="742"/>
      <c r="P106" s="740">
        <v>1730.1366666666665</v>
      </c>
      <c r="Q106" s="743">
        <v>51904.1</v>
      </c>
      <c r="R106" s="742"/>
      <c r="S106" s="740">
        <v>1630.4856666666667</v>
      </c>
      <c r="T106" s="743">
        <v>48914.57</v>
      </c>
      <c r="U106" s="742"/>
      <c r="V106" s="740">
        <v>1465.0156666666667</v>
      </c>
      <c r="W106" s="743">
        <v>43950.47</v>
      </c>
      <c r="X106" s="742"/>
      <c r="Y106" s="740">
        <v>1933.1910714285714</v>
      </c>
      <c r="Z106" s="743">
        <v>54129.35</v>
      </c>
      <c r="AA106" s="742"/>
      <c r="AB106" s="740">
        <v>1666.4492592592592</v>
      </c>
      <c r="AC106" s="743">
        <v>44994.13</v>
      </c>
      <c r="AD106" s="742"/>
      <c r="AE106" s="740">
        <v>1907.0388461538462</v>
      </c>
      <c r="AF106" s="743">
        <v>49583.01</v>
      </c>
      <c r="AG106" s="742"/>
      <c r="AH106" s="740">
        <v>1976.5013333333334</v>
      </c>
      <c r="AI106" s="743">
        <v>29647.52</v>
      </c>
      <c r="AJ106" s="742"/>
      <c r="AK106" s="740">
        <v>2014.1728571428571</v>
      </c>
      <c r="AL106" s="743">
        <v>56396.84</v>
      </c>
      <c r="AM106" s="742"/>
      <c r="AN106" s="740">
        <v>1798.9981818181818</v>
      </c>
      <c r="AO106" s="743">
        <v>39577.96</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42"/>
      <c r="D107" s="789">
        <v>39.117035830618889</v>
      </c>
      <c r="E107" s="743">
        <v>12008.929999999998</v>
      </c>
      <c r="F107" s="742">
        <v>2</v>
      </c>
      <c r="G107" s="789">
        <v>22.08</v>
      </c>
      <c r="H107" s="743">
        <v>529.91999999999996</v>
      </c>
      <c r="I107" s="742">
        <v>2</v>
      </c>
      <c r="J107" s="789">
        <v>14.874705882352941</v>
      </c>
      <c r="K107" s="743">
        <v>252.87</v>
      </c>
      <c r="L107" s="742">
        <v>1</v>
      </c>
      <c r="M107" s="789">
        <v>60.827333333333328</v>
      </c>
      <c r="N107" s="743">
        <v>1824.82</v>
      </c>
      <c r="O107" s="742">
        <v>2</v>
      </c>
      <c r="P107" s="789">
        <v>9.5846666666666671</v>
      </c>
      <c r="Q107" s="743">
        <v>287.54000000000002</v>
      </c>
      <c r="R107" s="742">
        <v>0</v>
      </c>
      <c r="S107" s="789">
        <v>40.291000000000004</v>
      </c>
      <c r="T107" s="743">
        <v>1208.73</v>
      </c>
      <c r="U107" s="742">
        <v>0</v>
      </c>
      <c r="V107" s="789">
        <v>71.340333333333334</v>
      </c>
      <c r="W107" s="743">
        <v>2140.21</v>
      </c>
      <c r="X107" s="742">
        <v>0</v>
      </c>
      <c r="Y107" s="789">
        <v>28.672142857142859</v>
      </c>
      <c r="Z107" s="743">
        <v>802.82</v>
      </c>
      <c r="AA107" s="742">
        <v>0</v>
      </c>
      <c r="AB107" s="789">
        <v>68.289259259259254</v>
      </c>
      <c r="AC107" s="743">
        <v>1843.81</v>
      </c>
      <c r="AD107" s="742">
        <v>0</v>
      </c>
      <c r="AE107" s="789">
        <v>44.338846153846148</v>
      </c>
      <c r="AF107" s="743">
        <v>1152.81</v>
      </c>
      <c r="AG107" s="742">
        <v>0</v>
      </c>
      <c r="AH107" s="789">
        <v>17.580666666666666</v>
      </c>
      <c r="AI107" s="743">
        <v>263.70999999999998</v>
      </c>
      <c r="AJ107" s="742">
        <v>0</v>
      </c>
      <c r="AK107" s="789">
        <v>0</v>
      </c>
      <c r="AL107" s="743">
        <v>0</v>
      </c>
      <c r="AM107" s="742">
        <v>1</v>
      </c>
      <c r="AN107" s="789">
        <v>77.349545454545463</v>
      </c>
      <c r="AO107" s="743">
        <v>1701.69</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1144">
        <v>307</v>
      </c>
      <c r="D108" s="1145">
        <v>2060.7799348534204</v>
      </c>
      <c r="E108" s="1146">
        <v>632659.44000000006</v>
      </c>
      <c r="F108" s="1144">
        <v>24</v>
      </c>
      <c r="G108" s="1145">
        <v>1836.1870833333332</v>
      </c>
      <c r="H108" s="1146">
        <v>44068.49</v>
      </c>
      <c r="I108" s="1144">
        <v>17</v>
      </c>
      <c r="J108" s="1145">
        <v>1581.4811764705883</v>
      </c>
      <c r="K108" s="1146">
        <v>26885.18</v>
      </c>
      <c r="L108" s="1144">
        <v>30</v>
      </c>
      <c r="M108" s="1145">
        <v>1868.6399999999967</v>
      </c>
      <c r="N108" s="1146">
        <v>56059.199999999903</v>
      </c>
      <c r="O108" s="1144">
        <v>30</v>
      </c>
      <c r="P108" s="1145">
        <v>2045.6556666666665</v>
      </c>
      <c r="Q108" s="1146">
        <v>61369.67</v>
      </c>
      <c r="R108" s="1144">
        <v>30</v>
      </c>
      <c r="S108" s="1145">
        <v>2028.1363333333334</v>
      </c>
      <c r="T108" s="1146">
        <v>60844.090000000004</v>
      </c>
      <c r="U108" s="1144">
        <v>30</v>
      </c>
      <c r="V108" s="1145">
        <v>1910.3400000000001</v>
      </c>
      <c r="W108" s="1146">
        <v>57310.200000000004</v>
      </c>
      <c r="X108" s="1144">
        <v>28</v>
      </c>
      <c r="Y108" s="1145">
        <v>2412.0374999999999</v>
      </c>
      <c r="Z108" s="1146">
        <v>67537.05</v>
      </c>
      <c r="AA108" s="1144">
        <v>27</v>
      </c>
      <c r="AB108" s="1145">
        <v>2179.488148148148</v>
      </c>
      <c r="AC108" s="1146">
        <v>58846.179999999993</v>
      </c>
      <c r="AD108" s="1144">
        <v>26</v>
      </c>
      <c r="AE108" s="1145">
        <v>2459.9919230769233</v>
      </c>
      <c r="AF108" s="1146">
        <v>63959.79</v>
      </c>
      <c r="AG108" s="1144">
        <v>15</v>
      </c>
      <c r="AH108" s="1145">
        <v>2069.1373333333331</v>
      </c>
      <c r="AI108" s="1146">
        <v>31037.059999999998</v>
      </c>
      <c r="AJ108" s="1144">
        <v>28</v>
      </c>
      <c r="AK108" s="1145">
        <v>2148.2071428571426</v>
      </c>
      <c r="AL108" s="1146">
        <v>60149.799999999996</v>
      </c>
      <c r="AM108" s="1144">
        <v>22</v>
      </c>
      <c r="AN108" s="1145">
        <v>2026.9422727272729</v>
      </c>
      <c r="AO108" s="1146">
        <v>44592.73</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4"/>
      <c r="D109" s="751"/>
      <c r="E109" s="752"/>
      <c r="F109" s="744"/>
      <c r="G109" s="751"/>
      <c r="H109" s="752"/>
      <c r="I109" s="744"/>
      <c r="J109" s="751"/>
      <c r="K109" s="752"/>
      <c r="L109" s="744"/>
      <c r="M109" s="751"/>
      <c r="N109" s="752"/>
      <c r="O109" s="744"/>
      <c r="P109" s="751"/>
      <c r="Q109" s="752"/>
      <c r="R109" s="744"/>
      <c r="S109" s="751"/>
      <c r="T109" s="752"/>
      <c r="U109" s="744"/>
      <c r="V109" s="751"/>
      <c r="W109" s="752"/>
      <c r="X109" s="744"/>
      <c r="Y109" s="751"/>
      <c r="Z109" s="752"/>
      <c r="AA109" s="744"/>
      <c r="AB109" s="751"/>
      <c r="AC109" s="752"/>
      <c r="AD109" s="744"/>
      <c r="AE109" s="751"/>
      <c r="AF109" s="752"/>
      <c r="AG109" s="744"/>
      <c r="AH109" s="751"/>
      <c r="AI109" s="752"/>
      <c r="AJ109" s="744"/>
      <c r="AK109" s="751"/>
      <c r="AL109" s="752"/>
      <c r="AM109" s="744"/>
      <c r="AN109" s="751"/>
      <c r="AO109" s="752"/>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4"/>
      <c r="D110" s="751"/>
      <c r="E110" s="752"/>
      <c r="F110" s="744"/>
      <c r="G110" s="751"/>
      <c r="H110" s="752"/>
      <c r="I110" s="744"/>
      <c r="J110" s="751"/>
      <c r="K110" s="752"/>
      <c r="L110" s="744"/>
      <c r="M110" s="751"/>
      <c r="N110" s="752"/>
      <c r="O110" s="744"/>
      <c r="P110" s="751"/>
      <c r="Q110" s="752"/>
      <c r="R110" s="744"/>
      <c r="S110" s="751"/>
      <c r="T110" s="752"/>
      <c r="U110" s="744"/>
      <c r="V110" s="751"/>
      <c r="W110" s="752"/>
      <c r="X110" s="744"/>
      <c r="Y110" s="751"/>
      <c r="Z110" s="752"/>
      <c r="AA110" s="744"/>
      <c r="AB110" s="751"/>
      <c r="AC110" s="752"/>
      <c r="AD110" s="744"/>
      <c r="AE110" s="751"/>
      <c r="AF110" s="752"/>
      <c r="AG110" s="744"/>
      <c r="AH110" s="751"/>
      <c r="AI110" s="752"/>
      <c r="AJ110" s="744"/>
      <c r="AK110" s="751"/>
      <c r="AL110" s="752"/>
      <c r="AM110" s="744"/>
      <c r="AN110" s="751"/>
      <c r="AO110" s="752"/>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3">
        <v>711</v>
      </c>
      <c r="D111" s="754">
        <v>1797.8186779184239</v>
      </c>
      <c r="E111" s="755">
        <v>1278249.0799999994</v>
      </c>
      <c r="F111" s="753">
        <v>43</v>
      </c>
      <c r="G111" s="754">
        <v>2057.408372093023</v>
      </c>
      <c r="H111" s="755">
        <v>88468.559999999983</v>
      </c>
      <c r="I111" s="753">
        <v>27</v>
      </c>
      <c r="J111" s="754">
        <v>2119.9681481481448</v>
      </c>
      <c r="K111" s="755">
        <v>57239.139999999912</v>
      </c>
      <c r="L111" s="753">
        <v>40</v>
      </c>
      <c r="M111" s="754">
        <v>2706.0862499999948</v>
      </c>
      <c r="N111" s="755">
        <v>108243.44999999979</v>
      </c>
      <c r="O111" s="753">
        <v>48</v>
      </c>
      <c r="P111" s="754">
        <v>2399.7404166666643</v>
      </c>
      <c r="Q111" s="755">
        <v>115187.53999999989</v>
      </c>
      <c r="R111" s="753">
        <v>56</v>
      </c>
      <c r="S111" s="754">
        <v>2134.3708928571409</v>
      </c>
      <c r="T111" s="755">
        <v>119524.7699999999</v>
      </c>
      <c r="U111" s="753">
        <v>75</v>
      </c>
      <c r="V111" s="754">
        <v>2149.2457333333305</v>
      </c>
      <c r="W111" s="1238">
        <v>161193.42999999979</v>
      </c>
      <c r="X111" s="753">
        <v>79</v>
      </c>
      <c r="Y111" s="754">
        <v>1686.9216455696187</v>
      </c>
      <c r="Z111" s="1238">
        <v>133266.80999999988</v>
      </c>
      <c r="AA111" s="753">
        <v>77</v>
      </c>
      <c r="AB111" s="754">
        <v>1373.0411688311685</v>
      </c>
      <c r="AC111" s="1238">
        <v>105724.16999999998</v>
      </c>
      <c r="AD111" s="753">
        <v>64</v>
      </c>
      <c r="AE111" s="754">
        <v>2064.6173437500015</v>
      </c>
      <c r="AF111" s="1238">
        <v>132135.5100000001</v>
      </c>
      <c r="AG111" s="753">
        <v>67</v>
      </c>
      <c r="AH111" s="754">
        <v>1207.8447761194022</v>
      </c>
      <c r="AI111" s="755">
        <v>80925.599999999948</v>
      </c>
      <c r="AJ111" s="753">
        <v>85</v>
      </c>
      <c r="AK111" s="754">
        <v>1095.2432941176476</v>
      </c>
      <c r="AL111" s="755">
        <v>93095.680000000051</v>
      </c>
      <c r="AM111" s="753">
        <v>50</v>
      </c>
      <c r="AN111" s="754">
        <v>1664.888399999998</v>
      </c>
      <c r="AO111" s="755">
        <v>83244.419999999896</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56"/>
      <c r="D112" s="757"/>
      <c r="E112" s="758"/>
      <c r="F112" s="756"/>
      <c r="G112" s="757"/>
      <c r="H112" s="758"/>
      <c r="I112" s="756"/>
      <c r="J112" s="757"/>
      <c r="K112" s="758"/>
      <c r="L112" s="756"/>
      <c r="M112" s="757"/>
      <c r="N112" s="758"/>
      <c r="O112" s="756"/>
      <c r="P112" s="757"/>
      <c r="Q112" s="758"/>
      <c r="R112" s="756"/>
      <c r="S112" s="757"/>
      <c r="T112" s="758"/>
      <c r="U112" s="756"/>
      <c r="V112" s="757"/>
      <c r="W112" s="1239"/>
      <c r="X112" s="756"/>
      <c r="Y112" s="757"/>
      <c r="Z112" s="1239"/>
      <c r="AA112" s="756"/>
      <c r="AB112" s="757"/>
      <c r="AC112" s="1239"/>
      <c r="AD112" s="756"/>
      <c r="AE112" s="757"/>
      <c r="AF112" s="1239"/>
      <c r="AG112" s="756"/>
      <c r="AH112" s="757"/>
      <c r="AI112" s="758"/>
      <c r="AJ112" s="756"/>
      <c r="AK112" s="757"/>
      <c r="AL112" s="758"/>
      <c r="AM112" s="756"/>
      <c r="AN112" s="757"/>
      <c r="AO112" s="758"/>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791"/>
      <c r="D113" s="792"/>
      <c r="E113" s="793"/>
      <c r="F113" s="791"/>
      <c r="G113" s="792"/>
      <c r="H113" s="793"/>
      <c r="I113" s="791"/>
      <c r="J113" s="792"/>
      <c r="K113" s="793"/>
      <c r="L113" s="791"/>
      <c r="M113" s="792"/>
      <c r="N113" s="793"/>
      <c r="O113" s="791"/>
      <c r="P113" s="792"/>
      <c r="Q113" s="793"/>
      <c r="R113" s="791"/>
      <c r="S113" s="792"/>
      <c r="T113" s="793"/>
      <c r="U113" s="791"/>
      <c r="V113" s="792"/>
      <c r="W113" s="793"/>
      <c r="X113" s="791"/>
      <c r="Y113" s="792"/>
      <c r="Z113" s="793"/>
      <c r="AA113" s="791"/>
      <c r="AB113" s="792"/>
      <c r="AC113" s="793"/>
      <c r="AD113" s="791"/>
      <c r="AE113" s="792"/>
      <c r="AF113" s="793"/>
      <c r="AG113" s="791"/>
      <c r="AH113" s="792"/>
      <c r="AI113" s="793"/>
      <c r="AJ113" s="791"/>
      <c r="AK113" s="792"/>
      <c r="AL113" s="793"/>
      <c r="AM113" s="791"/>
      <c r="AN113" s="792"/>
      <c r="AO113" s="793"/>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4"/>
      <c r="D114" s="762"/>
      <c r="E114" s="745"/>
      <c r="F114" s="744"/>
      <c r="G114" s="762"/>
      <c r="H114" s="741"/>
      <c r="I114" s="744"/>
      <c r="J114" s="762"/>
      <c r="K114" s="741"/>
      <c r="L114" s="744"/>
      <c r="M114" s="762"/>
      <c r="N114" s="745"/>
      <c r="O114" s="744"/>
      <c r="P114" s="762"/>
      <c r="Q114" s="745"/>
      <c r="R114" s="744"/>
      <c r="S114" s="762"/>
      <c r="T114" s="745"/>
      <c r="U114" s="744"/>
      <c r="V114" s="762"/>
      <c r="W114" s="745"/>
      <c r="X114" s="744"/>
      <c r="Y114" s="762"/>
      <c r="Z114" s="745"/>
      <c r="AA114" s="744"/>
      <c r="AB114" s="762"/>
      <c r="AC114" s="745"/>
      <c r="AD114" s="744"/>
      <c r="AE114" s="762"/>
      <c r="AF114" s="745"/>
      <c r="AG114" s="744"/>
      <c r="AH114" s="762"/>
      <c r="AI114" s="745"/>
      <c r="AJ114" s="744"/>
      <c r="AK114" s="762"/>
      <c r="AL114" s="745"/>
      <c r="AM114" s="744"/>
      <c r="AN114" s="762"/>
      <c r="AO114" s="745"/>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1252">
        <v>0.35483672672816163</v>
      </c>
      <c r="D115" s="764">
        <v>505.80762541806024</v>
      </c>
      <c r="E115" s="765">
        <v>151236.48000000001</v>
      </c>
      <c r="F115" s="1252">
        <v>0.32560498442311048</v>
      </c>
      <c r="G115" s="764">
        <v>652.22363636363639</v>
      </c>
      <c r="H115" s="765">
        <v>14348.92</v>
      </c>
      <c r="I115" s="1252">
        <v>0.33145026367686586</v>
      </c>
      <c r="J115" s="764">
        <v>594.07333333333338</v>
      </c>
      <c r="K115" s="765">
        <v>8911.1</v>
      </c>
      <c r="L115" s="1252">
        <v>0.25430527014299215</v>
      </c>
      <c r="M115" s="764">
        <v>491.59137931034479</v>
      </c>
      <c r="N115" s="765">
        <v>14256.15</v>
      </c>
      <c r="O115" s="1252">
        <v>0.15181131004941043</v>
      </c>
      <c r="P115" s="764">
        <v>332.73607142857145</v>
      </c>
      <c r="Q115" s="765">
        <v>9316.61</v>
      </c>
      <c r="R115" s="1252">
        <v>0.27248776339657638</v>
      </c>
      <c r="S115" s="764">
        <v>0</v>
      </c>
      <c r="T115" s="765">
        <v>16579.27</v>
      </c>
      <c r="U115" s="1252">
        <v>0.29186846320550269</v>
      </c>
      <c r="V115" s="764">
        <v>0</v>
      </c>
      <c r="W115" s="765">
        <v>16727.04</v>
      </c>
      <c r="X115" s="1252">
        <v>0.17780314656917942</v>
      </c>
      <c r="Y115" s="764">
        <v>0</v>
      </c>
      <c r="Z115" s="765">
        <v>12008.3</v>
      </c>
      <c r="AA115" s="1252">
        <v>0.21801228219061972</v>
      </c>
      <c r="AB115" s="764">
        <v>0</v>
      </c>
      <c r="AC115" s="765">
        <v>12829.19</v>
      </c>
      <c r="AD115" s="1252">
        <v>0.23960413253389357</v>
      </c>
      <c r="AE115" s="764">
        <v>0</v>
      </c>
      <c r="AF115" s="765">
        <v>15325.03</v>
      </c>
      <c r="AG115" s="1252">
        <v>0.36367974286224275</v>
      </c>
      <c r="AH115" s="764">
        <v>0</v>
      </c>
      <c r="AI115" s="765">
        <v>11287.55</v>
      </c>
      <c r="AJ115" s="1252">
        <v>0.17823201407153477</v>
      </c>
      <c r="AK115" s="764">
        <v>0</v>
      </c>
      <c r="AL115" s="765">
        <v>10720.62</v>
      </c>
      <c r="AM115" s="1252">
        <v>0.20018285491827928</v>
      </c>
      <c r="AN115" s="764">
        <v>425.0809523809524</v>
      </c>
      <c r="AO115" s="1240">
        <v>8926.7000000000007</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66">
        <v>0.28342877488716517</v>
      </c>
      <c r="D116" s="767">
        <v>599.71200668896313</v>
      </c>
      <c r="E116" s="769">
        <v>179313.88999999998</v>
      </c>
      <c r="F116" s="766"/>
      <c r="G116" s="767">
        <v>600.90454545454543</v>
      </c>
      <c r="H116" s="769">
        <v>13219.9</v>
      </c>
      <c r="I116" s="766"/>
      <c r="J116" s="767">
        <v>448.07266666666669</v>
      </c>
      <c r="K116" s="769">
        <v>6721.09</v>
      </c>
      <c r="L116" s="766"/>
      <c r="M116" s="767">
        <v>541.24620689655171</v>
      </c>
      <c r="N116" s="769">
        <v>15696.14</v>
      </c>
      <c r="O116" s="766"/>
      <c r="P116" s="767">
        <v>657.53321428571428</v>
      </c>
      <c r="Q116" s="769">
        <v>18410.93</v>
      </c>
      <c r="R116" s="766"/>
      <c r="S116" s="767">
        <v>0</v>
      </c>
      <c r="T116" s="769">
        <v>18252.73</v>
      </c>
      <c r="U116" s="766"/>
      <c r="V116" s="767">
        <v>0</v>
      </c>
      <c r="W116" s="769">
        <v>17157.810000000001</v>
      </c>
      <c r="X116" s="766"/>
      <c r="Y116" s="767">
        <v>0</v>
      </c>
      <c r="Z116" s="769">
        <v>20164.34</v>
      </c>
      <c r="AA116" s="766"/>
      <c r="AB116" s="767">
        <v>0</v>
      </c>
      <c r="AC116" s="769">
        <v>17527.689999999999</v>
      </c>
      <c r="AD116" s="766"/>
      <c r="AE116" s="767">
        <v>0</v>
      </c>
      <c r="AF116" s="769">
        <v>19421.79</v>
      </c>
      <c r="AG116" s="1253"/>
      <c r="AH116" s="767">
        <v>0</v>
      </c>
      <c r="AI116" s="769">
        <v>9310.83</v>
      </c>
      <c r="AJ116" s="1253"/>
      <c r="AK116" s="767">
        <v>0</v>
      </c>
      <c r="AL116" s="769">
        <v>18971.509999999998</v>
      </c>
      <c r="AM116" s="1253"/>
      <c r="AN116" s="767">
        <v>212.33952380952383</v>
      </c>
      <c r="AO116" s="1241">
        <v>4459.13</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4"/>
      <c r="D117" s="764">
        <v>-37.800501672240799</v>
      </c>
      <c r="E117" s="765">
        <v>-11302.349999999999</v>
      </c>
      <c r="F117" s="744"/>
      <c r="G117" s="764">
        <v>-18.423636363636362</v>
      </c>
      <c r="H117" s="765">
        <v>-405.32</v>
      </c>
      <c r="I117" s="744"/>
      <c r="J117" s="764">
        <v>-44.719333333333331</v>
      </c>
      <c r="K117" s="765">
        <v>-670.79</v>
      </c>
      <c r="L117" s="744"/>
      <c r="M117" s="764">
        <v>-92.657241379310349</v>
      </c>
      <c r="N117" s="765">
        <v>-2687.06</v>
      </c>
      <c r="O117" s="744"/>
      <c r="P117" s="764">
        <v>-90.678214285714276</v>
      </c>
      <c r="Q117" s="765">
        <v>-2538.9899999999998</v>
      </c>
      <c r="R117" s="744"/>
      <c r="S117" s="764">
        <v>0</v>
      </c>
      <c r="T117" s="765">
        <v>-1828.08</v>
      </c>
      <c r="U117" s="744"/>
      <c r="V117" s="764">
        <v>0</v>
      </c>
      <c r="W117" s="765">
        <v>-775.8</v>
      </c>
      <c r="X117" s="744"/>
      <c r="Y117" s="764">
        <v>0</v>
      </c>
      <c r="Z117" s="765">
        <v>-1754.51</v>
      </c>
      <c r="AA117" s="744"/>
      <c r="AB117" s="764">
        <v>0</v>
      </c>
      <c r="AC117" s="765">
        <v>-332.59</v>
      </c>
      <c r="AD117" s="744"/>
      <c r="AE117" s="764">
        <v>0</v>
      </c>
      <c r="AF117" s="765">
        <v>-1273.72</v>
      </c>
      <c r="AG117" s="744"/>
      <c r="AH117" s="764">
        <v>0</v>
      </c>
      <c r="AI117" s="765">
        <v>1356.52</v>
      </c>
      <c r="AJ117" s="744"/>
      <c r="AK117" s="764">
        <v>0</v>
      </c>
      <c r="AL117" s="765">
        <v>-453.29</v>
      </c>
      <c r="AM117" s="744"/>
      <c r="AN117" s="764">
        <v>2.9180952380952383</v>
      </c>
      <c r="AO117" s="1240">
        <v>61.28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4"/>
      <c r="D118" s="764">
        <v>60.333311036789297</v>
      </c>
      <c r="E118" s="765">
        <v>18039.66</v>
      </c>
      <c r="F118" s="744"/>
      <c r="G118" s="764">
        <v>43.118636363636362</v>
      </c>
      <c r="H118" s="765">
        <v>948.61</v>
      </c>
      <c r="I118" s="744"/>
      <c r="J118" s="764">
        <v>28.663333333333334</v>
      </c>
      <c r="K118" s="765">
        <v>429.95</v>
      </c>
      <c r="L118" s="744"/>
      <c r="M118" s="764">
        <v>40.642413793103451</v>
      </c>
      <c r="N118" s="765">
        <v>1178.6300000000001</v>
      </c>
      <c r="O118" s="744"/>
      <c r="P118" s="764">
        <v>32.045357142857142</v>
      </c>
      <c r="Q118" s="765">
        <v>897.27</v>
      </c>
      <c r="R118" s="744"/>
      <c r="S118" s="764">
        <v>0</v>
      </c>
      <c r="T118" s="765">
        <v>2691.69</v>
      </c>
      <c r="U118" s="744"/>
      <c r="V118" s="764">
        <v>0</v>
      </c>
      <c r="W118" s="765">
        <v>2278.52</v>
      </c>
      <c r="X118" s="744"/>
      <c r="Y118" s="764">
        <v>0</v>
      </c>
      <c r="Z118" s="765">
        <v>4983.57</v>
      </c>
      <c r="AA118" s="744"/>
      <c r="AB118" s="764">
        <v>0</v>
      </c>
      <c r="AC118" s="765">
        <v>577</v>
      </c>
      <c r="AD118" s="744"/>
      <c r="AE118" s="764">
        <v>0</v>
      </c>
      <c r="AF118" s="765">
        <v>2558.56</v>
      </c>
      <c r="AG118" s="744"/>
      <c r="AH118" s="764">
        <v>0</v>
      </c>
      <c r="AI118" s="765">
        <v>2087.27</v>
      </c>
      <c r="AJ118" s="744"/>
      <c r="AK118" s="764">
        <v>0</v>
      </c>
      <c r="AL118" s="765">
        <v>1965.66</v>
      </c>
      <c r="AM118" s="744"/>
      <c r="AN118" s="764">
        <v>-121.7652380952381</v>
      </c>
      <c r="AO118" s="1240">
        <v>-2557.0700000000002</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0"/>
      <c r="D119" s="767">
        <v>180.66471571906354</v>
      </c>
      <c r="E119" s="769">
        <v>54018.75</v>
      </c>
      <c r="F119" s="770"/>
      <c r="G119" s="767">
        <v>151.12090909090909</v>
      </c>
      <c r="H119" s="769">
        <v>3324.66</v>
      </c>
      <c r="I119" s="770"/>
      <c r="J119" s="767">
        <v>119.66666666666667</v>
      </c>
      <c r="K119" s="769">
        <v>1795</v>
      </c>
      <c r="L119" s="770"/>
      <c r="M119" s="767">
        <v>225.90827586206896</v>
      </c>
      <c r="N119" s="769">
        <v>6551.34</v>
      </c>
      <c r="O119" s="770"/>
      <c r="P119" s="767">
        <v>127.62428571428572</v>
      </c>
      <c r="Q119" s="769">
        <v>3573.48</v>
      </c>
      <c r="R119" s="770"/>
      <c r="S119" s="767">
        <v>0</v>
      </c>
      <c r="T119" s="769">
        <v>4307.83</v>
      </c>
      <c r="U119" s="770"/>
      <c r="V119" s="767">
        <v>0</v>
      </c>
      <c r="W119" s="769">
        <v>9664.26</v>
      </c>
      <c r="X119" s="770"/>
      <c r="Y119" s="767">
        <v>0</v>
      </c>
      <c r="Z119" s="769">
        <v>3765.58</v>
      </c>
      <c r="AA119" s="770"/>
      <c r="AB119" s="767">
        <v>0</v>
      </c>
      <c r="AC119" s="769">
        <v>3613.13</v>
      </c>
      <c r="AD119" s="770"/>
      <c r="AE119" s="767">
        <v>0</v>
      </c>
      <c r="AF119" s="769">
        <v>3481.48</v>
      </c>
      <c r="AG119" s="770"/>
      <c r="AH119" s="767">
        <v>0</v>
      </c>
      <c r="AI119" s="769">
        <v>6393.11</v>
      </c>
      <c r="AJ119" s="770"/>
      <c r="AK119" s="767">
        <v>0</v>
      </c>
      <c r="AL119" s="769">
        <v>3914.28</v>
      </c>
      <c r="AM119" s="770"/>
      <c r="AN119" s="767">
        <v>173.07619047619048</v>
      </c>
      <c r="AO119" s="1241">
        <v>3634.6</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4"/>
      <c r="D120" s="764">
        <v>451.16565217391314</v>
      </c>
      <c r="E120" s="765">
        <v>134898.53000000003</v>
      </c>
      <c r="F120" s="744"/>
      <c r="G120" s="764">
        <v>556.01590909090908</v>
      </c>
      <c r="H120" s="765">
        <v>12232.35</v>
      </c>
      <c r="I120" s="744"/>
      <c r="J120" s="764">
        <v>467.97399999999999</v>
      </c>
      <c r="K120" s="765">
        <v>7019.61</v>
      </c>
      <c r="L120" s="744"/>
      <c r="M120" s="764">
        <v>366.05689655172415</v>
      </c>
      <c r="N120" s="765">
        <v>10615.65</v>
      </c>
      <c r="O120" s="744"/>
      <c r="P120" s="764">
        <v>461.5385714285714</v>
      </c>
      <c r="Q120" s="765">
        <v>12923.08</v>
      </c>
      <c r="R120" s="744"/>
      <c r="S120" s="764">
        <v>0</v>
      </c>
      <c r="T120" s="765">
        <v>11679.81</v>
      </c>
      <c r="U120" s="744"/>
      <c r="V120" s="764">
        <v>0</v>
      </c>
      <c r="W120" s="765">
        <v>7506.82</v>
      </c>
      <c r="X120" s="744"/>
      <c r="Y120" s="764">
        <v>0</v>
      </c>
      <c r="Z120" s="765">
        <v>9191.5300000000007</v>
      </c>
      <c r="AA120" s="744"/>
      <c r="AB120" s="764">
        <v>0</v>
      </c>
      <c r="AC120" s="765">
        <v>10992.3</v>
      </c>
      <c r="AD120" s="744"/>
      <c r="AE120" s="764">
        <v>0</v>
      </c>
      <c r="AF120" s="765">
        <v>13511.52</v>
      </c>
      <c r="AG120" s="744"/>
      <c r="AH120" s="764">
        <v>0</v>
      </c>
      <c r="AI120" s="765">
        <v>12130.92</v>
      </c>
      <c r="AJ120" s="744"/>
      <c r="AK120" s="764">
        <v>0</v>
      </c>
      <c r="AL120" s="765">
        <v>9800.3799999999992</v>
      </c>
      <c r="AM120" s="744"/>
      <c r="AN120" s="764">
        <v>823.55047619047627</v>
      </c>
      <c r="AO120" s="1240">
        <v>17294.560000000001</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4"/>
      <c r="D121" s="764">
        <v>95.794214046822745</v>
      </c>
      <c r="E121" s="765">
        <v>28642.47</v>
      </c>
      <c r="F121" s="744"/>
      <c r="G121" s="764">
        <v>118.57636363636362</v>
      </c>
      <c r="H121" s="765">
        <v>2608.6799999999998</v>
      </c>
      <c r="I121" s="744"/>
      <c r="J121" s="764">
        <v>141.494</v>
      </c>
      <c r="K121" s="765">
        <v>2122.41</v>
      </c>
      <c r="L121" s="744"/>
      <c r="M121" s="764">
        <v>70.131034482758622</v>
      </c>
      <c r="N121" s="765">
        <v>2033.8</v>
      </c>
      <c r="O121" s="744"/>
      <c r="P121" s="764">
        <v>105.60428571428572</v>
      </c>
      <c r="Q121" s="765">
        <v>2956.92</v>
      </c>
      <c r="R121" s="744"/>
      <c r="S121" s="764">
        <v>0</v>
      </c>
      <c r="T121" s="765">
        <v>4081.16</v>
      </c>
      <c r="U121" s="744"/>
      <c r="V121" s="764">
        <v>0</v>
      </c>
      <c r="W121" s="765">
        <v>5014.7299999999996</v>
      </c>
      <c r="X121" s="744"/>
      <c r="Y121" s="764">
        <v>0</v>
      </c>
      <c r="Z121" s="765">
        <v>4064.38</v>
      </c>
      <c r="AA121" s="744"/>
      <c r="AB121" s="764">
        <v>0</v>
      </c>
      <c r="AC121" s="765">
        <v>2127.79</v>
      </c>
      <c r="AD121" s="744"/>
      <c r="AE121" s="764">
        <v>0</v>
      </c>
      <c r="AF121" s="765">
        <v>1444.27</v>
      </c>
      <c r="AG121" s="744"/>
      <c r="AH121" s="764">
        <v>0</v>
      </c>
      <c r="AI121" s="765">
        <v>691.6</v>
      </c>
      <c r="AJ121" s="744"/>
      <c r="AK121" s="764">
        <v>0</v>
      </c>
      <c r="AL121" s="765">
        <v>783.69</v>
      </c>
      <c r="AM121" s="744"/>
      <c r="AN121" s="764">
        <v>33.95428571428571</v>
      </c>
      <c r="AO121" s="1240">
        <v>713.04</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794"/>
      <c r="D122" s="764"/>
      <c r="E122" s="752"/>
      <c r="F122" s="794"/>
      <c r="G122" s="764"/>
      <c r="H122" s="752"/>
      <c r="I122" s="794"/>
      <c r="J122" s="764"/>
      <c r="K122" s="752"/>
      <c r="L122" s="794"/>
      <c r="M122" s="764"/>
      <c r="N122" s="752"/>
      <c r="O122" s="794"/>
      <c r="P122" s="764"/>
      <c r="Q122" s="752"/>
      <c r="R122" s="794"/>
      <c r="S122" s="764"/>
      <c r="T122" s="752"/>
      <c r="U122" s="794"/>
      <c r="V122" s="764"/>
      <c r="W122" s="752"/>
      <c r="X122" s="794"/>
      <c r="Y122" s="764"/>
      <c r="Z122" s="752"/>
      <c r="AA122" s="794"/>
      <c r="AB122" s="764"/>
      <c r="AC122" s="752"/>
      <c r="AD122" s="794"/>
      <c r="AE122" s="764"/>
      <c r="AF122" s="752"/>
      <c r="AG122" s="794"/>
      <c r="AH122" s="764"/>
      <c r="AI122" s="752"/>
      <c r="AJ122" s="794"/>
      <c r="AK122" s="764"/>
      <c r="AL122" s="752"/>
      <c r="AM122" s="794"/>
      <c r="AN122" s="764"/>
      <c r="AO122" s="752"/>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794"/>
      <c r="D123" s="764"/>
      <c r="E123" s="752"/>
      <c r="F123" s="794"/>
      <c r="G123" s="764"/>
      <c r="H123" s="752"/>
      <c r="I123" s="794"/>
      <c r="J123" s="764"/>
      <c r="K123" s="752"/>
      <c r="L123" s="794"/>
      <c r="M123" s="764"/>
      <c r="N123" s="752"/>
      <c r="O123" s="794"/>
      <c r="P123" s="764"/>
      <c r="Q123" s="752"/>
      <c r="R123" s="794"/>
      <c r="S123" s="764"/>
      <c r="T123" s="752"/>
      <c r="U123" s="794"/>
      <c r="V123" s="764"/>
      <c r="W123" s="752"/>
      <c r="X123" s="794"/>
      <c r="Y123" s="764"/>
      <c r="Z123" s="752"/>
      <c r="AA123" s="794"/>
      <c r="AB123" s="764"/>
      <c r="AC123" s="752"/>
      <c r="AD123" s="794"/>
      <c r="AE123" s="764"/>
      <c r="AF123" s="752"/>
      <c r="AG123" s="794"/>
      <c r="AH123" s="764"/>
      <c r="AI123" s="752"/>
      <c r="AJ123" s="794"/>
      <c r="AK123" s="764"/>
      <c r="AL123" s="752"/>
      <c r="AM123" s="794"/>
      <c r="AN123" s="764"/>
      <c r="AO123" s="752"/>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794"/>
      <c r="D124" s="764"/>
      <c r="E124" s="752"/>
      <c r="F124" s="794"/>
      <c r="G124" s="764"/>
      <c r="H124" s="752"/>
      <c r="I124" s="794"/>
      <c r="J124" s="764"/>
      <c r="K124" s="752"/>
      <c r="L124" s="794"/>
      <c r="M124" s="764"/>
      <c r="N124" s="752"/>
      <c r="O124" s="794"/>
      <c r="P124" s="764"/>
      <c r="Q124" s="752"/>
      <c r="R124" s="794"/>
      <c r="S124" s="764"/>
      <c r="T124" s="752"/>
      <c r="U124" s="794"/>
      <c r="V124" s="764"/>
      <c r="W124" s="752"/>
      <c r="X124" s="794"/>
      <c r="Y124" s="764"/>
      <c r="Z124" s="752"/>
      <c r="AA124" s="794"/>
      <c r="AB124" s="764"/>
      <c r="AC124" s="752"/>
      <c r="AD124" s="794"/>
      <c r="AE124" s="764"/>
      <c r="AF124" s="752"/>
      <c r="AG124" s="794"/>
      <c r="AH124" s="764"/>
      <c r="AI124" s="752"/>
      <c r="AJ124" s="794"/>
      <c r="AK124" s="764"/>
      <c r="AL124" s="752"/>
      <c r="AM124" s="794"/>
      <c r="AN124" s="764"/>
      <c r="AO124" s="752"/>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1155" t="s">
        <v>119</v>
      </c>
      <c r="D125" s="1156">
        <v>0.43406831945460911</v>
      </c>
      <c r="E125" s="1157">
        <v>554847.42999999993</v>
      </c>
      <c r="F125" s="1155" t="s">
        <v>119</v>
      </c>
      <c r="G125" s="1156"/>
      <c r="H125" s="1157">
        <v>46277.8</v>
      </c>
      <c r="I125" s="1155" t="s">
        <v>119</v>
      </c>
      <c r="J125" s="1156"/>
      <c r="K125" s="1157">
        <v>26328.37</v>
      </c>
      <c r="L125" s="1155" t="s">
        <v>119</v>
      </c>
      <c r="M125" s="1156"/>
      <c r="N125" s="1157">
        <v>47644.65</v>
      </c>
      <c r="O125" s="1155" t="s">
        <v>119</v>
      </c>
      <c r="P125" s="1156"/>
      <c r="Q125" s="1157">
        <v>45539.3</v>
      </c>
      <c r="R125" s="1254" t="s">
        <v>119</v>
      </c>
      <c r="S125" s="1156"/>
      <c r="T125" s="1157">
        <v>55764.41</v>
      </c>
      <c r="U125" s="1254" t="s">
        <v>119</v>
      </c>
      <c r="V125" s="1156"/>
      <c r="W125" s="1242">
        <v>57573.38</v>
      </c>
      <c r="X125" s="1254" t="s">
        <v>119</v>
      </c>
      <c r="Y125" s="1156"/>
      <c r="Z125" s="1242">
        <v>52423.1899999999</v>
      </c>
      <c r="AA125" s="1254" t="s">
        <v>119</v>
      </c>
      <c r="AB125" s="1156"/>
      <c r="AC125" s="1242">
        <v>47334.51</v>
      </c>
      <c r="AD125" s="1254" t="s">
        <v>119</v>
      </c>
      <c r="AE125" s="1156"/>
      <c r="AF125" s="1242">
        <v>54468.93</v>
      </c>
      <c r="AG125" s="1155" t="s">
        <v>119</v>
      </c>
      <c r="AH125" s="1156"/>
      <c r="AI125" s="1157">
        <v>43257.799999999901</v>
      </c>
      <c r="AJ125" s="1155" t="s">
        <v>119</v>
      </c>
      <c r="AK125" s="1156"/>
      <c r="AL125" s="1157">
        <v>45702.85</v>
      </c>
      <c r="AM125" s="1155" t="s">
        <v>119</v>
      </c>
      <c r="AN125" s="1156"/>
      <c r="AO125" s="1157">
        <v>32532.240000000002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4"/>
      <c r="D126" s="751"/>
      <c r="E126" s="765">
        <v>127695.76999999999</v>
      </c>
      <c r="F126" s="744"/>
      <c r="G126" s="751"/>
      <c r="H126" s="765">
        <v>12489.2</v>
      </c>
      <c r="I126" s="744"/>
      <c r="J126" s="751"/>
      <c r="K126" s="765">
        <v>6449.93</v>
      </c>
      <c r="L126" s="744"/>
      <c r="M126" s="751"/>
      <c r="N126" s="765">
        <v>9449.93</v>
      </c>
      <c r="O126" s="744"/>
      <c r="P126" s="751"/>
      <c r="Q126" s="765">
        <v>9430.7000000000007</v>
      </c>
      <c r="R126" s="744"/>
      <c r="S126" s="751"/>
      <c r="T126" s="765">
        <v>7373.01</v>
      </c>
      <c r="U126" s="744"/>
      <c r="V126" s="751"/>
      <c r="W126" s="765">
        <v>8017.24</v>
      </c>
      <c r="X126" s="744"/>
      <c r="Y126" s="751"/>
      <c r="Z126" s="765">
        <v>12692.24</v>
      </c>
      <c r="AA126" s="744"/>
      <c r="AB126" s="751"/>
      <c r="AC126" s="765">
        <v>12758.11</v>
      </c>
      <c r="AD126" s="744"/>
      <c r="AE126" s="751"/>
      <c r="AF126" s="765">
        <v>12968.68</v>
      </c>
      <c r="AG126" s="744"/>
      <c r="AH126" s="751"/>
      <c r="AI126" s="765">
        <v>12338.4</v>
      </c>
      <c r="AJ126" s="744"/>
      <c r="AK126" s="751"/>
      <c r="AL126" s="765">
        <v>12013.87</v>
      </c>
      <c r="AM126" s="744"/>
      <c r="AN126" s="751"/>
      <c r="AO126" s="1240">
        <v>11714.46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4"/>
      <c r="D127" s="751"/>
      <c r="E127" s="765">
        <v>37718.229999999996</v>
      </c>
      <c r="F127" s="744"/>
      <c r="G127" s="751"/>
      <c r="H127" s="765">
        <v>5874.45</v>
      </c>
      <c r="I127" s="744"/>
      <c r="J127" s="751"/>
      <c r="K127" s="765">
        <v>5400.97</v>
      </c>
      <c r="L127" s="744"/>
      <c r="M127" s="751"/>
      <c r="N127" s="765">
        <v>5514.42</v>
      </c>
      <c r="O127" s="744"/>
      <c r="P127" s="751"/>
      <c r="Q127" s="765">
        <v>1983.51</v>
      </c>
      <c r="R127" s="744"/>
      <c r="S127" s="751"/>
      <c r="T127" s="765">
        <v>2166.67</v>
      </c>
      <c r="U127" s="744"/>
      <c r="V127" s="751"/>
      <c r="W127" s="765">
        <v>1931.75</v>
      </c>
      <c r="X127" s="744"/>
      <c r="Y127" s="751"/>
      <c r="Z127" s="765">
        <v>1911.65</v>
      </c>
      <c r="AA127" s="744"/>
      <c r="AB127" s="751"/>
      <c r="AC127" s="765">
        <v>2021.62</v>
      </c>
      <c r="AD127" s="744"/>
      <c r="AE127" s="751"/>
      <c r="AF127" s="765">
        <v>3121.3</v>
      </c>
      <c r="AG127" s="744"/>
      <c r="AH127" s="751"/>
      <c r="AI127" s="765">
        <v>3437.05</v>
      </c>
      <c r="AJ127" s="744"/>
      <c r="AK127" s="751"/>
      <c r="AL127" s="765">
        <v>1829.35</v>
      </c>
      <c r="AM127" s="744"/>
      <c r="AN127" s="751"/>
      <c r="AO127" s="1240">
        <v>2525.4899999999998</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1142"/>
      <c r="D128" s="1160"/>
      <c r="E128" s="1162">
        <v>58483.799999999996</v>
      </c>
      <c r="F128" s="1142"/>
      <c r="G128" s="1160"/>
      <c r="H128" s="1162">
        <v>5161</v>
      </c>
      <c r="I128" s="1142"/>
      <c r="J128" s="1160"/>
      <c r="K128" s="1162">
        <v>5999</v>
      </c>
      <c r="L128" s="1142"/>
      <c r="M128" s="1160"/>
      <c r="N128" s="1162">
        <v>3236</v>
      </c>
      <c r="O128" s="1142"/>
      <c r="P128" s="1160"/>
      <c r="Q128" s="1162">
        <v>4612.75</v>
      </c>
      <c r="R128" s="1142"/>
      <c r="S128" s="1160"/>
      <c r="T128" s="1162">
        <v>5875.5</v>
      </c>
      <c r="U128" s="1142"/>
      <c r="V128" s="1160"/>
      <c r="W128" s="1162">
        <v>5223.6000000000004</v>
      </c>
      <c r="X128" s="1142"/>
      <c r="Y128" s="1160"/>
      <c r="Z128" s="1162">
        <v>5511.25</v>
      </c>
      <c r="AA128" s="1142"/>
      <c r="AB128" s="1160"/>
      <c r="AC128" s="1162">
        <v>5127.5</v>
      </c>
      <c r="AD128" s="1142"/>
      <c r="AE128" s="1160"/>
      <c r="AF128" s="1162">
        <v>3559.25</v>
      </c>
      <c r="AG128" s="1142"/>
      <c r="AH128" s="1160"/>
      <c r="AI128" s="1162">
        <v>4478.2</v>
      </c>
      <c r="AJ128" s="1142"/>
      <c r="AK128" s="1160"/>
      <c r="AL128" s="1162">
        <v>4999.6000000000004</v>
      </c>
      <c r="AM128" s="1142"/>
      <c r="AN128" s="1160"/>
      <c r="AO128" s="1243">
        <v>4700.1499999999996</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4"/>
      <c r="D129" s="751"/>
      <c r="E129" s="765">
        <v>0</v>
      </c>
      <c r="F129" s="744"/>
      <c r="G129" s="751"/>
      <c r="H129" s="765">
        <v>0</v>
      </c>
      <c r="I129" s="744"/>
      <c r="J129" s="751"/>
      <c r="K129" s="765">
        <v>0</v>
      </c>
      <c r="L129" s="744"/>
      <c r="M129" s="751"/>
      <c r="N129" s="765">
        <v>0</v>
      </c>
      <c r="O129" s="744"/>
      <c r="P129" s="751"/>
      <c r="Q129" s="765">
        <v>0</v>
      </c>
      <c r="R129" s="744"/>
      <c r="S129" s="751"/>
      <c r="T129" s="765">
        <v>0</v>
      </c>
      <c r="U129" s="744"/>
      <c r="V129" s="751"/>
      <c r="W129" s="765">
        <v>0</v>
      </c>
      <c r="X129" s="744"/>
      <c r="Y129" s="751"/>
      <c r="Z129" s="765">
        <v>0</v>
      </c>
      <c r="AA129" s="744"/>
      <c r="AB129" s="751"/>
      <c r="AC129" s="765">
        <v>0</v>
      </c>
      <c r="AD129" s="744"/>
      <c r="AE129" s="751"/>
      <c r="AF129" s="765">
        <v>0</v>
      </c>
      <c r="AG129" s="744"/>
      <c r="AH129" s="751"/>
      <c r="AI129" s="765">
        <v>0</v>
      </c>
      <c r="AJ129" s="744"/>
      <c r="AK129" s="751"/>
      <c r="AL129" s="765">
        <v>0</v>
      </c>
      <c r="AM129" s="744"/>
      <c r="AN129" s="751"/>
      <c r="AO129" s="1240">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4"/>
      <c r="D130" s="751"/>
      <c r="E130" s="765"/>
      <c r="F130" s="744"/>
      <c r="G130" s="751"/>
      <c r="H130" s="765"/>
      <c r="I130" s="744"/>
      <c r="J130" s="751"/>
      <c r="K130" s="765"/>
      <c r="L130" s="744"/>
      <c r="M130" s="751"/>
      <c r="N130" s="765"/>
      <c r="O130" s="744"/>
      <c r="P130" s="751"/>
      <c r="Q130" s="765"/>
      <c r="R130" s="744"/>
      <c r="S130" s="751"/>
      <c r="T130" s="765"/>
      <c r="U130" s="744"/>
      <c r="V130" s="751"/>
      <c r="W130" s="765"/>
      <c r="X130" s="744"/>
      <c r="Y130" s="751"/>
      <c r="Z130" s="765"/>
      <c r="AA130" s="744"/>
      <c r="AB130" s="751"/>
      <c r="AC130" s="765"/>
      <c r="AD130" s="744"/>
      <c r="AE130" s="751"/>
      <c r="AF130" s="765"/>
      <c r="AG130" s="744"/>
      <c r="AH130" s="751"/>
      <c r="AI130" s="765"/>
      <c r="AJ130" s="744"/>
      <c r="AK130" s="751"/>
      <c r="AL130" s="765"/>
      <c r="AM130" s="744"/>
      <c r="AN130" s="751"/>
      <c r="AO130" s="1240"/>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4"/>
      <c r="D131" s="751"/>
      <c r="E131" s="765"/>
      <c r="F131" s="744"/>
      <c r="G131" s="751"/>
      <c r="H131" s="765"/>
      <c r="I131" s="744"/>
      <c r="J131" s="751"/>
      <c r="K131" s="765"/>
      <c r="L131" s="744"/>
      <c r="M131" s="751"/>
      <c r="N131" s="765"/>
      <c r="O131" s="744"/>
      <c r="P131" s="751"/>
      <c r="Q131" s="765"/>
      <c r="R131" s="744"/>
      <c r="S131" s="751"/>
      <c r="T131" s="765"/>
      <c r="U131" s="744"/>
      <c r="V131" s="751"/>
      <c r="W131" s="765"/>
      <c r="X131" s="744"/>
      <c r="Y131" s="751"/>
      <c r="Z131" s="765"/>
      <c r="AA131" s="744"/>
      <c r="AB131" s="751"/>
      <c r="AC131" s="765"/>
      <c r="AD131" s="744"/>
      <c r="AE131" s="751"/>
      <c r="AF131" s="765"/>
      <c r="AG131" s="744"/>
      <c r="AH131" s="751"/>
      <c r="AI131" s="765"/>
      <c r="AJ131" s="744"/>
      <c r="AK131" s="751"/>
      <c r="AL131" s="765"/>
      <c r="AM131" s="744"/>
      <c r="AN131" s="751"/>
      <c r="AO131" s="1240"/>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4"/>
      <c r="D132" s="751"/>
      <c r="E132" s="765"/>
      <c r="F132" s="744"/>
      <c r="G132" s="751"/>
      <c r="H132" s="765"/>
      <c r="I132" s="744"/>
      <c r="J132" s="751"/>
      <c r="K132" s="765"/>
      <c r="L132" s="744"/>
      <c r="M132" s="751"/>
      <c r="N132" s="765"/>
      <c r="O132" s="744"/>
      <c r="P132" s="751"/>
      <c r="Q132" s="765"/>
      <c r="R132" s="744"/>
      <c r="S132" s="751"/>
      <c r="T132" s="765"/>
      <c r="U132" s="744"/>
      <c r="V132" s="751"/>
      <c r="W132" s="765"/>
      <c r="X132" s="744"/>
      <c r="Y132" s="751"/>
      <c r="Z132" s="765"/>
      <c r="AA132" s="744"/>
      <c r="AB132" s="751"/>
      <c r="AC132" s="765"/>
      <c r="AD132" s="744"/>
      <c r="AE132" s="751"/>
      <c r="AF132" s="765"/>
      <c r="AG132" s="744"/>
      <c r="AH132" s="751"/>
      <c r="AI132" s="765"/>
      <c r="AJ132" s="744"/>
      <c r="AK132" s="751"/>
      <c r="AL132" s="765"/>
      <c r="AM132" s="744"/>
      <c r="AN132" s="751"/>
      <c r="AO132" s="1240"/>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4"/>
      <c r="D133" s="751"/>
      <c r="E133" s="765">
        <v>89342.469999999987</v>
      </c>
      <c r="F133" s="744"/>
      <c r="G133" s="751"/>
      <c r="H133" s="765">
        <v>8116.46</v>
      </c>
      <c r="I133" s="744"/>
      <c r="J133" s="751"/>
      <c r="K133" s="765">
        <v>6772.12</v>
      </c>
      <c r="L133" s="744"/>
      <c r="M133" s="751"/>
      <c r="N133" s="765">
        <v>7286.69</v>
      </c>
      <c r="O133" s="744"/>
      <c r="P133" s="751"/>
      <c r="Q133" s="765">
        <v>9038.93</v>
      </c>
      <c r="R133" s="744"/>
      <c r="S133" s="751"/>
      <c r="T133" s="765">
        <v>9327.2199999999993</v>
      </c>
      <c r="U133" s="744"/>
      <c r="V133" s="751"/>
      <c r="W133" s="765">
        <v>7889.47</v>
      </c>
      <c r="X133" s="744"/>
      <c r="Y133" s="751"/>
      <c r="Z133" s="765">
        <v>7271.51</v>
      </c>
      <c r="AA133" s="744"/>
      <c r="AB133" s="751"/>
      <c r="AC133" s="765">
        <v>7565.74</v>
      </c>
      <c r="AD133" s="744"/>
      <c r="AE133" s="751"/>
      <c r="AF133" s="765">
        <v>4173.8999999999996</v>
      </c>
      <c r="AG133" s="744"/>
      <c r="AH133" s="751"/>
      <c r="AI133" s="765">
        <v>7747.06</v>
      </c>
      <c r="AJ133" s="744"/>
      <c r="AK133" s="751"/>
      <c r="AL133" s="765">
        <v>7715.34</v>
      </c>
      <c r="AM133" s="744"/>
      <c r="AN133" s="751"/>
      <c r="AO133" s="1240">
        <v>6438.03</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1142"/>
      <c r="D134" s="1160"/>
      <c r="E134" s="1162">
        <v>103016.16</v>
      </c>
      <c r="F134" s="1142"/>
      <c r="G134" s="1160"/>
      <c r="H134" s="1162">
        <v>8563.31</v>
      </c>
      <c r="I134" s="1142"/>
      <c r="J134" s="1160"/>
      <c r="K134" s="1162">
        <v>8042.92</v>
      </c>
      <c r="L134" s="1142"/>
      <c r="M134" s="1160"/>
      <c r="N134" s="1162">
        <v>8838.65</v>
      </c>
      <c r="O134" s="1142"/>
      <c r="P134" s="1160"/>
      <c r="Q134" s="1162">
        <v>10732.49</v>
      </c>
      <c r="R134" s="1142"/>
      <c r="S134" s="1160"/>
      <c r="T134" s="1162">
        <v>11184.74</v>
      </c>
      <c r="U134" s="1142"/>
      <c r="V134" s="1160"/>
      <c r="W134" s="1162">
        <v>8997.59</v>
      </c>
      <c r="X134" s="1142"/>
      <c r="Y134" s="1160"/>
      <c r="Z134" s="1162">
        <v>8415.69</v>
      </c>
      <c r="AA134" s="1142"/>
      <c r="AB134" s="1160"/>
      <c r="AC134" s="1162">
        <v>8319.08</v>
      </c>
      <c r="AD134" s="1142"/>
      <c r="AE134" s="1160"/>
      <c r="AF134" s="1162">
        <v>4149.34</v>
      </c>
      <c r="AG134" s="1142"/>
      <c r="AH134" s="1160"/>
      <c r="AI134" s="1162">
        <v>9111.51</v>
      </c>
      <c r="AJ134" s="1142"/>
      <c r="AK134" s="1160"/>
      <c r="AL134" s="1162">
        <v>9209.24</v>
      </c>
      <c r="AM134" s="1142"/>
      <c r="AN134" s="1160"/>
      <c r="AO134" s="1243">
        <v>7451.6</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4"/>
      <c r="D135" s="751"/>
      <c r="E135" s="765">
        <v>50140.499999999985</v>
      </c>
      <c r="F135" s="744"/>
      <c r="G135" s="751"/>
      <c r="H135" s="765">
        <v>3861.82</v>
      </c>
      <c r="I135" s="744"/>
      <c r="J135" s="751"/>
      <c r="K135" s="765">
        <v>4219.8599999999997</v>
      </c>
      <c r="L135" s="744"/>
      <c r="M135" s="751"/>
      <c r="N135" s="765">
        <v>4841.78</v>
      </c>
      <c r="O135" s="744"/>
      <c r="P135" s="751"/>
      <c r="Q135" s="765">
        <v>4967.2199999999903</v>
      </c>
      <c r="R135" s="744"/>
      <c r="S135" s="751"/>
      <c r="T135" s="765">
        <v>6075.35</v>
      </c>
      <c r="U135" s="744"/>
      <c r="V135" s="751"/>
      <c r="W135" s="765">
        <v>4065.51</v>
      </c>
      <c r="X135" s="744"/>
      <c r="Y135" s="751"/>
      <c r="Z135" s="765">
        <v>3747.7599999999902</v>
      </c>
      <c r="AA135" s="744"/>
      <c r="AB135" s="751"/>
      <c r="AC135" s="765">
        <v>4530.37</v>
      </c>
      <c r="AD135" s="744"/>
      <c r="AE135" s="751"/>
      <c r="AF135" s="765">
        <v>2110.8200000000002</v>
      </c>
      <c r="AG135" s="744"/>
      <c r="AH135" s="751"/>
      <c r="AI135" s="765">
        <v>4529.3999999999996</v>
      </c>
      <c r="AJ135" s="744"/>
      <c r="AK135" s="751"/>
      <c r="AL135" s="765">
        <v>4277.1400000000003</v>
      </c>
      <c r="AM135" s="744"/>
      <c r="AN135" s="751"/>
      <c r="AO135" s="1240">
        <v>2913.47</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4"/>
      <c r="D136" s="751"/>
      <c r="E136" s="765">
        <v>13847.880000000001</v>
      </c>
      <c r="F136" s="744"/>
      <c r="G136" s="751"/>
      <c r="H136" s="765">
        <v>1542.62</v>
      </c>
      <c r="I136" s="744"/>
      <c r="J136" s="751"/>
      <c r="K136" s="765">
        <v>1459.12</v>
      </c>
      <c r="L136" s="744"/>
      <c r="M136" s="751"/>
      <c r="N136" s="765">
        <v>1030.8900000000001</v>
      </c>
      <c r="O136" s="744"/>
      <c r="P136" s="751"/>
      <c r="Q136" s="765">
        <v>1397.64</v>
      </c>
      <c r="R136" s="744"/>
      <c r="S136" s="751"/>
      <c r="T136" s="765">
        <v>1387.06</v>
      </c>
      <c r="U136" s="744"/>
      <c r="V136" s="751"/>
      <c r="W136" s="765">
        <v>1046.6500000000001</v>
      </c>
      <c r="X136" s="744"/>
      <c r="Y136" s="751"/>
      <c r="Z136" s="765">
        <v>805.56</v>
      </c>
      <c r="AA136" s="744"/>
      <c r="AB136" s="751"/>
      <c r="AC136" s="765">
        <v>668.49</v>
      </c>
      <c r="AD136" s="744"/>
      <c r="AE136" s="751"/>
      <c r="AF136" s="765">
        <v>465.04</v>
      </c>
      <c r="AG136" s="744"/>
      <c r="AH136" s="751"/>
      <c r="AI136" s="765">
        <v>1013.35</v>
      </c>
      <c r="AJ136" s="744"/>
      <c r="AK136" s="751"/>
      <c r="AL136" s="765">
        <v>458.92</v>
      </c>
      <c r="AM136" s="744"/>
      <c r="AN136" s="751"/>
      <c r="AO136" s="1240">
        <v>2572.54</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0"/>
      <c r="D137" s="771"/>
      <c r="E137" s="768"/>
      <c r="F137" s="770"/>
      <c r="G137" s="771"/>
      <c r="H137" s="768"/>
      <c r="I137" s="770"/>
      <c r="J137" s="771"/>
      <c r="K137" s="768"/>
      <c r="L137" s="770"/>
      <c r="M137" s="771"/>
      <c r="N137" s="768"/>
      <c r="O137" s="770"/>
      <c r="P137" s="771"/>
      <c r="Q137" s="768"/>
      <c r="R137" s="770"/>
      <c r="S137" s="771"/>
      <c r="T137" s="768"/>
      <c r="U137" s="770"/>
      <c r="V137" s="771"/>
      <c r="W137" s="768"/>
      <c r="X137" s="770"/>
      <c r="Y137" s="771"/>
      <c r="Z137" s="768"/>
      <c r="AA137" s="770"/>
      <c r="AB137" s="771"/>
      <c r="AC137" s="768"/>
      <c r="AD137" s="770"/>
      <c r="AE137" s="771"/>
      <c r="AF137" s="768"/>
      <c r="AG137" s="770"/>
      <c r="AH137" s="771"/>
      <c r="AI137" s="768"/>
      <c r="AJ137" s="770"/>
      <c r="AK137" s="771"/>
      <c r="AL137" s="768"/>
      <c r="AM137" s="770"/>
      <c r="AN137" s="771"/>
      <c r="AO137" s="768"/>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1155" t="s">
        <v>119</v>
      </c>
      <c r="D138" s="1156">
        <v>0.37570518728634655</v>
      </c>
      <c r="E138" s="1157">
        <v>480244.80999999994</v>
      </c>
      <c r="F138" s="1155"/>
      <c r="G138" s="1156"/>
      <c r="H138" s="1157">
        <v>45608.86</v>
      </c>
      <c r="I138" s="1155"/>
      <c r="J138" s="1156"/>
      <c r="K138" s="1157">
        <v>38343.919999999998</v>
      </c>
      <c r="L138" s="1155"/>
      <c r="M138" s="1156"/>
      <c r="N138" s="1157">
        <v>40198.359999999899</v>
      </c>
      <c r="O138" s="1155"/>
      <c r="P138" s="1156"/>
      <c r="Q138" s="1157">
        <v>42163.24</v>
      </c>
      <c r="R138" s="1155"/>
      <c r="S138" s="1156"/>
      <c r="T138" s="1157">
        <v>43389.549999999901</v>
      </c>
      <c r="U138" s="1155"/>
      <c r="V138" s="1156"/>
      <c r="W138" s="1242">
        <v>37171.81</v>
      </c>
      <c r="X138" s="1155"/>
      <c r="Y138" s="1156"/>
      <c r="Z138" s="1242">
        <v>40355.660000000003</v>
      </c>
      <c r="AA138" s="1155"/>
      <c r="AB138" s="1156"/>
      <c r="AC138" s="1242">
        <v>40990.910000000003</v>
      </c>
      <c r="AD138" s="1155"/>
      <c r="AE138" s="1156"/>
      <c r="AF138" s="1242">
        <v>30548.3299999999</v>
      </c>
      <c r="AG138" s="1155"/>
      <c r="AH138" s="1156"/>
      <c r="AI138" s="1157">
        <v>42654.97</v>
      </c>
      <c r="AJ138" s="1155"/>
      <c r="AK138" s="1156"/>
      <c r="AL138" s="1157">
        <v>40503.46</v>
      </c>
      <c r="AM138" s="1155"/>
      <c r="AN138" s="1156"/>
      <c r="AO138" s="1157">
        <v>38315.74</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4"/>
      <c r="D139" s="751"/>
      <c r="E139" s="765">
        <v>0</v>
      </c>
      <c r="F139" s="744"/>
      <c r="G139" s="751"/>
      <c r="H139" s="765">
        <v>0</v>
      </c>
      <c r="I139" s="744"/>
      <c r="J139" s="751"/>
      <c r="K139" s="765">
        <v>0</v>
      </c>
      <c r="L139" s="744"/>
      <c r="M139" s="751"/>
      <c r="N139" s="765">
        <v>0</v>
      </c>
      <c r="O139" s="744"/>
      <c r="P139" s="751"/>
      <c r="Q139" s="765">
        <v>0</v>
      </c>
      <c r="R139" s="744"/>
      <c r="S139" s="751"/>
      <c r="T139" s="765">
        <v>0</v>
      </c>
      <c r="U139" s="744"/>
      <c r="V139" s="751"/>
      <c r="W139" s="765">
        <v>0</v>
      </c>
      <c r="X139" s="744"/>
      <c r="Y139" s="751"/>
      <c r="Z139" s="765">
        <v>0</v>
      </c>
      <c r="AA139" s="744"/>
      <c r="AB139" s="751"/>
      <c r="AC139" s="765">
        <v>0</v>
      </c>
      <c r="AD139" s="744"/>
      <c r="AE139" s="751"/>
      <c r="AF139" s="765">
        <v>0</v>
      </c>
      <c r="AG139" s="744"/>
      <c r="AH139" s="751"/>
      <c r="AI139" s="765">
        <v>0</v>
      </c>
      <c r="AJ139" s="744"/>
      <c r="AK139" s="751"/>
      <c r="AL139" s="765">
        <v>0</v>
      </c>
      <c r="AM139" s="744"/>
      <c r="AN139" s="751"/>
      <c r="AO139" s="1240">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4"/>
      <c r="D140" s="751"/>
      <c r="E140" s="765">
        <v>0</v>
      </c>
      <c r="F140" s="744"/>
      <c r="G140" s="751"/>
      <c r="H140" s="765">
        <v>0</v>
      </c>
      <c r="I140" s="744"/>
      <c r="J140" s="751"/>
      <c r="K140" s="765">
        <v>0</v>
      </c>
      <c r="L140" s="744"/>
      <c r="M140" s="751"/>
      <c r="N140" s="765">
        <v>0</v>
      </c>
      <c r="O140" s="744"/>
      <c r="P140" s="751"/>
      <c r="Q140" s="765">
        <v>0</v>
      </c>
      <c r="R140" s="744"/>
      <c r="S140" s="751"/>
      <c r="T140" s="765">
        <v>0</v>
      </c>
      <c r="U140" s="744"/>
      <c r="V140" s="751"/>
      <c r="W140" s="765">
        <v>0</v>
      </c>
      <c r="X140" s="744"/>
      <c r="Y140" s="751"/>
      <c r="Z140" s="765">
        <v>0</v>
      </c>
      <c r="AA140" s="744"/>
      <c r="AB140" s="751"/>
      <c r="AC140" s="765">
        <v>0</v>
      </c>
      <c r="AD140" s="744"/>
      <c r="AE140" s="751"/>
      <c r="AF140" s="765">
        <v>0</v>
      </c>
      <c r="AG140" s="744"/>
      <c r="AH140" s="751"/>
      <c r="AI140" s="765">
        <v>0</v>
      </c>
      <c r="AJ140" s="744"/>
      <c r="AK140" s="751"/>
      <c r="AL140" s="765">
        <v>0</v>
      </c>
      <c r="AM140" s="744"/>
      <c r="AN140" s="751"/>
      <c r="AO140" s="1240">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72"/>
      <c r="D141" s="773"/>
      <c r="E141" s="775">
        <v>24987.359999999997</v>
      </c>
      <c r="F141" s="772"/>
      <c r="G141" s="773"/>
      <c r="H141" s="775">
        <v>4220.58</v>
      </c>
      <c r="I141" s="772"/>
      <c r="J141" s="773"/>
      <c r="K141" s="775">
        <v>2944.73</v>
      </c>
      <c r="L141" s="772"/>
      <c r="M141" s="773"/>
      <c r="N141" s="775">
        <v>1624.37</v>
      </c>
      <c r="O141" s="772"/>
      <c r="P141" s="773"/>
      <c r="Q141" s="775">
        <v>1451.24</v>
      </c>
      <c r="R141" s="772"/>
      <c r="S141" s="773"/>
      <c r="T141" s="775">
        <v>1826.88</v>
      </c>
      <c r="U141" s="772"/>
      <c r="V141" s="773"/>
      <c r="W141" s="775">
        <v>1267.2</v>
      </c>
      <c r="X141" s="772"/>
      <c r="Y141" s="773"/>
      <c r="Z141" s="775">
        <v>1424.94</v>
      </c>
      <c r="AA141" s="772"/>
      <c r="AB141" s="773"/>
      <c r="AC141" s="775">
        <v>3713.41</v>
      </c>
      <c r="AD141" s="772"/>
      <c r="AE141" s="773"/>
      <c r="AF141" s="775">
        <v>1509.94</v>
      </c>
      <c r="AG141" s="772"/>
      <c r="AH141" s="773"/>
      <c r="AI141" s="775">
        <v>1820.43</v>
      </c>
      <c r="AJ141" s="772"/>
      <c r="AK141" s="773"/>
      <c r="AL141" s="775">
        <v>1509.94</v>
      </c>
      <c r="AM141" s="772"/>
      <c r="AN141" s="773"/>
      <c r="AO141" s="1244">
        <v>1673.7</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4"/>
      <c r="D142" s="751"/>
      <c r="E142" s="765">
        <v>46060.800000000003</v>
      </c>
      <c r="F142" s="744"/>
      <c r="G142" s="751"/>
      <c r="H142" s="765">
        <v>3170.37</v>
      </c>
      <c r="I142" s="744"/>
      <c r="J142" s="751"/>
      <c r="K142" s="765">
        <v>2511.36</v>
      </c>
      <c r="L142" s="744"/>
      <c r="M142" s="751"/>
      <c r="N142" s="765">
        <v>3638.89</v>
      </c>
      <c r="O142" s="744"/>
      <c r="P142" s="751"/>
      <c r="Q142" s="765">
        <v>4372.5200000000004</v>
      </c>
      <c r="R142" s="744"/>
      <c r="S142" s="751"/>
      <c r="T142" s="765">
        <v>3875.95</v>
      </c>
      <c r="U142" s="744"/>
      <c r="V142" s="751"/>
      <c r="W142" s="765">
        <v>2298.7399999999998</v>
      </c>
      <c r="X142" s="744"/>
      <c r="Y142" s="751"/>
      <c r="Z142" s="765">
        <v>4055.32</v>
      </c>
      <c r="AA142" s="744"/>
      <c r="AB142" s="751"/>
      <c r="AC142" s="765">
        <v>2511.3200000000002</v>
      </c>
      <c r="AD142" s="744"/>
      <c r="AE142" s="751"/>
      <c r="AF142" s="765">
        <v>6179.12</v>
      </c>
      <c r="AG142" s="744"/>
      <c r="AH142" s="751"/>
      <c r="AI142" s="765">
        <v>4084.13</v>
      </c>
      <c r="AJ142" s="744"/>
      <c r="AK142" s="751"/>
      <c r="AL142" s="765">
        <v>3583.11</v>
      </c>
      <c r="AM142" s="744"/>
      <c r="AN142" s="751"/>
      <c r="AO142" s="1240">
        <v>5779.97</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4"/>
      <c r="D143" s="751"/>
      <c r="E143" s="765">
        <v>7668.03</v>
      </c>
      <c r="F143" s="744"/>
      <c r="G143" s="751"/>
      <c r="H143" s="765">
        <v>568.97</v>
      </c>
      <c r="I143" s="744"/>
      <c r="J143" s="751"/>
      <c r="K143" s="765">
        <v>520.13</v>
      </c>
      <c r="L143" s="744"/>
      <c r="M143" s="751"/>
      <c r="N143" s="765">
        <v>427.26</v>
      </c>
      <c r="O143" s="744"/>
      <c r="P143" s="751"/>
      <c r="Q143" s="765">
        <v>626.44000000000005</v>
      </c>
      <c r="R143" s="744"/>
      <c r="S143" s="751"/>
      <c r="T143" s="765">
        <v>481.14</v>
      </c>
      <c r="U143" s="744"/>
      <c r="V143" s="751"/>
      <c r="W143" s="765">
        <v>747.43</v>
      </c>
      <c r="X143" s="744"/>
      <c r="Y143" s="751"/>
      <c r="Z143" s="765">
        <v>307.99</v>
      </c>
      <c r="AA143" s="744"/>
      <c r="AB143" s="751"/>
      <c r="AC143" s="765">
        <v>368.72</v>
      </c>
      <c r="AD143" s="744"/>
      <c r="AE143" s="751"/>
      <c r="AF143" s="765">
        <v>1355.33</v>
      </c>
      <c r="AG143" s="744"/>
      <c r="AH143" s="751"/>
      <c r="AI143" s="765">
        <v>1023.43</v>
      </c>
      <c r="AJ143" s="744"/>
      <c r="AK143" s="751"/>
      <c r="AL143" s="765">
        <v>676.61</v>
      </c>
      <c r="AM143" s="744"/>
      <c r="AN143" s="751"/>
      <c r="AO143" s="1240">
        <v>564.58000000000004</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72"/>
      <c r="D144" s="773"/>
      <c r="E144" s="775">
        <v>28850.18</v>
      </c>
      <c r="F144" s="772"/>
      <c r="G144" s="773"/>
      <c r="H144" s="775">
        <v>3378.54</v>
      </c>
      <c r="I144" s="772"/>
      <c r="J144" s="773"/>
      <c r="K144" s="775">
        <v>2466.6999999999998</v>
      </c>
      <c r="L144" s="772"/>
      <c r="M144" s="773"/>
      <c r="N144" s="775">
        <v>3463.94</v>
      </c>
      <c r="O144" s="772"/>
      <c r="P144" s="773"/>
      <c r="Q144" s="775">
        <v>5540.76</v>
      </c>
      <c r="R144" s="772"/>
      <c r="S144" s="773"/>
      <c r="T144" s="775">
        <v>2496.9699999999998</v>
      </c>
      <c r="U144" s="772"/>
      <c r="V144" s="773"/>
      <c r="W144" s="775">
        <v>1892.11</v>
      </c>
      <c r="X144" s="772"/>
      <c r="Y144" s="773"/>
      <c r="Z144" s="775">
        <v>2003.58</v>
      </c>
      <c r="AA144" s="772"/>
      <c r="AB144" s="773"/>
      <c r="AC144" s="775">
        <v>2495.13</v>
      </c>
      <c r="AD144" s="772"/>
      <c r="AE144" s="773"/>
      <c r="AF144" s="775">
        <v>1941.11</v>
      </c>
      <c r="AG144" s="772"/>
      <c r="AH144" s="773"/>
      <c r="AI144" s="775">
        <v>2971.04</v>
      </c>
      <c r="AJ144" s="772"/>
      <c r="AK144" s="773"/>
      <c r="AL144" s="775">
        <v>1969.12</v>
      </c>
      <c r="AM144" s="772"/>
      <c r="AN144" s="773"/>
      <c r="AO144" s="1244">
        <v>-1768.82</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4"/>
      <c r="D145" s="751"/>
      <c r="E145" s="765">
        <v>434.82</v>
      </c>
      <c r="F145" s="744"/>
      <c r="G145" s="751"/>
      <c r="H145" s="765">
        <v>0</v>
      </c>
      <c r="I145" s="744"/>
      <c r="J145" s="751"/>
      <c r="K145" s="765">
        <v>165.98</v>
      </c>
      <c r="L145" s="744"/>
      <c r="M145" s="751"/>
      <c r="N145" s="765">
        <v>140.41</v>
      </c>
      <c r="O145" s="744"/>
      <c r="P145" s="751"/>
      <c r="Q145" s="765">
        <v>0</v>
      </c>
      <c r="R145" s="744"/>
      <c r="S145" s="751"/>
      <c r="T145" s="765">
        <v>0</v>
      </c>
      <c r="U145" s="744"/>
      <c r="V145" s="751"/>
      <c r="W145" s="765">
        <v>0</v>
      </c>
      <c r="X145" s="744"/>
      <c r="Y145" s="751"/>
      <c r="Z145" s="765">
        <v>0</v>
      </c>
      <c r="AA145" s="744"/>
      <c r="AB145" s="751"/>
      <c r="AC145" s="765">
        <v>118.81</v>
      </c>
      <c r="AD145" s="744"/>
      <c r="AE145" s="751"/>
      <c r="AF145" s="765">
        <v>9.6199999999999992</v>
      </c>
      <c r="AG145" s="744"/>
      <c r="AH145" s="751"/>
      <c r="AI145" s="765">
        <v>0</v>
      </c>
      <c r="AJ145" s="744"/>
      <c r="AK145" s="751"/>
      <c r="AL145" s="765">
        <v>0</v>
      </c>
      <c r="AM145" s="744"/>
      <c r="AN145" s="751"/>
      <c r="AO145" s="1240">
        <v>0</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4"/>
      <c r="D146" s="751"/>
      <c r="E146" s="765">
        <v>0</v>
      </c>
      <c r="F146" s="744"/>
      <c r="G146" s="751"/>
      <c r="H146" s="765">
        <v>0</v>
      </c>
      <c r="I146" s="744"/>
      <c r="J146" s="751"/>
      <c r="K146" s="765">
        <v>0</v>
      </c>
      <c r="L146" s="744"/>
      <c r="M146" s="751"/>
      <c r="N146" s="765">
        <v>0</v>
      </c>
      <c r="O146" s="744"/>
      <c r="P146" s="751"/>
      <c r="Q146" s="765">
        <v>0</v>
      </c>
      <c r="R146" s="744"/>
      <c r="S146" s="751"/>
      <c r="T146" s="765">
        <v>0</v>
      </c>
      <c r="U146" s="744"/>
      <c r="V146" s="751"/>
      <c r="W146" s="765">
        <v>0</v>
      </c>
      <c r="X146" s="744"/>
      <c r="Y146" s="751"/>
      <c r="Z146" s="765">
        <v>0</v>
      </c>
      <c r="AA146" s="744"/>
      <c r="AB146" s="751"/>
      <c r="AC146" s="765">
        <v>0</v>
      </c>
      <c r="AD146" s="744"/>
      <c r="AE146" s="751"/>
      <c r="AF146" s="765">
        <v>0</v>
      </c>
      <c r="AG146" s="744"/>
      <c r="AH146" s="751"/>
      <c r="AI146" s="765">
        <v>0</v>
      </c>
      <c r="AJ146" s="744"/>
      <c r="AK146" s="751"/>
      <c r="AL146" s="765">
        <v>0</v>
      </c>
      <c r="AM146" s="744"/>
      <c r="AN146" s="751"/>
      <c r="AO146" s="1240">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4"/>
      <c r="D147" s="751"/>
      <c r="E147" s="765">
        <v>3322.31</v>
      </c>
      <c r="F147" s="744"/>
      <c r="G147" s="751"/>
      <c r="H147" s="765">
        <v>60.66</v>
      </c>
      <c r="I147" s="744"/>
      <c r="J147" s="751"/>
      <c r="K147" s="765">
        <v>390.74</v>
      </c>
      <c r="L147" s="744"/>
      <c r="M147" s="751"/>
      <c r="N147" s="765">
        <v>203.63</v>
      </c>
      <c r="O147" s="744"/>
      <c r="P147" s="751"/>
      <c r="Q147" s="765">
        <v>21.8</v>
      </c>
      <c r="R147" s="744"/>
      <c r="S147" s="751"/>
      <c r="T147" s="765">
        <v>392.75</v>
      </c>
      <c r="U147" s="744"/>
      <c r="V147" s="751"/>
      <c r="W147" s="765">
        <v>902.6</v>
      </c>
      <c r="X147" s="744"/>
      <c r="Y147" s="751"/>
      <c r="Z147" s="765">
        <v>81.94</v>
      </c>
      <c r="AA147" s="744"/>
      <c r="AB147" s="751"/>
      <c r="AC147" s="765">
        <v>295.08999999999997</v>
      </c>
      <c r="AD147" s="744"/>
      <c r="AE147" s="751"/>
      <c r="AF147" s="765">
        <v>112.33</v>
      </c>
      <c r="AG147" s="744"/>
      <c r="AH147" s="751"/>
      <c r="AI147" s="765">
        <v>22.11</v>
      </c>
      <c r="AJ147" s="744"/>
      <c r="AK147" s="751"/>
      <c r="AL147" s="765">
        <v>739.62</v>
      </c>
      <c r="AM147" s="744"/>
      <c r="AN147" s="751"/>
      <c r="AO147" s="1240">
        <v>99.04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4"/>
      <c r="D148" s="751"/>
      <c r="E148" s="765">
        <v>1027.9000000000001</v>
      </c>
      <c r="F148" s="744"/>
      <c r="G148" s="751"/>
      <c r="H148" s="765">
        <v>108.67</v>
      </c>
      <c r="I148" s="744"/>
      <c r="J148" s="751"/>
      <c r="K148" s="765">
        <v>94.99</v>
      </c>
      <c r="L148" s="744"/>
      <c r="M148" s="751"/>
      <c r="N148" s="765">
        <v>78.91</v>
      </c>
      <c r="O148" s="744"/>
      <c r="P148" s="751"/>
      <c r="Q148" s="765">
        <v>82.36</v>
      </c>
      <c r="R148" s="744"/>
      <c r="S148" s="751"/>
      <c r="T148" s="765">
        <v>70.14</v>
      </c>
      <c r="U148" s="744"/>
      <c r="V148" s="751"/>
      <c r="W148" s="765">
        <v>66.989999999999995</v>
      </c>
      <c r="X148" s="744"/>
      <c r="Y148" s="751"/>
      <c r="Z148" s="765">
        <v>66.8</v>
      </c>
      <c r="AA148" s="744"/>
      <c r="AB148" s="751"/>
      <c r="AC148" s="765">
        <v>107.71</v>
      </c>
      <c r="AD148" s="744"/>
      <c r="AE148" s="751"/>
      <c r="AF148" s="765">
        <v>82.14</v>
      </c>
      <c r="AG148" s="744"/>
      <c r="AH148" s="751"/>
      <c r="AI148" s="765">
        <v>93.69</v>
      </c>
      <c r="AJ148" s="744"/>
      <c r="AK148" s="751"/>
      <c r="AL148" s="765">
        <v>93.5</v>
      </c>
      <c r="AM148" s="744"/>
      <c r="AN148" s="751"/>
      <c r="AO148" s="1240">
        <v>82</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4"/>
      <c r="D149" s="751"/>
      <c r="E149" s="765">
        <v>1159.54</v>
      </c>
      <c r="F149" s="744"/>
      <c r="G149" s="751"/>
      <c r="H149" s="765">
        <v>289.95999999999998</v>
      </c>
      <c r="I149" s="744"/>
      <c r="J149" s="751"/>
      <c r="K149" s="765">
        <v>167.97</v>
      </c>
      <c r="L149" s="744"/>
      <c r="M149" s="751"/>
      <c r="N149" s="765">
        <v>179.49</v>
      </c>
      <c r="O149" s="744"/>
      <c r="P149" s="751"/>
      <c r="Q149" s="765">
        <v>49.22</v>
      </c>
      <c r="R149" s="744"/>
      <c r="S149" s="751"/>
      <c r="T149" s="765">
        <v>79.180000000000007</v>
      </c>
      <c r="U149" s="744"/>
      <c r="V149" s="751"/>
      <c r="W149" s="765">
        <v>114.98</v>
      </c>
      <c r="X149" s="744"/>
      <c r="Y149" s="751"/>
      <c r="Z149" s="765">
        <v>20.48</v>
      </c>
      <c r="AA149" s="744"/>
      <c r="AB149" s="751"/>
      <c r="AC149" s="765">
        <v>76.55</v>
      </c>
      <c r="AD149" s="744"/>
      <c r="AE149" s="751"/>
      <c r="AF149" s="765">
        <v>29.32</v>
      </c>
      <c r="AG149" s="744"/>
      <c r="AH149" s="751"/>
      <c r="AI149" s="765">
        <v>32.72</v>
      </c>
      <c r="AJ149" s="744"/>
      <c r="AK149" s="751"/>
      <c r="AL149" s="765">
        <v>43.76</v>
      </c>
      <c r="AM149" s="744"/>
      <c r="AN149" s="751"/>
      <c r="AO149" s="1240">
        <v>75.91</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4"/>
      <c r="D150" s="751"/>
      <c r="E150" s="765">
        <v>748.55</v>
      </c>
      <c r="F150" s="744"/>
      <c r="G150" s="751"/>
      <c r="H150" s="765">
        <v>33.53</v>
      </c>
      <c r="I150" s="744"/>
      <c r="J150" s="751"/>
      <c r="K150" s="765">
        <v>26.7</v>
      </c>
      <c r="L150" s="744"/>
      <c r="M150" s="751"/>
      <c r="N150" s="765">
        <v>26.7</v>
      </c>
      <c r="O150" s="744"/>
      <c r="P150" s="751"/>
      <c r="Q150" s="765">
        <v>45.41</v>
      </c>
      <c r="R150" s="744"/>
      <c r="S150" s="751"/>
      <c r="T150" s="765">
        <v>41.88</v>
      </c>
      <c r="U150" s="744"/>
      <c r="V150" s="751"/>
      <c r="W150" s="765">
        <v>23.52</v>
      </c>
      <c r="X150" s="744"/>
      <c r="Y150" s="751"/>
      <c r="Z150" s="765">
        <v>23.52</v>
      </c>
      <c r="AA150" s="744"/>
      <c r="AB150" s="751"/>
      <c r="AC150" s="765">
        <v>23.52</v>
      </c>
      <c r="AD150" s="744"/>
      <c r="AE150" s="751"/>
      <c r="AF150" s="765">
        <v>50.52</v>
      </c>
      <c r="AG150" s="744"/>
      <c r="AH150" s="751"/>
      <c r="AI150" s="765">
        <v>23.52</v>
      </c>
      <c r="AJ150" s="744"/>
      <c r="AK150" s="751"/>
      <c r="AL150" s="765">
        <v>153.88999999999999</v>
      </c>
      <c r="AM150" s="744"/>
      <c r="AN150" s="751"/>
      <c r="AO150" s="1240">
        <v>275.83999999999997</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4"/>
      <c r="D151" s="751"/>
      <c r="E151" s="765">
        <v>4829.5999999999995</v>
      </c>
      <c r="F151" s="744"/>
      <c r="G151" s="751"/>
      <c r="H151" s="765">
        <v>38.28</v>
      </c>
      <c r="I151" s="744"/>
      <c r="J151" s="751"/>
      <c r="K151" s="765">
        <v>240.65</v>
      </c>
      <c r="L151" s="744"/>
      <c r="M151" s="751"/>
      <c r="N151" s="765">
        <v>254.99</v>
      </c>
      <c r="O151" s="744"/>
      <c r="P151" s="751"/>
      <c r="Q151" s="765">
        <v>1550.28</v>
      </c>
      <c r="R151" s="744"/>
      <c r="S151" s="751"/>
      <c r="T151" s="765">
        <v>-16.37</v>
      </c>
      <c r="U151" s="744"/>
      <c r="V151" s="751"/>
      <c r="W151" s="765">
        <v>438.28</v>
      </c>
      <c r="X151" s="744"/>
      <c r="Y151" s="751"/>
      <c r="Z151" s="765">
        <v>1426.22</v>
      </c>
      <c r="AA151" s="744"/>
      <c r="AB151" s="751"/>
      <c r="AC151" s="765">
        <v>157.62</v>
      </c>
      <c r="AD151" s="744"/>
      <c r="AE151" s="751"/>
      <c r="AF151" s="765">
        <v>256.98</v>
      </c>
      <c r="AG151" s="744"/>
      <c r="AH151" s="751"/>
      <c r="AI151" s="765">
        <v>229.23</v>
      </c>
      <c r="AJ151" s="744"/>
      <c r="AK151" s="751"/>
      <c r="AL151" s="765">
        <v>215.16</v>
      </c>
      <c r="AM151" s="744"/>
      <c r="AN151" s="751"/>
      <c r="AO151" s="1240">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4"/>
      <c r="D152" s="751"/>
      <c r="E152" s="765">
        <v>10741.14</v>
      </c>
      <c r="F152" s="744"/>
      <c r="G152" s="751"/>
      <c r="H152" s="765">
        <v>622.85</v>
      </c>
      <c r="I152" s="744"/>
      <c r="J152" s="751"/>
      <c r="K152" s="765">
        <v>481.19</v>
      </c>
      <c r="L152" s="744"/>
      <c r="M152" s="751"/>
      <c r="N152" s="765">
        <v>871.03</v>
      </c>
      <c r="O152" s="744"/>
      <c r="P152" s="751"/>
      <c r="Q152" s="765">
        <v>1024.1300000000001</v>
      </c>
      <c r="R152" s="744"/>
      <c r="S152" s="751"/>
      <c r="T152" s="765">
        <v>1013.26</v>
      </c>
      <c r="U152" s="744"/>
      <c r="V152" s="751"/>
      <c r="W152" s="765">
        <v>795.62</v>
      </c>
      <c r="X152" s="744"/>
      <c r="Y152" s="751"/>
      <c r="Z152" s="765">
        <v>867.2</v>
      </c>
      <c r="AA152" s="744"/>
      <c r="AB152" s="751"/>
      <c r="AC152" s="765">
        <v>842.24</v>
      </c>
      <c r="AD152" s="744"/>
      <c r="AE152" s="751"/>
      <c r="AF152" s="765">
        <v>892.55</v>
      </c>
      <c r="AG152" s="744"/>
      <c r="AH152" s="751"/>
      <c r="AI152" s="765">
        <v>1032.32</v>
      </c>
      <c r="AJ152" s="744"/>
      <c r="AK152" s="751"/>
      <c r="AL152" s="765">
        <v>1412.89</v>
      </c>
      <c r="AM152" s="744"/>
      <c r="AN152" s="751"/>
      <c r="AO152" s="1240">
        <v>885.86</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4"/>
      <c r="D153" s="751"/>
      <c r="E153" s="752"/>
      <c r="F153" s="744"/>
      <c r="G153" s="751"/>
      <c r="H153" s="752"/>
      <c r="I153" s="744"/>
      <c r="J153" s="751"/>
      <c r="K153" s="752"/>
      <c r="L153" s="744"/>
      <c r="M153" s="751"/>
      <c r="N153" s="752"/>
      <c r="O153" s="744"/>
      <c r="P153" s="751"/>
      <c r="Q153" s="752"/>
      <c r="R153" s="744"/>
      <c r="S153" s="751"/>
      <c r="T153" s="752"/>
      <c r="U153" s="744"/>
      <c r="V153" s="751"/>
      <c r="W153" s="752"/>
      <c r="X153" s="744"/>
      <c r="Y153" s="751"/>
      <c r="Z153" s="752"/>
      <c r="AA153" s="744"/>
      <c r="AB153" s="751"/>
      <c r="AC153" s="752"/>
      <c r="AD153" s="744"/>
      <c r="AE153" s="751"/>
      <c r="AF153" s="752"/>
      <c r="AG153" s="744"/>
      <c r="AH153" s="751"/>
      <c r="AI153" s="752"/>
      <c r="AJ153" s="744"/>
      <c r="AK153" s="751"/>
      <c r="AL153" s="752"/>
      <c r="AM153" s="744"/>
      <c r="AN153" s="751"/>
      <c r="AO153" s="752"/>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4"/>
      <c r="D154" s="751"/>
      <c r="E154" s="752"/>
      <c r="F154" s="744"/>
      <c r="G154" s="751"/>
      <c r="H154" s="752"/>
      <c r="I154" s="744"/>
      <c r="J154" s="751"/>
      <c r="K154" s="752"/>
      <c r="L154" s="744"/>
      <c r="M154" s="751"/>
      <c r="N154" s="752"/>
      <c r="O154" s="744"/>
      <c r="P154" s="751"/>
      <c r="Q154" s="752"/>
      <c r="R154" s="744"/>
      <c r="S154" s="751"/>
      <c r="T154" s="752"/>
      <c r="U154" s="744"/>
      <c r="V154" s="751"/>
      <c r="W154" s="752"/>
      <c r="X154" s="744"/>
      <c r="Y154" s="751"/>
      <c r="Z154" s="752"/>
      <c r="AA154" s="744"/>
      <c r="AB154" s="751"/>
      <c r="AC154" s="752"/>
      <c r="AD154" s="744"/>
      <c r="AE154" s="751"/>
      <c r="AF154" s="752"/>
      <c r="AG154" s="744"/>
      <c r="AH154" s="751"/>
      <c r="AI154" s="752"/>
      <c r="AJ154" s="744"/>
      <c r="AK154" s="751"/>
      <c r="AL154" s="752"/>
      <c r="AM154" s="744"/>
      <c r="AN154" s="751"/>
      <c r="AO154" s="752"/>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0"/>
      <c r="D155" s="771"/>
      <c r="E155" s="752"/>
      <c r="F155" s="770"/>
      <c r="G155" s="771"/>
      <c r="H155" s="752"/>
      <c r="I155" s="770"/>
      <c r="J155" s="771"/>
      <c r="K155" s="752"/>
      <c r="L155" s="770"/>
      <c r="M155" s="771"/>
      <c r="N155" s="752"/>
      <c r="O155" s="770"/>
      <c r="P155" s="771"/>
      <c r="Q155" s="752"/>
      <c r="R155" s="770"/>
      <c r="S155" s="771"/>
      <c r="T155" s="752"/>
      <c r="U155" s="770"/>
      <c r="V155" s="771"/>
      <c r="W155" s="752"/>
      <c r="X155" s="770"/>
      <c r="Y155" s="771"/>
      <c r="Z155" s="752"/>
      <c r="AA155" s="770"/>
      <c r="AB155" s="771"/>
      <c r="AC155" s="752"/>
      <c r="AD155" s="770"/>
      <c r="AE155" s="771"/>
      <c r="AF155" s="752"/>
      <c r="AG155" s="770"/>
      <c r="AH155" s="771"/>
      <c r="AI155" s="752"/>
      <c r="AJ155" s="770"/>
      <c r="AK155" s="771"/>
      <c r="AL155" s="752"/>
      <c r="AM155" s="770"/>
      <c r="AN155" s="771"/>
      <c r="AO155" s="752"/>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1155" t="s">
        <v>119</v>
      </c>
      <c r="D156" s="1156">
        <v>0.10156880378900805</v>
      </c>
      <c r="E156" s="1157">
        <v>129830.23</v>
      </c>
      <c r="F156" s="1155"/>
      <c r="G156" s="1156"/>
      <c r="H156" s="1157">
        <v>12492.41</v>
      </c>
      <c r="I156" s="1155"/>
      <c r="J156" s="1156"/>
      <c r="K156" s="1157">
        <v>10011.14</v>
      </c>
      <c r="L156" s="1155"/>
      <c r="M156" s="1156"/>
      <c r="N156" s="1157">
        <v>10909.62</v>
      </c>
      <c r="O156" s="1155"/>
      <c r="P156" s="1156"/>
      <c r="Q156" s="1157">
        <v>14764.16</v>
      </c>
      <c r="R156" s="1155"/>
      <c r="S156" s="1156"/>
      <c r="T156" s="1157">
        <v>10261.779999999901</v>
      </c>
      <c r="U156" s="1155"/>
      <c r="V156" s="1156"/>
      <c r="W156" s="1242">
        <v>8547.4699999999993</v>
      </c>
      <c r="X156" s="1155"/>
      <c r="Y156" s="1156"/>
      <c r="Z156" s="1242">
        <v>10277.99</v>
      </c>
      <c r="AA156" s="1155"/>
      <c r="AB156" s="1156"/>
      <c r="AC156" s="1242">
        <v>10710.119999999901</v>
      </c>
      <c r="AD156" s="1155"/>
      <c r="AE156" s="1156"/>
      <c r="AF156" s="1242">
        <v>12418.96</v>
      </c>
      <c r="AG156" s="1155"/>
      <c r="AH156" s="1156"/>
      <c r="AI156" s="1157">
        <v>11332.62</v>
      </c>
      <c r="AJ156" s="1155"/>
      <c r="AK156" s="1156"/>
      <c r="AL156" s="1157">
        <v>10397.5999999999</v>
      </c>
      <c r="AM156" s="1155"/>
      <c r="AN156" s="1156"/>
      <c r="AO156" s="1157">
        <v>7706.36</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0"/>
      <c r="D157" s="771"/>
      <c r="E157" s="768"/>
      <c r="F157" s="770" t="s">
        <v>119</v>
      </c>
      <c r="G157" s="771">
        <v>0</v>
      </c>
      <c r="H157" s="768"/>
      <c r="I157" s="770" t="s">
        <v>119</v>
      </c>
      <c r="J157" s="771">
        <v>0</v>
      </c>
      <c r="K157" s="768"/>
      <c r="L157" s="770" t="s">
        <v>119</v>
      </c>
      <c r="M157" s="771">
        <v>0</v>
      </c>
      <c r="N157" s="768"/>
      <c r="O157" s="770" t="s">
        <v>119</v>
      </c>
      <c r="P157" s="771">
        <v>0</v>
      </c>
      <c r="Q157" s="768"/>
      <c r="R157" s="770" t="s">
        <v>119</v>
      </c>
      <c r="S157" s="771">
        <v>0</v>
      </c>
      <c r="T157" s="768"/>
      <c r="U157" s="770" t="s">
        <v>119</v>
      </c>
      <c r="V157" s="771">
        <v>0</v>
      </c>
      <c r="W157" s="768"/>
      <c r="X157" s="770" t="s">
        <v>119</v>
      </c>
      <c r="Y157" s="771">
        <v>0</v>
      </c>
      <c r="Z157" s="768"/>
      <c r="AA157" s="770" t="s">
        <v>119</v>
      </c>
      <c r="AB157" s="771">
        <v>0</v>
      </c>
      <c r="AC157" s="768"/>
      <c r="AD157" s="770" t="s">
        <v>119</v>
      </c>
      <c r="AE157" s="771">
        <v>0</v>
      </c>
      <c r="AF157" s="768"/>
      <c r="AG157" s="770" t="s">
        <v>119</v>
      </c>
      <c r="AH157" s="771">
        <v>0</v>
      </c>
      <c r="AI157" s="768"/>
      <c r="AJ157" s="770" t="s">
        <v>119</v>
      </c>
      <c r="AK157" s="771">
        <v>0</v>
      </c>
      <c r="AL157" s="768"/>
      <c r="AM157" s="770" t="s">
        <v>119</v>
      </c>
      <c r="AN157" s="771">
        <v>0</v>
      </c>
      <c r="AO157" s="768"/>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1155" t="s">
        <v>119</v>
      </c>
      <c r="D158" s="1156">
        <v>0.91134231052996384</v>
      </c>
      <c r="E158" s="1165">
        <v>1164922.47</v>
      </c>
      <c r="F158" s="1155"/>
      <c r="G158" s="1156"/>
      <c r="H158" s="1165">
        <v>104379.07</v>
      </c>
      <c r="I158" s="1155"/>
      <c r="J158" s="1156"/>
      <c r="K158" s="1165">
        <v>74683.429999999993</v>
      </c>
      <c r="L158" s="1155"/>
      <c r="M158" s="1156"/>
      <c r="N158" s="1165">
        <v>98752.629999999888</v>
      </c>
      <c r="O158" s="1155"/>
      <c r="P158" s="1156"/>
      <c r="Q158" s="1165">
        <v>102466.70000000001</v>
      </c>
      <c r="R158" s="1155"/>
      <c r="S158" s="1156"/>
      <c r="T158" s="1165">
        <v>109415.7399999998</v>
      </c>
      <c r="U158" s="1155"/>
      <c r="V158" s="1156"/>
      <c r="W158" s="1245">
        <v>103292.66</v>
      </c>
      <c r="X158" s="1155"/>
      <c r="Y158" s="1156"/>
      <c r="Z158" s="1245">
        <v>103056.83999999991</v>
      </c>
      <c r="AA158" s="1155"/>
      <c r="AB158" s="1156"/>
      <c r="AC158" s="1245">
        <v>99035.539999999921</v>
      </c>
      <c r="AD158" s="1155"/>
      <c r="AE158" s="1156"/>
      <c r="AF158" s="1245">
        <v>97436.219999999885</v>
      </c>
      <c r="AG158" s="1155"/>
      <c r="AH158" s="1156"/>
      <c r="AI158" s="1165">
        <v>97245.389999999898</v>
      </c>
      <c r="AJ158" s="1155"/>
      <c r="AK158" s="1156"/>
      <c r="AL158" s="1165">
        <v>96603.909999999902</v>
      </c>
      <c r="AM158" s="1155"/>
      <c r="AN158" s="1156"/>
      <c r="AO158" s="1165">
        <v>78554.34</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785"/>
      <c r="D159" s="795"/>
      <c r="E159" s="765">
        <v>0</v>
      </c>
      <c r="F159" s="785"/>
      <c r="G159" s="795"/>
      <c r="H159" s="765">
        <v>0</v>
      </c>
      <c r="I159" s="785"/>
      <c r="J159" s="795"/>
      <c r="K159" s="765">
        <v>0</v>
      </c>
      <c r="L159" s="785"/>
      <c r="M159" s="795"/>
      <c r="N159" s="765">
        <v>0</v>
      </c>
      <c r="O159" s="785"/>
      <c r="P159" s="795"/>
      <c r="Q159" s="765">
        <v>0</v>
      </c>
      <c r="R159" s="785"/>
      <c r="S159" s="795"/>
      <c r="T159" s="765">
        <v>0</v>
      </c>
      <c r="U159" s="785"/>
      <c r="V159" s="795"/>
      <c r="W159" s="765">
        <v>0</v>
      </c>
      <c r="X159" s="785"/>
      <c r="Y159" s="795"/>
      <c r="Z159" s="765">
        <v>0</v>
      </c>
      <c r="AA159" s="785"/>
      <c r="AB159" s="795"/>
      <c r="AC159" s="765">
        <v>0</v>
      </c>
      <c r="AD159" s="785"/>
      <c r="AE159" s="795"/>
      <c r="AF159" s="765">
        <v>0</v>
      </c>
      <c r="AG159" s="785"/>
      <c r="AH159" s="795"/>
      <c r="AI159" s="765">
        <v>0</v>
      </c>
      <c r="AJ159" s="785"/>
      <c r="AK159" s="795"/>
      <c r="AL159" s="765">
        <v>0</v>
      </c>
      <c r="AM159" s="785"/>
      <c r="AN159" s="795"/>
      <c r="AO159" s="765">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785"/>
      <c r="D160" s="795"/>
      <c r="E160" s="765">
        <v>0</v>
      </c>
      <c r="F160" s="785"/>
      <c r="G160" s="795"/>
      <c r="H160" s="765">
        <v>0</v>
      </c>
      <c r="I160" s="785"/>
      <c r="J160" s="795"/>
      <c r="K160" s="765">
        <v>0</v>
      </c>
      <c r="L160" s="785"/>
      <c r="M160" s="795"/>
      <c r="N160" s="765">
        <v>0</v>
      </c>
      <c r="O160" s="785"/>
      <c r="P160" s="795"/>
      <c r="Q160" s="765">
        <v>0</v>
      </c>
      <c r="R160" s="785"/>
      <c r="S160" s="795"/>
      <c r="T160" s="765">
        <v>0</v>
      </c>
      <c r="U160" s="785"/>
      <c r="V160" s="795"/>
      <c r="W160" s="765">
        <v>0</v>
      </c>
      <c r="X160" s="785"/>
      <c r="Y160" s="795"/>
      <c r="Z160" s="765">
        <v>0</v>
      </c>
      <c r="AA160" s="785"/>
      <c r="AB160" s="795"/>
      <c r="AC160" s="765">
        <v>0</v>
      </c>
      <c r="AD160" s="785"/>
      <c r="AE160" s="795"/>
      <c r="AF160" s="765">
        <v>0</v>
      </c>
      <c r="AG160" s="785"/>
      <c r="AH160" s="795"/>
      <c r="AI160" s="765">
        <v>0</v>
      </c>
      <c r="AJ160" s="785"/>
      <c r="AK160" s="795"/>
      <c r="AL160" s="765">
        <v>0</v>
      </c>
      <c r="AM160" s="785"/>
      <c r="AN160" s="795"/>
      <c r="AO160" s="765">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4"/>
      <c r="D161" s="751"/>
      <c r="E161" s="765">
        <v>0</v>
      </c>
      <c r="F161" s="744"/>
      <c r="G161" s="751"/>
      <c r="H161" s="765"/>
      <c r="I161" s="744"/>
      <c r="J161" s="751"/>
      <c r="K161" s="765"/>
      <c r="L161" s="744"/>
      <c r="M161" s="751"/>
      <c r="N161" s="765"/>
      <c r="O161" s="744"/>
      <c r="P161" s="751"/>
      <c r="Q161" s="765"/>
      <c r="R161" s="744"/>
      <c r="S161" s="751"/>
      <c r="T161" s="765"/>
      <c r="U161" s="744"/>
      <c r="V161" s="751"/>
      <c r="W161" s="765"/>
      <c r="X161" s="744"/>
      <c r="Y161" s="751"/>
      <c r="Z161" s="765"/>
      <c r="AA161" s="744"/>
      <c r="AB161" s="751"/>
      <c r="AC161" s="765"/>
      <c r="AD161" s="744"/>
      <c r="AE161" s="751"/>
      <c r="AF161" s="765"/>
      <c r="AG161" s="744"/>
      <c r="AH161" s="751"/>
      <c r="AI161" s="765"/>
      <c r="AJ161" s="744"/>
      <c r="AK161" s="751"/>
      <c r="AL161" s="765"/>
      <c r="AM161" s="744"/>
      <c r="AN161" s="751"/>
      <c r="AO161" s="765"/>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4"/>
      <c r="D162" s="751"/>
      <c r="E162" s="765"/>
      <c r="F162" s="744"/>
      <c r="G162" s="751"/>
      <c r="H162" s="765"/>
      <c r="I162" s="744"/>
      <c r="J162" s="751"/>
      <c r="K162" s="765"/>
      <c r="L162" s="744"/>
      <c r="M162" s="751"/>
      <c r="N162" s="765"/>
      <c r="O162" s="744"/>
      <c r="P162" s="751"/>
      <c r="Q162" s="765"/>
      <c r="R162" s="744"/>
      <c r="S162" s="751"/>
      <c r="T162" s="765"/>
      <c r="U162" s="744"/>
      <c r="V162" s="751"/>
      <c r="W162" s="765"/>
      <c r="X162" s="744"/>
      <c r="Y162" s="751"/>
      <c r="Z162" s="765"/>
      <c r="AA162" s="744"/>
      <c r="AB162" s="751"/>
      <c r="AC162" s="765"/>
      <c r="AD162" s="744"/>
      <c r="AE162" s="751"/>
      <c r="AF162" s="765"/>
      <c r="AG162" s="744"/>
      <c r="AH162" s="751"/>
      <c r="AI162" s="765"/>
      <c r="AJ162" s="744"/>
      <c r="AK162" s="751"/>
      <c r="AL162" s="765"/>
      <c r="AM162" s="744"/>
      <c r="AN162" s="751"/>
      <c r="AO162" s="765"/>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4"/>
      <c r="D163" s="751"/>
      <c r="E163" s="765"/>
      <c r="F163" s="744"/>
      <c r="G163" s="751"/>
      <c r="H163" s="765"/>
      <c r="I163" s="744"/>
      <c r="J163" s="751"/>
      <c r="K163" s="765"/>
      <c r="L163" s="744"/>
      <c r="M163" s="751"/>
      <c r="N163" s="765"/>
      <c r="O163" s="744"/>
      <c r="P163" s="751"/>
      <c r="Q163" s="765"/>
      <c r="R163" s="744"/>
      <c r="S163" s="751"/>
      <c r="T163" s="765"/>
      <c r="U163" s="744"/>
      <c r="V163" s="751"/>
      <c r="W163" s="765"/>
      <c r="X163" s="744"/>
      <c r="Y163" s="751"/>
      <c r="Z163" s="765"/>
      <c r="AA163" s="744"/>
      <c r="AB163" s="751"/>
      <c r="AC163" s="765"/>
      <c r="AD163" s="744"/>
      <c r="AE163" s="751"/>
      <c r="AF163" s="765"/>
      <c r="AG163" s="744"/>
      <c r="AH163" s="751"/>
      <c r="AI163" s="765"/>
      <c r="AJ163" s="744"/>
      <c r="AK163" s="751"/>
      <c r="AL163" s="765"/>
      <c r="AM163" s="744"/>
      <c r="AN163" s="751"/>
      <c r="AO163" s="765"/>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4"/>
      <c r="D164" s="751"/>
      <c r="E164" s="765"/>
      <c r="F164" s="744"/>
      <c r="G164" s="751"/>
      <c r="H164" s="765"/>
      <c r="I164" s="744"/>
      <c r="J164" s="751"/>
      <c r="K164" s="765"/>
      <c r="L164" s="744"/>
      <c r="M164" s="751"/>
      <c r="N164" s="765"/>
      <c r="O164" s="744"/>
      <c r="P164" s="751"/>
      <c r="Q164" s="765"/>
      <c r="R164" s="744"/>
      <c r="S164" s="751"/>
      <c r="T164" s="765"/>
      <c r="U164" s="744"/>
      <c r="V164" s="751"/>
      <c r="W164" s="765"/>
      <c r="X164" s="744"/>
      <c r="Y164" s="751"/>
      <c r="Z164" s="765"/>
      <c r="AA164" s="744"/>
      <c r="AB164" s="751"/>
      <c r="AC164" s="765"/>
      <c r="AD164" s="744"/>
      <c r="AE164" s="751"/>
      <c r="AF164" s="765"/>
      <c r="AG164" s="744"/>
      <c r="AH164" s="751"/>
      <c r="AI164" s="765"/>
      <c r="AJ164" s="744"/>
      <c r="AK164" s="751"/>
      <c r="AL164" s="765"/>
      <c r="AM164" s="744"/>
      <c r="AN164" s="751"/>
      <c r="AO164" s="765"/>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44"/>
      <c r="D165" s="751"/>
      <c r="E165" s="765">
        <v>142989</v>
      </c>
      <c r="F165" s="744"/>
      <c r="G165" s="751"/>
      <c r="H165" s="765">
        <v>11187</v>
      </c>
      <c r="I165" s="744"/>
      <c r="J165" s="751"/>
      <c r="K165" s="765">
        <v>8208</v>
      </c>
      <c r="L165" s="744"/>
      <c r="M165" s="751"/>
      <c r="N165" s="765">
        <v>14076</v>
      </c>
      <c r="O165" s="744"/>
      <c r="P165" s="751"/>
      <c r="Q165" s="765">
        <v>14505</v>
      </c>
      <c r="R165" s="744"/>
      <c r="S165" s="751"/>
      <c r="T165" s="765">
        <v>14061</v>
      </c>
      <c r="U165" s="744"/>
      <c r="V165" s="751"/>
      <c r="W165" s="765">
        <v>13986</v>
      </c>
      <c r="X165" s="744"/>
      <c r="Y165" s="751"/>
      <c r="Z165" s="765">
        <v>12504</v>
      </c>
      <c r="AA165" s="744"/>
      <c r="AB165" s="751"/>
      <c r="AC165" s="765">
        <v>13008</v>
      </c>
      <c r="AD165" s="744"/>
      <c r="AE165" s="751"/>
      <c r="AF165" s="765">
        <v>11052</v>
      </c>
      <c r="AG165" s="744"/>
      <c r="AH165" s="751"/>
      <c r="AI165" s="765">
        <v>7230</v>
      </c>
      <c r="AJ165" s="744"/>
      <c r="AK165" s="751"/>
      <c r="AL165" s="765">
        <v>12993</v>
      </c>
      <c r="AM165" s="744"/>
      <c r="AN165" s="751"/>
      <c r="AO165" s="765">
        <v>10179</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1176"/>
      <c r="D166" s="1177"/>
      <c r="E166" s="1165">
        <v>142989</v>
      </c>
      <c r="F166" s="1176"/>
      <c r="G166" s="1177"/>
      <c r="H166" s="1165">
        <v>11187</v>
      </c>
      <c r="I166" s="1176"/>
      <c r="J166" s="1177"/>
      <c r="K166" s="1165">
        <v>8208</v>
      </c>
      <c r="L166" s="1176"/>
      <c r="M166" s="1177"/>
      <c r="N166" s="1165">
        <v>14076</v>
      </c>
      <c r="O166" s="1176"/>
      <c r="P166" s="1177"/>
      <c r="Q166" s="1165">
        <v>14505</v>
      </c>
      <c r="R166" s="1176"/>
      <c r="S166" s="1177"/>
      <c r="T166" s="1165">
        <v>14061</v>
      </c>
      <c r="U166" s="1176"/>
      <c r="V166" s="1177"/>
      <c r="W166" s="1245">
        <v>13986</v>
      </c>
      <c r="X166" s="1176"/>
      <c r="Y166" s="1177"/>
      <c r="Z166" s="1245">
        <v>12504</v>
      </c>
      <c r="AA166" s="1176"/>
      <c r="AB166" s="1177"/>
      <c r="AC166" s="1245">
        <v>13008</v>
      </c>
      <c r="AD166" s="1176"/>
      <c r="AE166" s="1177"/>
      <c r="AF166" s="1245">
        <v>11052</v>
      </c>
      <c r="AG166" s="1176"/>
      <c r="AH166" s="1177"/>
      <c r="AI166" s="1165">
        <v>7230</v>
      </c>
      <c r="AJ166" s="1176"/>
      <c r="AK166" s="1177"/>
      <c r="AL166" s="1165">
        <v>12993</v>
      </c>
      <c r="AM166" s="1176"/>
      <c r="AN166" s="1177"/>
      <c r="AO166" s="1165">
        <v>10179</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4"/>
      <c r="D167" s="751"/>
      <c r="E167" s="752"/>
      <c r="F167" s="744"/>
      <c r="G167" s="751"/>
      <c r="H167" s="752"/>
      <c r="I167" s="744"/>
      <c r="J167" s="751"/>
      <c r="K167" s="752"/>
      <c r="L167" s="744"/>
      <c r="M167" s="751"/>
      <c r="N167" s="752"/>
      <c r="O167" s="744"/>
      <c r="P167" s="751"/>
      <c r="Q167" s="752"/>
      <c r="R167" s="744"/>
      <c r="S167" s="751"/>
      <c r="T167" s="752"/>
      <c r="U167" s="744"/>
      <c r="V167" s="751"/>
      <c r="W167" s="752"/>
      <c r="X167" s="744"/>
      <c r="Y167" s="751"/>
      <c r="Z167" s="752"/>
      <c r="AA167" s="744"/>
      <c r="AB167" s="751"/>
      <c r="AC167" s="752"/>
      <c r="AD167" s="744"/>
      <c r="AE167" s="751"/>
      <c r="AF167" s="752"/>
      <c r="AG167" s="744"/>
      <c r="AH167" s="751"/>
      <c r="AI167" s="752"/>
      <c r="AJ167" s="744"/>
      <c r="AK167" s="751"/>
      <c r="AL167" s="752"/>
      <c r="AM167" s="744"/>
      <c r="AN167" s="751"/>
      <c r="AO167" s="752"/>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1168"/>
      <c r="D168" s="1179"/>
      <c r="E168" s="1171">
        <v>256315.6099999994</v>
      </c>
      <c r="F168" s="1168"/>
      <c r="G168" s="1179"/>
      <c r="H168" s="1171">
        <v>-4723.5100000000239</v>
      </c>
      <c r="I168" s="1168"/>
      <c r="J168" s="1179"/>
      <c r="K168" s="1171">
        <v>-9236.2900000000809</v>
      </c>
      <c r="L168" s="1168"/>
      <c r="M168" s="1179"/>
      <c r="N168" s="1171">
        <v>23566.819999999905</v>
      </c>
      <c r="O168" s="1168"/>
      <c r="P168" s="1179"/>
      <c r="Q168" s="1171">
        <v>27225.83999999988</v>
      </c>
      <c r="R168" s="1168"/>
      <c r="S168" s="1179"/>
      <c r="T168" s="1171">
        <v>24170.030000000101</v>
      </c>
      <c r="U168" s="1168"/>
      <c r="V168" s="1179"/>
      <c r="W168" s="1248">
        <v>71886.769999999786</v>
      </c>
      <c r="X168" s="1168"/>
      <c r="Y168" s="1179"/>
      <c r="Z168" s="1248">
        <v>42713.969999999972</v>
      </c>
      <c r="AA168" s="1168"/>
      <c r="AB168" s="1179"/>
      <c r="AC168" s="1248">
        <v>19696.630000000063</v>
      </c>
      <c r="AD168" s="1168"/>
      <c r="AE168" s="1179"/>
      <c r="AF168" s="1248">
        <v>45751.290000000212</v>
      </c>
      <c r="AG168" s="1168"/>
      <c r="AH168" s="1179"/>
      <c r="AI168" s="1171">
        <v>-9089.7899999999499</v>
      </c>
      <c r="AJ168" s="1168"/>
      <c r="AK168" s="1179"/>
      <c r="AL168" s="1171">
        <v>9484.7700000001496</v>
      </c>
      <c r="AM168" s="1168"/>
      <c r="AN168" s="1179"/>
      <c r="AO168" s="1171">
        <v>14869.0799999999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783"/>
      <c r="D169" s="783"/>
      <c r="E169" s="796"/>
      <c r="F169" s="783"/>
      <c r="G169" s="783"/>
      <c r="H169" s="796"/>
      <c r="I169" s="783"/>
      <c r="J169" s="783"/>
      <c r="K169" s="796"/>
      <c r="L169" s="783"/>
      <c r="M169" s="783"/>
      <c r="N169" s="796"/>
      <c r="O169" s="783"/>
      <c r="P169" s="783"/>
      <c r="Q169" s="796"/>
      <c r="R169" s="783"/>
      <c r="S169" s="783"/>
      <c r="T169" s="796"/>
      <c r="U169" s="783"/>
      <c r="V169" s="783"/>
      <c r="W169" s="796"/>
      <c r="X169" s="783"/>
      <c r="Y169" s="783"/>
      <c r="Z169" s="796"/>
      <c r="AA169" s="783"/>
      <c r="AB169" s="783"/>
      <c r="AC169" s="796"/>
      <c r="AD169" s="783"/>
      <c r="AE169" s="783"/>
      <c r="AF169" s="796"/>
      <c r="AG169" s="783"/>
      <c r="AH169" s="783"/>
      <c r="AI169" s="796"/>
      <c r="AJ169" s="783"/>
      <c r="AK169" s="783"/>
      <c r="AL169" s="796"/>
      <c r="AM169" s="783"/>
      <c r="AN169" s="783"/>
      <c r="AO169" s="796"/>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783"/>
      <c r="D170" s="783"/>
      <c r="E170" s="783"/>
      <c r="F170" s="783"/>
      <c r="G170" s="783"/>
      <c r="H170" s="783"/>
      <c r="I170" s="783"/>
      <c r="J170" s="783"/>
      <c r="K170" s="783"/>
      <c r="L170" s="783"/>
      <c r="M170" s="783"/>
      <c r="N170" s="783"/>
      <c r="O170" s="783"/>
      <c r="P170" s="783"/>
      <c r="Q170" s="783"/>
      <c r="R170" s="783"/>
      <c r="S170" s="783"/>
      <c r="T170" s="783"/>
      <c r="U170" s="783"/>
      <c r="V170" s="783"/>
      <c r="W170" s="783"/>
      <c r="X170" s="783"/>
      <c r="Y170" s="783"/>
      <c r="Z170" s="783"/>
      <c r="AA170" s="783"/>
      <c r="AB170" s="783"/>
      <c r="AC170" s="783"/>
      <c r="AD170" s="783"/>
      <c r="AE170" s="783"/>
      <c r="AF170" s="783"/>
      <c r="AG170" s="783"/>
      <c r="AH170" s="783"/>
      <c r="AI170" s="783"/>
      <c r="AJ170" s="783"/>
      <c r="AK170" s="783"/>
      <c r="AL170" s="783"/>
      <c r="AM170" s="783"/>
      <c r="AN170" s="783"/>
      <c r="AO170" s="783"/>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3934</v>
      </c>
      <c r="C171" s="784" t="s">
        <v>161</v>
      </c>
      <c r="D171" s="784"/>
      <c r="E171" s="784"/>
      <c r="F171" s="784"/>
      <c r="G171" s="784"/>
      <c r="H171" s="784"/>
      <c r="I171" s="784"/>
      <c r="J171" s="784"/>
      <c r="K171" s="784"/>
      <c r="L171" s="784"/>
      <c r="M171" s="784"/>
      <c r="N171" s="784"/>
      <c r="O171" s="784"/>
      <c r="P171" s="784"/>
      <c r="Q171" s="784"/>
      <c r="R171" s="784"/>
      <c r="S171" s="784"/>
      <c r="T171" s="784"/>
      <c r="U171" s="784"/>
      <c r="V171" s="784"/>
      <c r="W171" s="784"/>
      <c r="X171" s="784"/>
      <c r="Y171" s="784"/>
      <c r="Z171" s="784"/>
      <c r="AA171" s="784"/>
      <c r="AB171" s="784"/>
      <c r="AC171" s="784"/>
      <c r="AD171" s="784"/>
      <c r="AE171" s="784"/>
      <c r="AF171" s="784"/>
      <c r="AG171" s="784"/>
      <c r="AH171" s="784"/>
      <c r="AI171" s="784"/>
      <c r="AJ171" s="784"/>
      <c r="AK171" s="784"/>
      <c r="AL171" s="784"/>
      <c r="AM171" s="784"/>
      <c r="AN171" s="784"/>
      <c r="AO171" s="784"/>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783"/>
      <c r="D172" s="783"/>
      <c r="E172" s="783"/>
      <c r="F172" s="783"/>
      <c r="G172" s="783"/>
      <c r="H172" s="783"/>
      <c r="I172" s="783"/>
      <c r="J172" s="783"/>
      <c r="K172" s="783"/>
      <c r="L172" s="783"/>
      <c r="M172" s="783"/>
      <c r="N172" s="783"/>
      <c r="O172" s="783"/>
      <c r="P172" s="783"/>
      <c r="Q172" s="783"/>
      <c r="R172" s="783"/>
      <c r="S172" s="783"/>
      <c r="T172" s="783"/>
      <c r="U172" s="783"/>
      <c r="V172" s="783"/>
      <c r="W172" s="783"/>
      <c r="X172" s="783"/>
      <c r="Y172" s="783"/>
      <c r="Z172" s="783"/>
      <c r="AA172" s="783"/>
      <c r="AB172" s="783"/>
      <c r="AC172" s="783"/>
      <c r="AD172" s="783"/>
      <c r="AE172" s="783"/>
      <c r="AF172" s="783"/>
      <c r="AG172" s="783"/>
      <c r="AH172" s="783"/>
      <c r="AI172" s="783"/>
      <c r="AJ172" s="783"/>
      <c r="AK172" s="783"/>
      <c r="AL172" s="783"/>
      <c r="AM172" s="783"/>
      <c r="AN172" s="783"/>
      <c r="AO172" s="783"/>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729">
        <v>2025</v>
      </c>
      <c r="D173" s="730"/>
      <c r="E173" s="73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785" t="s">
        <v>162</v>
      </c>
      <c r="D174" s="762" t="s">
        <v>163</v>
      </c>
      <c r="E174" s="786" t="s">
        <v>95</v>
      </c>
      <c r="F174" s="785" t="s">
        <v>162</v>
      </c>
      <c r="G174" s="762" t="s">
        <v>163</v>
      </c>
      <c r="H174" s="786" t="s">
        <v>95</v>
      </c>
      <c r="I174" s="785" t="s">
        <v>162</v>
      </c>
      <c r="J174" s="762" t="s">
        <v>163</v>
      </c>
      <c r="K174" s="786" t="s">
        <v>95</v>
      </c>
      <c r="L174" s="785" t="s">
        <v>162</v>
      </c>
      <c r="M174" s="762" t="s">
        <v>163</v>
      </c>
      <c r="N174" s="786" t="s">
        <v>95</v>
      </c>
      <c r="O174" s="785" t="s">
        <v>162</v>
      </c>
      <c r="P174" s="762" t="s">
        <v>163</v>
      </c>
      <c r="Q174" s="786" t="s">
        <v>95</v>
      </c>
      <c r="R174" s="785" t="s">
        <v>162</v>
      </c>
      <c r="S174" s="762" t="s">
        <v>163</v>
      </c>
      <c r="T174" s="786" t="s">
        <v>95</v>
      </c>
      <c r="U174" s="785" t="s">
        <v>162</v>
      </c>
      <c r="V174" s="762" t="s">
        <v>163</v>
      </c>
      <c r="W174" s="786" t="s">
        <v>95</v>
      </c>
      <c r="X174" s="785" t="s">
        <v>162</v>
      </c>
      <c r="Y174" s="762" t="s">
        <v>163</v>
      </c>
      <c r="Z174" s="786" t="s">
        <v>95</v>
      </c>
      <c r="AA174" s="785" t="s">
        <v>162</v>
      </c>
      <c r="AB174" s="762" t="s">
        <v>163</v>
      </c>
      <c r="AC174" s="786" t="s">
        <v>95</v>
      </c>
      <c r="AD174" s="785" t="s">
        <v>162</v>
      </c>
      <c r="AE174" s="762" t="s">
        <v>163</v>
      </c>
      <c r="AF174" s="786" t="s">
        <v>95</v>
      </c>
      <c r="AG174" s="785" t="s">
        <v>162</v>
      </c>
      <c r="AH174" s="762" t="s">
        <v>163</v>
      </c>
      <c r="AI174" s="786" t="s">
        <v>95</v>
      </c>
      <c r="AJ174" s="785" t="s">
        <v>162</v>
      </c>
      <c r="AK174" s="762" t="s">
        <v>163</v>
      </c>
      <c r="AL174" s="786" t="s">
        <v>95</v>
      </c>
      <c r="AM174" s="785" t="s">
        <v>162</v>
      </c>
      <c r="AN174" s="762" t="s">
        <v>163</v>
      </c>
      <c r="AO174" s="786"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798">
        <v>5769</v>
      </c>
      <c r="D175" s="799">
        <v>1883986.12</v>
      </c>
      <c r="E175" s="765">
        <v>1486043.9099999997</v>
      </c>
      <c r="F175" s="798">
        <v>255</v>
      </c>
      <c r="G175" s="799">
        <v>97545.76</v>
      </c>
      <c r="H175" s="765">
        <v>78443</v>
      </c>
      <c r="I175" s="798">
        <v>248</v>
      </c>
      <c r="J175" s="799">
        <v>93892</v>
      </c>
      <c r="K175" s="765">
        <v>74019.72</v>
      </c>
      <c r="L175" s="798">
        <v>340</v>
      </c>
      <c r="M175" s="799">
        <v>122570.44</v>
      </c>
      <c r="N175" s="765">
        <v>95803</v>
      </c>
      <c r="O175" s="798">
        <v>776</v>
      </c>
      <c r="P175" s="799">
        <v>218088.11</v>
      </c>
      <c r="Q175" s="765">
        <v>171401.35</v>
      </c>
      <c r="R175" s="798">
        <v>670</v>
      </c>
      <c r="S175" s="799">
        <v>205475.49</v>
      </c>
      <c r="T175" s="765">
        <v>158789.87</v>
      </c>
      <c r="U175" s="798">
        <v>431</v>
      </c>
      <c r="V175" s="799">
        <v>140254.72</v>
      </c>
      <c r="W175" s="765">
        <v>109869.64</v>
      </c>
      <c r="X175" s="798">
        <v>402</v>
      </c>
      <c r="Y175" s="799">
        <v>136183.57999999999</v>
      </c>
      <c r="Z175" s="765">
        <v>107609.11</v>
      </c>
      <c r="AA175" s="798">
        <v>352</v>
      </c>
      <c r="AB175" s="799">
        <v>135526.82</v>
      </c>
      <c r="AC175" s="765">
        <v>108766.59</v>
      </c>
      <c r="AD175" s="798">
        <v>335</v>
      </c>
      <c r="AE175" s="799">
        <v>128621.11</v>
      </c>
      <c r="AF175" s="765">
        <v>102934.89</v>
      </c>
      <c r="AG175" s="798">
        <v>585</v>
      </c>
      <c r="AH175" s="799">
        <v>196053.04</v>
      </c>
      <c r="AI175" s="765">
        <v>155307.74</v>
      </c>
      <c r="AJ175" s="798">
        <v>1017</v>
      </c>
      <c r="AK175" s="799">
        <v>293278.63</v>
      </c>
      <c r="AL175" s="765">
        <v>230431.12</v>
      </c>
      <c r="AM175" s="798">
        <v>358</v>
      </c>
      <c r="AN175" s="799">
        <v>116496.42</v>
      </c>
      <c r="AO175" s="765">
        <v>92667.879999999903</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797"/>
      <c r="D176" s="751"/>
      <c r="E176" s="800">
        <v>0.78877646402193213</v>
      </c>
      <c r="F176" s="797"/>
      <c r="G176" s="751"/>
      <c r="H176" s="800">
        <v>0.80416616775552319</v>
      </c>
      <c r="I176" s="797"/>
      <c r="J176" s="751"/>
      <c r="K176" s="800">
        <v>0.78834959314957609</v>
      </c>
      <c r="L176" s="797"/>
      <c r="M176" s="751"/>
      <c r="N176" s="800">
        <v>0.78161586105100056</v>
      </c>
      <c r="O176" s="797"/>
      <c r="P176" s="751"/>
      <c r="Q176" s="800">
        <v>0.78592707323659239</v>
      </c>
      <c r="R176" s="797"/>
      <c r="S176" s="751"/>
      <c r="T176" s="800">
        <v>0.77279226831385095</v>
      </c>
      <c r="U176" s="797"/>
      <c r="V176" s="751"/>
      <c r="W176" s="800">
        <v>0.78335787915016331</v>
      </c>
      <c r="X176" s="797"/>
      <c r="Y176" s="751"/>
      <c r="Z176" s="800">
        <v>0.79017683335979283</v>
      </c>
      <c r="AA176" s="797"/>
      <c r="AB176" s="751"/>
      <c r="AC176" s="800">
        <v>0.80254661033144581</v>
      </c>
      <c r="AD176" s="797"/>
      <c r="AE176" s="751"/>
      <c r="AF176" s="800">
        <v>0.80029545694326532</v>
      </c>
      <c r="AG176" s="797"/>
      <c r="AH176" s="751"/>
      <c r="AI176" s="800">
        <v>0.79217205711270777</v>
      </c>
      <c r="AJ176" s="797"/>
      <c r="AK176" s="751"/>
      <c r="AL176" s="800">
        <v>0.78570716182082545</v>
      </c>
      <c r="AM176" s="797"/>
      <c r="AN176" s="751"/>
      <c r="AO176" s="800">
        <v>0.79545689043491552</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01"/>
      <c r="D177" s="802">
        <v>326.57065695961171</v>
      </c>
      <c r="E177" s="803"/>
      <c r="F177" s="801"/>
      <c r="G177" s="802">
        <v>382.53239215686273</v>
      </c>
      <c r="H177" s="803"/>
      <c r="I177" s="801"/>
      <c r="J177" s="802">
        <v>378.59677419354841</v>
      </c>
      <c r="K177" s="803"/>
      <c r="L177" s="801"/>
      <c r="M177" s="802">
        <v>360.50129411764709</v>
      </c>
      <c r="N177" s="803"/>
      <c r="O177" s="801"/>
      <c r="P177" s="802">
        <v>281.04137886597937</v>
      </c>
      <c r="Q177" s="803"/>
      <c r="R177" s="801"/>
      <c r="S177" s="802">
        <v>306.67983582089551</v>
      </c>
      <c r="T177" s="803"/>
      <c r="U177" s="801"/>
      <c r="V177" s="802">
        <v>325.41698375870072</v>
      </c>
      <c r="W177" s="803"/>
      <c r="X177" s="801"/>
      <c r="Y177" s="802">
        <v>338.76512437810942</v>
      </c>
      <c r="Z177" s="803"/>
      <c r="AA177" s="801"/>
      <c r="AB177" s="802">
        <v>385.01937500000003</v>
      </c>
      <c r="AC177" s="803"/>
      <c r="AD177" s="801"/>
      <c r="AE177" s="802">
        <v>383.94361194029852</v>
      </c>
      <c r="AF177" s="803"/>
      <c r="AG177" s="801"/>
      <c r="AH177" s="802">
        <v>335.13340170940171</v>
      </c>
      <c r="AI177" s="803"/>
      <c r="AJ177" s="801"/>
      <c r="AK177" s="802">
        <v>288.37623402163223</v>
      </c>
      <c r="AL177" s="803"/>
      <c r="AM177" s="801"/>
      <c r="AN177" s="802">
        <v>325.40899441340781</v>
      </c>
      <c r="AO177" s="803"/>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1182">
        <v>2393</v>
      </c>
      <c r="D178" s="1183">
        <v>735468.68</v>
      </c>
      <c r="E178" s="1162">
        <v>475971.92999999982</v>
      </c>
      <c r="F178" s="1182">
        <v>231</v>
      </c>
      <c r="G178" s="1183">
        <v>78219.08</v>
      </c>
      <c r="H178" s="1162">
        <v>53780.83</v>
      </c>
      <c r="I178" s="1182">
        <v>258</v>
      </c>
      <c r="J178" s="1183">
        <v>67450.92</v>
      </c>
      <c r="K178" s="1162">
        <v>45677.440000000002</v>
      </c>
      <c r="L178" s="1182">
        <v>287</v>
      </c>
      <c r="M178" s="1183">
        <v>83188.259999999995</v>
      </c>
      <c r="N178" s="1162">
        <v>53154.959999999897</v>
      </c>
      <c r="O178" s="1182">
        <v>192</v>
      </c>
      <c r="P178" s="1183">
        <v>40008.99</v>
      </c>
      <c r="Q178" s="1162">
        <v>23879.969999999899</v>
      </c>
      <c r="R178" s="1182">
        <v>178</v>
      </c>
      <c r="S178" s="1183">
        <v>42881.71</v>
      </c>
      <c r="T178" s="1162">
        <v>25065.75</v>
      </c>
      <c r="U178" s="1182">
        <v>230</v>
      </c>
      <c r="V178" s="1183">
        <v>58666.38</v>
      </c>
      <c r="W178" s="1162">
        <v>38054.239999999998</v>
      </c>
      <c r="X178" s="1182">
        <v>211</v>
      </c>
      <c r="Y178" s="1183">
        <v>68514.11</v>
      </c>
      <c r="Z178" s="1162">
        <v>42536.59</v>
      </c>
      <c r="AA178" s="1182">
        <v>170</v>
      </c>
      <c r="AB178" s="1183">
        <v>70265.14</v>
      </c>
      <c r="AC178" s="1162">
        <v>43801.95</v>
      </c>
      <c r="AD178" s="1182">
        <v>175</v>
      </c>
      <c r="AE178" s="1183">
        <v>71307.81</v>
      </c>
      <c r="AF178" s="1162">
        <v>47482.42</v>
      </c>
      <c r="AG178" s="1182">
        <v>153</v>
      </c>
      <c r="AH178" s="1183">
        <v>63412.01</v>
      </c>
      <c r="AI178" s="1162">
        <v>41882.21</v>
      </c>
      <c r="AJ178" s="1182">
        <v>85</v>
      </c>
      <c r="AK178" s="1183">
        <v>13968.22</v>
      </c>
      <c r="AL178" s="1162">
        <v>7831.7699999999904</v>
      </c>
      <c r="AM178" s="1182">
        <v>223</v>
      </c>
      <c r="AN178" s="1183">
        <v>77586.05</v>
      </c>
      <c r="AO178" s="1162">
        <v>52823.8</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4"/>
      <c r="D179" s="751"/>
      <c r="E179" s="800">
        <v>0.64716818396671871</v>
      </c>
      <c r="F179" s="744"/>
      <c r="G179" s="751"/>
      <c r="H179" s="800">
        <v>0.68756663975081267</v>
      </c>
      <c r="I179" s="744"/>
      <c r="J179" s="751"/>
      <c r="K179" s="800">
        <v>0.67719521097710755</v>
      </c>
      <c r="L179" s="744"/>
      <c r="M179" s="751"/>
      <c r="N179" s="800">
        <v>0.63897189338976312</v>
      </c>
      <c r="O179" s="744"/>
      <c r="P179" s="751"/>
      <c r="Q179" s="800">
        <v>0.59686510456774589</v>
      </c>
      <c r="R179" s="744"/>
      <c r="S179" s="751"/>
      <c r="T179" s="800">
        <v>0.58453242652869952</v>
      </c>
      <c r="U179" s="744"/>
      <c r="V179" s="751"/>
      <c r="W179" s="800">
        <v>0.64865498774596286</v>
      </c>
      <c r="X179" s="744"/>
      <c r="Y179" s="751"/>
      <c r="Z179" s="800">
        <v>0.62084423193996097</v>
      </c>
      <c r="AA179" s="744"/>
      <c r="AB179" s="751"/>
      <c r="AC179" s="800">
        <v>0.62338095391256598</v>
      </c>
      <c r="AD179" s="744"/>
      <c r="AE179" s="751"/>
      <c r="AF179" s="800">
        <v>0.66587965609938093</v>
      </c>
      <c r="AG179" s="744"/>
      <c r="AH179" s="751"/>
      <c r="AI179" s="800">
        <v>0.66047756568511229</v>
      </c>
      <c r="AJ179" s="744"/>
      <c r="AK179" s="751"/>
      <c r="AL179" s="800">
        <v>0.56068489757463658</v>
      </c>
      <c r="AM179" s="744"/>
      <c r="AN179" s="751"/>
      <c r="AO179" s="800">
        <v>0.68084146570163062</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0"/>
      <c r="D180" s="802">
        <v>307.34169661512749</v>
      </c>
      <c r="E180" s="803"/>
      <c r="F180" s="770"/>
      <c r="G180" s="802">
        <v>338.61073593073593</v>
      </c>
      <c r="H180" s="803"/>
      <c r="I180" s="770"/>
      <c r="J180" s="802">
        <v>261.43767441860467</v>
      </c>
      <c r="K180" s="803"/>
      <c r="L180" s="770"/>
      <c r="M180" s="802">
        <v>289.85456445993032</v>
      </c>
      <c r="N180" s="803"/>
      <c r="O180" s="770"/>
      <c r="P180" s="802">
        <v>208.38015625</v>
      </c>
      <c r="Q180" s="803"/>
      <c r="R180" s="770"/>
      <c r="S180" s="802">
        <v>240.9084831460674</v>
      </c>
      <c r="T180" s="803"/>
      <c r="U180" s="770"/>
      <c r="V180" s="802">
        <v>255.07121739130434</v>
      </c>
      <c r="W180" s="803"/>
      <c r="X180" s="770"/>
      <c r="Y180" s="802">
        <v>324.71142180094785</v>
      </c>
      <c r="Z180" s="803"/>
      <c r="AA180" s="770"/>
      <c r="AB180" s="802">
        <v>413.32435294117647</v>
      </c>
      <c r="AC180" s="803"/>
      <c r="AD180" s="770"/>
      <c r="AE180" s="802">
        <v>407.47319999999996</v>
      </c>
      <c r="AF180" s="803"/>
      <c r="AG180" s="770"/>
      <c r="AH180" s="802">
        <v>414.45758169934641</v>
      </c>
      <c r="AI180" s="803"/>
      <c r="AJ180" s="770"/>
      <c r="AK180" s="802">
        <v>164.33199999999999</v>
      </c>
      <c r="AL180" s="803"/>
      <c r="AM180" s="770"/>
      <c r="AN180" s="802">
        <v>347.91950672645743</v>
      </c>
      <c r="AO180" s="803"/>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798">
        <v>2993</v>
      </c>
      <c r="D181" s="799">
        <v>951380.34</v>
      </c>
      <c r="E181" s="765">
        <v>740320.39999999967</v>
      </c>
      <c r="F181" s="798">
        <v>222</v>
      </c>
      <c r="G181" s="799">
        <v>62165.19</v>
      </c>
      <c r="H181" s="765">
        <v>46690.44</v>
      </c>
      <c r="I181" s="798">
        <v>185</v>
      </c>
      <c r="J181" s="799">
        <v>64753.34</v>
      </c>
      <c r="K181" s="765">
        <v>48754.789999999899</v>
      </c>
      <c r="L181" s="798">
        <v>221</v>
      </c>
      <c r="M181" s="799">
        <v>68191.08</v>
      </c>
      <c r="N181" s="765">
        <v>53135.29</v>
      </c>
      <c r="O181" s="798">
        <v>220</v>
      </c>
      <c r="P181" s="799">
        <v>64988.78</v>
      </c>
      <c r="Q181" s="765">
        <v>50798.22</v>
      </c>
      <c r="R181" s="798">
        <v>247</v>
      </c>
      <c r="S181" s="1255">
        <v>87494.05</v>
      </c>
      <c r="T181" s="1256">
        <v>66932.45</v>
      </c>
      <c r="U181" s="798">
        <v>265</v>
      </c>
      <c r="V181" s="1255">
        <v>79677.269999999902</v>
      </c>
      <c r="W181" s="765">
        <v>60336.739999999903</v>
      </c>
      <c r="X181" s="798">
        <v>249</v>
      </c>
      <c r="Y181" s="1255">
        <v>93153.12</v>
      </c>
      <c r="Z181" s="765">
        <v>74412.23</v>
      </c>
      <c r="AA181" s="798">
        <v>324</v>
      </c>
      <c r="AB181" s="1255">
        <v>96307.43</v>
      </c>
      <c r="AC181" s="765">
        <v>76952.459999999905</v>
      </c>
      <c r="AD181" s="798">
        <v>328</v>
      </c>
      <c r="AE181" s="1255">
        <v>111311.12</v>
      </c>
      <c r="AF181" s="765">
        <v>87639.26</v>
      </c>
      <c r="AG181" s="798">
        <v>294</v>
      </c>
      <c r="AH181" s="799">
        <v>71140.160000000003</v>
      </c>
      <c r="AI181" s="765">
        <v>56333.78</v>
      </c>
      <c r="AJ181" s="798">
        <v>244</v>
      </c>
      <c r="AK181" s="799">
        <v>77153.63</v>
      </c>
      <c r="AL181" s="765">
        <v>59809.09</v>
      </c>
      <c r="AM181" s="798">
        <v>194</v>
      </c>
      <c r="AN181" s="799">
        <v>75045.17</v>
      </c>
      <c r="AO181" s="765">
        <v>58525.65</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797"/>
      <c r="D182" s="804"/>
      <c r="E182" s="800">
        <v>0.77815398203414599</v>
      </c>
      <c r="F182" s="797"/>
      <c r="G182" s="804"/>
      <c r="H182" s="800">
        <v>0.75107049459673492</v>
      </c>
      <c r="I182" s="797"/>
      <c r="J182" s="804"/>
      <c r="K182" s="800">
        <v>0.75293089128684176</v>
      </c>
      <c r="L182" s="797"/>
      <c r="M182" s="804"/>
      <c r="N182" s="800">
        <v>0.77921173854410286</v>
      </c>
      <c r="O182" s="797"/>
      <c r="P182" s="804"/>
      <c r="Q182" s="800">
        <v>0.78164600104818094</v>
      </c>
      <c r="R182" s="797"/>
      <c r="S182" s="804"/>
      <c r="T182" s="800">
        <v>0.76499430532704793</v>
      </c>
      <c r="U182" s="797"/>
      <c r="V182" s="804"/>
      <c r="W182" s="800">
        <v>0.75726414823198607</v>
      </c>
      <c r="X182" s="797"/>
      <c r="Y182" s="804"/>
      <c r="Z182" s="800">
        <v>0.79881629300231705</v>
      </c>
      <c r="AA182" s="797"/>
      <c r="AB182" s="804"/>
      <c r="AC182" s="800">
        <v>0.79902931684502343</v>
      </c>
      <c r="AD182" s="797"/>
      <c r="AE182" s="804"/>
      <c r="AF182" s="800">
        <v>0.7873360720833642</v>
      </c>
      <c r="AG182" s="797"/>
      <c r="AH182" s="804"/>
      <c r="AI182" s="800">
        <v>0.79187030223153831</v>
      </c>
      <c r="AJ182" s="797"/>
      <c r="AK182" s="804"/>
      <c r="AL182" s="800">
        <v>0.77519476400527099</v>
      </c>
      <c r="AM182" s="797"/>
      <c r="AN182" s="804"/>
      <c r="AO182" s="800">
        <v>0.77987230890409076</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797"/>
      <c r="D183" s="805">
        <v>317.86847310390908</v>
      </c>
      <c r="E183" s="800"/>
      <c r="F183" s="797"/>
      <c r="G183" s="805">
        <v>280.02337837837837</v>
      </c>
      <c r="H183" s="800"/>
      <c r="I183" s="797"/>
      <c r="J183" s="805">
        <v>350.01805405405406</v>
      </c>
      <c r="K183" s="800"/>
      <c r="L183" s="797"/>
      <c r="M183" s="805">
        <v>308.55692307692311</v>
      </c>
      <c r="N183" s="800"/>
      <c r="O183" s="797"/>
      <c r="P183" s="805">
        <v>295.40354545454545</v>
      </c>
      <c r="Q183" s="800"/>
      <c r="R183" s="797"/>
      <c r="S183" s="805">
        <v>354.22692307692307</v>
      </c>
      <c r="T183" s="800"/>
      <c r="U183" s="797"/>
      <c r="V183" s="805">
        <v>300.66894339622604</v>
      </c>
      <c r="W183" s="800"/>
      <c r="X183" s="797"/>
      <c r="Y183" s="805">
        <v>374.10891566265059</v>
      </c>
      <c r="Z183" s="800"/>
      <c r="AA183" s="797"/>
      <c r="AB183" s="805">
        <v>297.24515432098764</v>
      </c>
      <c r="AC183" s="800"/>
      <c r="AD183" s="797"/>
      <c r="AE183" s="805">
        <v>339.36317073170733</v>
      </c>
      <c r="AF183" s="800"/>
      <c r="AG183" s="797"/>
      <c r="AH183" s="805">
        <v>241.97333333333336</v>
      </c>
      <c r="AI183" s="800"/>
      <c r="AJ183" s="797"/>
      <c r="AK183" s="805">
        <v>316.20340163934429</v>
      </c>
      <c r="AL183" s="800"/>
      <c r="AM183" s="797"/>
      <c r="AN183" s="805">
        <v>386.8307731958763</v>
      </c>
      <c r="AO183" s="800"/>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1182">
        <v>0</v>
      </c>
      <c r="D184" s="1183">
        <v>131978.6</v>
      </c>
      <c r="E184" s="1162">
        <v>104558.13999999988</v>
      </c>
      <c r="F184" s="1182">
        <v>0</v>
      </c>
      <c r="G184" s="1183">
        <v>3898.56</v>
      </c>
      <c r="H184" s="1162">
        <v>2857.0299999999902</v>
      </c>
      <c r="I184" s="1182">
        <v>0</v>
      </c>
      <c r="J184" s="1183">
        <v>3769.71</v>
      </c>
      <c r="K184" s="1162">
        <v>2857.41</v>
      </c>
      <c r="L184" s="1182">
        <v>0</v>
      </c>
      <c r="M184" s="1183">
        <v>8215.18</v>
      </c>
      <c r="N184" s="1162">
        <v>6311.64</v>
      </c>
      <c r="O184" s="1182">
        <v>0</v>
      </c>
      <c r="P184" s="1183">
        <v>25065.34</v>
      </c>
      <c r="Q184" s="1162">
        <v>20456.11</v>
      </c>
      <c r="R184" s="1182">
        <v>0</v>
      </c>
      <c r="S184" s="1183">
        <v>23911.63</v>
      </c>
      <c r="T184" s="1162">
        <v>19209.34</v>
      </c>
      <c r="U184" s="1182">
        <v>0</v>
      </c>
      <c r="V184" s="1183">
        <v>9357.93</v>
      </c>
      <c r="W184" s="1162">
        <v>7296.8</v>
      </c>
      <c r="X184" s="1182">
        <v>0</v>
      </c>
      <c r="Y184" s="1183">
        <v>8246.2000000000007</v>
      </c>
      <c r="Z184" s="1162">
        <v>6572.43</v>
      </c>
      <c r="AA184" s="1182">
        <v>0</v>
      </c>
      <c r="AB184" s="1183">
        <v>5277.1</v>
      </c>
      <c r="AC184" s="1162">
        <v>4045.75</v>
      </c>
      <c r="AD184" s="1182">
        <v>0</v>
      </c>
      <c r="AE184" s="1183">
        <v>8116.64</v>
      </c>
      <c r="AF184" s="1162">
        <v>6178.8</v>
      </c>
      <c r="AG184" s="1182">
        <v>0</v>
      </c>
      <c r="AH184" s="1183">
        <v>12080.43</v>
      </c>
      <c r="AI184" s="1162">
        <v>9484.86</v>
      </c>
      <c r="AJ184" s="1182">
        <v>0</v>
      </c>
      <c r="AK184" s="1183">
        <v>19444.009999999998</v>
      </c>
      <c r="AL184" s="1162">
        <v>15555.9399999999</v>
      </c>
      <c r="AM184" s="1182">
        <v>0</v>
      </c>
      <c r="AN184" s="1183">
        <v>4595.87</v>
      </c>
      <c r="AO184" s="1162">
        <v>3732.0299999999902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06"/>
      <c r="D185" s="807">
        <v>0</v>
      </c>
      <c r="E185" s="800">
        <v>0.79223555940129597</v>
      </c>
      <c r="F185" s="806"/>
      <c r="G185" s="807">
        <v>0</v>
      </c>
      <c r="H185" s="800">
        <v>0.73284238282852909</v>
      </c>
      <c r="I185" s="806"/>
      <c r="J185" s="807">
        <v>0</v>
      </c>
      <c r="K185" s="800">
        <v>0.7579919940791201</v>
      </c>
      <c r="L185" s="806"/>
      <c r="M185" s="807">
        <v>0</v>
      </c>
      <c r="N185" s="800">
        <v>0.768289921827641</v>
      </c>
      <c r="O185" s="806"/>
      <c r="P185" s="807">
        <v>0</v>
      </c>
      <c r="Q185" s="800">
        <v>0.81611141121564679</v>
      </c>
      <c r="R185" s="806"/>
      <c r="S185" s="807">
        <v>0</v>
      </c>
      <c r="T185" s="800">
        <v>0.80334715784745747</v>
      </c>
      <c r="U185" s="806"/>
      <c r="V185" s="807">
        <v>0</v>
      </c>
      <c r="W185" s="800">
        <v>0.77974509319903007</v>
      </c>
      <c r="X185" s="806"/>
      <c r="Y185" s="807">
        <v>0</v>
      </c>
      <c r="Z185" s="800">
        <v>0.79702529650020615</v>
      </c>
      <c r="AA185" s="806"/>
      <c r="AB185" s="807">
        <v>0</v>
      </c>
      <c r="AC185" s="800">
        <v>0.76666161338614003</v>
      </c>
      <c r="AD185" s="806"/>
      <c r="AE185" s="807">
        <v>0</v>
      </c>
      <c r="AF185" s="800">
        <v>0.76125096098878353</v>
      </c>
      <c r="AG185" s="806"/>
      <c r="AH185" s="807">
        <v>0</v>
      </c>
      <c r="AI185" s="800">
        <v>0.78514258184518271</v>
      </c>
      <c r="AJ185" s="806"/>
      <c r="AK185" s="807">
        <v>0</v>
      </c>
      <c r="AL185" s="800">
        <v>0.80003764655541232</v>
      </c>
      <c r="AM185" s="806"/>
      <c r="AN185" s="807">
        <v>0</v>
      </c>
      <c r="AO185" s="800">
        <v>0.81203994020718395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08"/>
      <c r="D186" s="809">
        <v>0</v>
      </c>
      <c r="E186" s="803"/>
      <c r="F186" s="808"/>
      <c r="G186" s="809">
        <v>0</v>
      </c>
      <c r="H186" s="803"/>
      <c r="I186" s="808"/>
      <c r="J186" s="809">
        <v>0</v>
      </c>
      <c r="K186" s="803"/>
      <c r="L186" s="808"/>
      <c r="M186" s="809">
        <v>0</v>
      </c>
      <c r="N186" s="803"/>
      <c r="O186" s="808"/>
      <c r="P186" s="809">
        <v>0</v>
      </c>
      <c r="Q186" s="803"/>
      <c r="R186" s="808"/>
      <c r="S186" s="809">
        <v>0</v>
      </c>
      <c r="T186" s="803"/>
      <c r="U186" s="808"/>
      <c r="V186" s="809">
        <v>0</v>
      </c>
      <c r="W186" s="803"/>
      <c r="X186" s="808"/>
      <c r="Y186" s="809">
        <v>0</v>
      </c>
      <c r="Z186" s="803"/>
      <c r="AA186" s="808"/>
      <c r="AB186" s="809">
        <v>0</v>
      </c>
      <c r="AC186" s="803"/>
      <c r="AD186" s="808"/>
      <c r="AE186" s="809">
        <v>0</v>
      </c>
      <c r="AF186" s="803"/>
      <c r="AG186" s="808"/>
      <c r="AH186" s="809">
        <v>0</v>
      </c>
      <c r="AI186" s="803"/>
      <c r="AJ186" s="808"/>
      <c r="AK186" s="809">
        <v>0</v>
      </c>
      <c r="AL186" s="803"/>
      <c r="AM186" s="808"/>
      <c r="AN186" s="809">
        <v>0</v>
      </c>
      <c r="AO186" s="803"/>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798"/>
      <c r="D187" s="799"/>
      <c r="E187" s="765">
        <v>-24239.17</v>
      </c>
      <c r="F187" s="798"/>
      <c r="G187" s="799"/>
      <c r="H187" s="765">
        <v>-3208.08</v>
      </c>
      <c r="I187" s="798"/>
      <c r="J187" s="799"/>
      <c r="K187" s="765">
        <v>-1540.85</v>
      </c>
      <c r="L187" s="798"/>
      <c r="M187" s="799"/>
      <c r="N187" s="765">
        <v>-634.37</v>
      </c>
      <c r="O187" s="798"/>
      <c r="P187" s="799"/>
      <c r="Q187" s="765">
        <v>-3279.28</v>
      </c>
      <c r="R187" s="798"/>
      <c r="S187" s="799"/>
      <c r="T187" s="765">
        <v>-1048.6300000000001</v>
      </c>
      <c r="U187" s="798"/>
      <c r="V187" s="799"/>
      <c r="W187" s="765">
        <v>-1952.1</v>
      </c>
      <c r="X187" s="798"/>
      <c r="Y187" s="799"/>
      <c r="Z187" s="765">
        <v>-1154.1300000000001</v>
      </c>
      <c r="AA187" s="798"/>
      <c r="AB187" s="799"/>
      <c r="AC187" s="765">
        <v>-2042.11</v>
      </c>
      <c r="AD187" s="798"/>
      <c r="AE187" s="799"/>
      <c r="AF187" s="765">
        <v>-1318.36</v>
      </c>
      <c r="AG187" s="798"/>
      <c r="AH187" s="799"/>
      <c r="AI187" s="765">
        <v>-310.10000000000002</v>
      </c>
      <c r="AJ187" s="798"/>
      <c r="AK187" s="799"/>
      <c r="AL187" s="765">
        <v>-5690.11</v>
      </c>
      <c r="AM187" s="798"/>
      <c r="AN187" s="799"/>
      <c r="AO187" s="765">
        <v>-2061.0500000000002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10">
        <v>11155</v>
      </c>
      <c r="D188" s="811">
        <v>3702813.74</v>
      </c>
      <c r="E188" s="812">
        <v>2782655.209999999</v>
      </c>
      <c r="F188" s="810">
        <v>708</v>
      </c>
      <c r="G188" s="811">
        <v>241828.59</v>
      </c>
      <c r="H188" s="812">
        <v>178563.22000000003</v>
      </c>
      <c r="I188" s="810">
        <v>691</v>
      </c>
      <c r="J188" s="811">
        <v>229865.96999999997</v>
      </c>
      <c r="K188" s="812">
        <v>169768.50999999989</v>
      </c>
      <c r="L188" s="810">
        <v>848</v>
      </c>
      <c r="M188" s="811">
        <v>282164.96000000002</v>
      </c>
      <c r="N188" s="812">
        <v>207770.51999999993</v>
      </c>
      <c r="O188" s="810">
        <v>1188</v>
      </c>
      <c r="P188" s="811">
        <v>348151.22000000003</v>
      </c>
      <c r="Q188" s="812">
        <v>263256.36999999988</v>
      </c>
      <c r="R188" s="810">
        <v>1095</v>
      </c>
      <c r="S188" s="811">
        <v>359762.88</v>
      </c>
      <c r="T188" s="812">
        <v>268948.78000000003</v>
      </c>
      <c r="U188" s="810">
        <v>926</v>
      </c>
      <c r="V188" s="811">
        <v>287956.29999999987</v>
      </c>
      <c r="W188" s="1238">
        <v>213605.31999999989</v>
      </c>
      <c r="X188" s="810">
        <v>862</v>
      </c>
      <c r="Y188" s="811">
        <v>306097.01</v>
      </c>
      <c r="Z188" s="1238">
        <v>229976.22999999998</v>
      </c>
      <c r="AA188" s="810">
        <v>846</v>
      </c>
      <c r="AB188" s="811">
        <v>307376.49</v>
      </c>
      <c r="AC188" s="1238">
        <v>231524.6399999999</v>
      </c>
      <c r="AD188" s="810">
        <v>838</v>
      </c>
      <c r="AE188" s="811">
        <v>319356.68</v>
      </c>
      <c r="AF188" s="1238">
        <v>242917.01</v>
      </c>
      <c r="AG188" s="810">
        <v>1032</v>
      </c>
      <c r="AH188" s="811">
        <v>342685.64</v>
      </c>
      <c r="AI188" s="812">
        <v>262698.49</v>
      </c>
      <c r="AJ188" s="810">
        <v>1346</v>
      </c>
      <c r="AK188" s="811">
        <v>403844.49</v>
      </c>
      <c r="AL188" s="812">
        <v>307937.80999999988</v>
      </c>
      <c r="AM188" s="810">
        <v>775</v>
      </c>
      <c r="AN188" s="811">
        <v>273723.51</v>
      </c>
      <c r="AO188" s="812">
        <v>205688.30999999991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13"/>
      <c r="D189" s="814">
        <v>331.94206544150609</v>
      </c>
      <c r="E189" s="815">
        <v>0.751497484180773</v>
      </c>
      <c r="F189" s="813"/>
      <c r="G189" s="814">
        <v>341.56580508474576</v>
      </c>
      <c r="H189" s="815">
        <v>0.73838754962761033</v>
      </c>
      <c r="I189" s="813"/>
      <c r="J189" s="814">
        <v>332.65697539797389</v>
      </c>
      <c r="K189" s="815">
        <v>0.73855434103621298</v>
      </c>
      <c r="L189" s="813"/>
      <c r="M189" s="814">
        <v>332.74169811320758</v>
      </c>
      <c r="N189" s="815">
        <v>0.73634415839585443</v>
      </c>
      <c r="O189" s="813"/>
      <c r="P189" s="814">
        <v>293.0565824915825</v>
      </c>
      <c r="Q189" s="815">
        <v>0.75615524196640715</v>
      </c>
      <c r="R189" s="813"/>
      <c r="S189" s="814">
        <v>328.55057534246578</v>
      </c>
      <c r="T189" s="815">
        <v>0.74757234542930062</v>
      </c>
      <c r="U189" s="813"/>
      <c r="V189" s="814">
        <v>310.96792656587456</v>
      </c>
      <c r="W189" s="815">
        <v>0.74179769638656967</v>
      </c>
      <c r="X189" s="813"/>
      <c r="Y189" s="814">
        <v>355.100939675174</v>
      </c>
      <c r="Z189" s="815">
        <v>0.75131811970329265</v>
      </c>
      <c r="AA189" s="813"/>
      <c r="AB189" s="814">
        <v>363.32918439716309</v>
      </c>
      <c r="AC189" s="815">
        <v>0.75322819907273941</v>
      </c>
      <c r="AD189" s="813"/>
      <c r="AE189" s="814">
        <v>381.09389021479711</v>
      </c>
      <c r="AF189" s="815">
        <v>0.76064483761542112</v>
      </c>
      <c r="AG189" s="813"/>
      <c r="AH189" s="814">
        <v>332.05972868217054</v>
      </c>
      <c r="AI189" s="815">
        <v>0.76658738895507839</v>
      </c>
      <c r="AJ189" s="813"/>
      <c r="AK189" s="814">
        <v>300.03305349182762</v>
      </c>
      <c r="AL189" s="815">
        <v>0.76251581394610557</v>
      </c>
      <c r="AM189" s="813"/>
      <c r="AN189" s="814">
        <v>353.19162580645161</v>
      </c>
      <c r="AO189" s="815">
        <v>0.75144553714074436</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797"/>
      <c r="D190" s="764"/>
      <c r="E190" s="1187"/>
      <c r="F190" s="797"/>
      <c r="G190" s="764"/>
      <c r="H190" s="1187"/>
      <c r="I190" s="797"/>
      <c r="J190" s="764"/>
      <c r="K190" s="1187"/>
      <c r="L190" s="797"/>
      <c r="M190" s="764"/>
      <c r="N190" s="1187"/>
      <c r="O190" s="797"/>
      <c r="P190" s="764"/>
      <c r="Q190" s="1187"/>
      <c r="R190" s="797"/>
      <c r="S190" s="764"/>
      <c r="T190" s="1187"/>
      <c r="U190" s="797"/>
      <c r="V190" s="764"/>
      <c r="W190" s="1187"/>
      <c r="X190" s="797"/>
      <c r="Y190" s="764"/>
      <c r="Z190" s="1187"/>
      <c r="AA190" s="797"/>
      <c r="AB190" s="764"/>
      <c r="AC190" s="1187"/>
      <c r="AD190" s="797"/>
      <c r="AE190" s="764"/>
      <c r="AF190" s="1187"/>
      <c r="AG190" s="797"/>
      <c r="AH190" s="764"/>
      <c r="AI190" s="1187"/>
      <c r="AJ190" s="797"/>
      <c r="AK190" s="764"/>
      <c r="AL190" s="1187"/>
      <c r="AM190" s="797"/>
      <c r="AN190" s="764"/>
      <c r="AO190" s="1187"/>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798">
        <v>0</v>
      </c>
      <c r="D191" s="816">
        <v>209131.22999999975</v>
      </c>
      <c r="E191" s="765">
        <v>43424.569999999927</v>
      </c>
      <c r="F191" s="798">
        <v>0</v>
      </c>
      <c r="G191" s="816">
        <v>8944.15</v>
      </c>
      <c r="H191" s="765">
        <v>2262.1499999999901</v>
      </c>
      <c r="I191" s="798">
        <v>0</v>
      </c>
      <c r="J191" s="816">
        <v>19410.400000000001</v>
      </c>
      <c r="K191" s="765">
        <v>3435.9</v>
      </c>
      <c r="L191" s="798">
        <v>0</v>
      </c>
      <c r="M191" s="816">
        <v>18065.2</v>
      </c>
      <c r="N191" s="765">
        <v>2649.47</v>
      </c>
      <c r="O191" s="798">
        <v>0</v>
      </c>
      <c r="P191" s="816">
        <v>18629.919999999998</v>
      </c>
      <c r="Q191" s="765">
        <v>3102.9199999999901</v>
      </c>
      <c r="R191" s="798">
        <v>0</v>
      </c>
      <c r="S191" s="816">
        <v>26364.6</v>
      </c>
      <c r="T191" s="765">
        <v>6412.0199999999904</v>
      </c>
      <c r="U191" s="798">
        <v>0</v>
      </c>
      <c r="V191" s="816">
        <v>17923.73</v>
      </c>
      <c r="W191" s="765">
        <v>3694.53</v>
      </c>
      <c r="X191" s="798">
        <v>0</v>
      </c>
      <c r="Y191" s="816">
        <v>22735.4899999999</v>
      </c>
      <c r="Z191" s="765">
        <v>4126.45999999999</v>
      </c>
      <c r="AA191" s="798">
        <v>0</v>
      </c>
      <c r="AB191" s="816">
        <v>17632.02</v>
      </c>
      <c r="AC191" s="765">
        <v>3914.47999999999</v>
      </c>
      <c r="AD191" s="798">
        <v>0</v>
      </c>
      <c r="AE191" s="816">
        <v>21348.949999999899</v>
      </c>
      <c r="AF191" s="765">
        <v>4287.1999999999898</v>
      </c>
      <c r="AG191" s="798">
        <v>0</v>
      </c>
      <c r="AH191" s="816">
        <v>12464.83</v>
      </c>
      <c r="AI191" s="765">
        <v>3483.22999999999</v>
      </c>
      <c r="AJ191" s="798">
        <v>0</v>
      </c>
      <c r="AK191" s="816">
        <v>15758.84</v>
      </c>
      <c r="AL191" s="765">
        <v>3314.11</v>
      </c>
      <c r="AM191" s="798">
        <v>0</v>
      </c>
      <c r="AN191" s="816">
        <v>9853.1</v>
      </c>
      <c r="AO191" s="765">
        <v>2742.1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797"/>
      <c r="D192" s="804"/>
      <c r="E192" s="800">
        <v>0.20764268445224551</v>
      </c>
      <c r="F192" s="797"/>
      <c r="G192" s="804"/>
      <c r="H192" s="800">
        <v>0.25291950604585012</v>
      </c>
      <c r="I192" s="797"/>
      <c r="J192" s="804"/>
      <c r="K192" s="800">
        <v>0.1770133536660759</v>
      </c>
      <c r="L192" s="797"/>
      <c r="M192" s="804"/>
      <c r="N192" s="800">
        <v>0.14666153709895266</v>
      </c>
      <c r="O192" s="797"/>
      <c r="P192" s="804"/>
      <c r="Q192" s="800">
        <v>0.16655573400207785</v>
      </c>
      <c r="R192" s="797"/>
      <c r="S192" s="804"/>
      <c r="T192" s="800">
        <v>0.24320566213786635</v>
      </c>
      <c r="U192" s="797"/>
      <c r="V192" s="804"/>
      <c r="W192" s="800">
        <v>0.20612506436997211</v>
      </c>
      <c r="X192" s="797"/>
      <c r="Y192" s="804"/>
      <c r="Z192" s="800">
        <v>0.18149861735990772</v>
      </c>
      <c r="AA192" s="797"/>
      <c r="AB192" s="804"/>
      <c r="AC192" s="800">
        <v>0.22200973002526028</v>
      </c>
      <c r="AD192" s="797"/>
      <c r="AE192" s="804"/>
      <c r="AF192" s="800">
        <v>0.2008154967808726</v>
      </c>
      <c r="AG192" s="797"/>
      <c r="AH192" s="804"/>
      <c r="AI192" s="800">
        <v>0.27944464545444986</v>
      </c>
      <c r="AJ192" s="797"/>
      <c r="AK192" s="804"/>
      <c r="AL192" s="800">
        <v>0.2103016465678946</v>
      </c>
      <c r="AM192" s="797"/>
      <c r="AN192" s="804"/>
      <c r="AO192" s="800">
        <v>0.27829820056631921</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797"/>
      <c r="D193" s="804"/>
      <c r="E193" s="800"/>
      <c r="F193" s="797"/>
      <c r="G193" s="804"/>
      <c r="H193" s="800"/>
      <c r="I193" s="797"/>
      <c r="J193" s="804"/>
      <c r="K193" s="800"/>
      <c r="L193" s="797"/>
      <c r="M193" s="804"/>
      <c r="N193" s="800"/>
      <c r="O193" s="797"/>
      <c r="P193" s="804"/>
      <c r="Q193" s="800"/>
      <c r="R193" s="797"/>
      <c r="S193" s="804"/>
      <c r="T193" s="800"/>
      <c r="U193" s="797"/>
      <c r="V193" s="804"/>
      <c r="W193" s="800"/>
      <c r="X193" s="797"/>
      <c r="Y193" s="804"/>
      <c r="Z193" s="800"/>
      <c r="AA193" s="797"/>
      <c r="AB193" s="804"/>
      <c r="AC193" s="800"/>
      <c r="AD193" s="797"/>
      <c r="AE193" s="804"/>
      <c r="AF193" s="800"/>
      <c r="AG193" s="797"/>
      <c r="AH193" s="804"/>
      <c r="AI193" s="800"/>
      <c r="AJ193" s="797"/>
      <c r="AK193" s="804"/>
      <c r="AL193" s="800"/>
      <c r="AM193" s="797"/>
      <c r="AN193" s="804"/>
      <c r="AO193" s="800"/>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1182">
        <v>0</v>
      </c>
      <c r="D194" s="1257">
        <v>118491</v>
      </c>
      <c r="E194" s="1162">
        <v>86816.589999999982</v>
      </c>
      <c r="F194" s="1182">
        <v>0</v>
      </c>
      <c r="G194" s="1257">
        <v>4029.9</v>
      </c>
      <c r="H194" s="1162">
        <v>3229.1</v>
      </c>
      <c r="I194" s="1182">
        <v>0</v>
      </c>
      <c r="J194" s="1257">
        <v>6923.95</v>
      </c>
      <c r="K194" s="1162">
        <v>5337.95</v>
      </c>
      <c r="L194" s="1182">
        <v>0</v>
      </c>
      <c r="M194" s="1257">
        <v>11580</v>
      </c>
      <c r="N194" s="1162">
        <v>8610.2900000000009</v>
      </c>
      <c r="O194" s="1182">
        <v>0</v>
      </c>
      <c r="P194" s="1257">
        <v>10458.5</v>
      </c>
      <c r="Q194" s="1162">
        <v>7042.3899999999903</v>
      </c>
      <c r="R194" s="1258">
        <v>0</v>
      </c>
      <c r="S194" s="1257">
        <v>13699.1</v>
      </c>
      <c r="T194" s="1162">
        <v>8680.98</v>
      </c>
      <c r="U194" s="1258">
        <v>0</v>
      </c>
      <c r="V194" s="1257">
        <v>12017.6</v>
      </c>
      <c r="W194" s="1162">
        <v>9481.08</v>
      </c>
      <c r="X194" s="1258">
        <v>0</v>
      </c>
      <c r="Y194" s="1257">
        <v>8810.2999999999993</v>
      </c>
      <c r="Z194" s="1162">
        <v>7200.49</v>
      </c>
      <c r="AA194" s="1258">
        <v>0</v>
      </c>
      <c r="AB194" s="1257">
        <v>8876.7999999999993</v>
      </c>
      <c r="AC194" s="1162">
        <v>3659.7999999999902</v>
      </c>
      <c r="AD194" s="1258">
        <v>0</v>
      </c>
      <c r="AE194" s="1257">
        <v>6714.85</v>
      </c>
      <c r="AF194" s="1162">
        <v>5309.21</v>
      </c>
      <c r="AG194" s="1182">
        <v>0</v>
      </c>
      <c r="AH194" s="1257">
        <v>18540.5</v>
      </c>
      <c r="AI194" s="1162">
        <v>14606.44</v>
      </c>
      <c r="AJ194" s="1182">
        <v>0</v>
      </c>
      <c r="AK194" s="1257">
        <v>7849.8</v>
      </c>
      <c r="AL194" s="1162">
        <v>6357.09</v>
      </c>
      <c r="AM194" s="1182">
        <v>0</v>
      </c>
      <c r="AN194" s="1257">
        <v>8989.7000000000007</v>
      </c>
      <c r="AO194" s="1162">
        <v>7301.77</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01"/>
      <c r="D195" s="817"/>
      <c r="E195" s="803">
        <v>0.73268509844629537</v>
      </c>
      <c r="F195" s="801"/>
      <c r="G195" s="817"/>
      <c r="H195" s="803">
        <v>0.80128539169706436</v>
      </c>
      <c r="I195" s="801"/>
      <c r="J195" s="817"/>
      <c r="K195" s="803">
        <v>0.77093999812245895</v>
      </c>
      <c r="L195" s="801"/>
      <c r="M195" s="817"/>
      <c r="N195" s="803">
        <v>0.74354835924006912</v>
      </c>
      <c r="O195" s="801"/>
      <c r="P195" s="817"/>
      <c r="Q195" s="803">
        <v>0.67336520533537225</v>
      </c>
      <c r="R195" s="801"/>
      <c r="S195" s="817"/>
      <c r="T195" s="803">
        <v>0.63368980443970768</v>
      </c>
      <c r="U195" s="801"/>
      <c r="V195" s="817"/>
      <c r="W195" s="803">
        <v>0.78893289841565706</v>
      </c>
      <c r="X195" s="801"/>
      <c r="Y195" s="817"/>
      <c r="Z195" s="803">
        <v>0.81728090984415969</v>
      </c>
      <c r="AA195" s="801"/>
      <c r="AB195" s="817"/>
      <c r="AC195" s="803">
        <v>0.41228821196827581</v>
      </c>
      <c r="AD195" s="801"/>
      <c r="AE195" s="817"/>
      <c r="AF195" s="803">
        <v>0.79066695458573155</v>
      </c>
      <c r="AG195" s="801"/>
      <c r="AH195" s="817"/>
      <c r="AI195" s="803">
        <v>0.78781262641244842</v>
      </c>
      <c r="AJ195" s="801"/>
      <c r="AK195" s="817"/>
      <c r="AL195" s="803">
        <v>0.80984101505770845</v>
      </c>
      <c r="AM195" s="801"/>
      <c r="AN195" s="817"/>
      <c r="AO195" s="803">
        <v>0.81223733828715083</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1193"/>
      <c r="D196" s="1194"/>
      <c r="E196" s="1195"/>
      <c r="F196" s="1193"/>
      <c r="G196" s="1194"/>
      <c r="H196" s="1195"/>
      <c r="I196" s="1193"/>
      <c r="J196" s="1194"/>
      <c r="K196" s="1195"/>
      <c r="L196" s="1193"/>
      <c r="M196" s="1194"/>
      <c r="N196" s="1195"/>
      <c r="O196" s="1193"/>
      <c r="P196" s="1194"/>
      <c r="Q196" s="1195"/>
      <c r="R196" s="1193"/>
      <c r="S196" s="1194"/>
      <c r="T196" s="1195"/>
      <c r="U196" s="1193"/>
      <c r="V196" s="1194"/>
      <c r="W196" s="1201"/>
      <c r="X196" s="1193"/>
      <c r="Y196" s="1194"/>
      <c r="Z196" s="1201"/>
      <c r="AA196" s="1193"/>
      <c r="AB196" s="1194"/>
      <c r="AC196" s="1201"/>
      <c r="AD196" s="1193"/>
      <c r="AE196" s="1194"/>
      <c r="AF196" s="1201"/>
      <c r="AG196" s="1193"/>
      <c r="AH196" s="1194"/>
      <c r="AI196" s="1195"/>
      <c r="AJ196" s="1193"/>
      <c r="AK196" s="1194"/>
      <c r="AL196" s="1195"/>
      <c r="AM196" s="1193"/>
      <c r="AN196" s="1194"/>
      <c r="AO196" s="1195"/>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3"/>
      <c r="D197" s="818">
        <v>4030435.9699999997</v>
      </c>
      <c r="E197" s="755">
        <v>2912896.3699999987</v>
      </c>
      <c r="F197" s="753"/>
      <c r="G197" s="818">
        <v>254802.63999999998</v>
      </c>
      <c r="H197" s="755">
        <v>184054.47000000003</v>
      </c>
      <c r="I197" s="753"/>
      <c r="J197" s="818">
        <v>256200.31999999998</v>
      </c>
      <c r="K197" s="755">
        <v>178542.3599999999</v>
      </c>
      <c r="L197" s="753"/>
      <c r="M197" s="818">
        <v>311810.16000000003</v>
      </c>
      <c r="N197" s="755">
        <v>219030.27999999994</v>
      </c>
      <c r="O197" s="753"/>
      <c r="P197" s="818">
        <v>377239.64</v>
      </c>
      <c r="Q197" s="755">
        <v>273401.67999999988</v>
      </c>
      <c r="R197" s="753"/>
      <c r="S197" s="818">
        <v>399826.57999999996</v>
      </c>
      <c r="T197" s="755">
        <v>284041.78000000003</v>
      </c>
      <c r="U197" s="753"/>
      <c r="V197" s="818">
        <v>317897.62999999983</v>
      </c>
      <c r="W197" s="1238">
        <v>226780.92999999988</v>
      </c>
      <c r="X197" s="753"/>
      <c r="Y197" s="818">
        <v>337642.79999999987</v>
      </c>
      <c r="Z197" s="1238">
        <v>241303.17999999996</v>
      </c>
      <c r="AA197" s="753"/>
      <c r="AB197" s="818">
        <v>333885.31</v>
      </c>
      <c r="AC197" s="1238">
        <v>239098.91999999987</v>
      </c>
      <c r="AD197" s="753"/>
      <c r="AE197" s="818">
        <v>347420.47999999986</v>
      </c>
      <c r="AF197" s="1238">
        <v>252513.41999999998</v>
      </c>
      <c r="AG197" s="753"/>
      <c r="AH197" s="818">
        <v>373690.97000000003</v>
      </c>
      <c r="AI197" s="755">
        <v>280788.15999999997</v>
      </c>
      <c r="AJ197" s="753"/>
      <c r="AK197" s="818">
        <v>427453.13</v>
      </c>
      <c r="AL197" s="755">
        <v>317609.00999999989</v>
      </c>
      <c r="AM197" s="753"/>
      <c r="AN197" s="818">
        <v>292566.31</v>
      </c>
      <c r="AO197" s="755">
        <v>215732.17999999991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56"/>
      <c r="D198" s="757"/>
      <c r="E198" s="819">
        <v>0.72272488427598047</v>
      </c>
      <c r="F198" s="756"/>
      <c r="G198" s="757"/>
      <c r="H198" s="819">
        <v>0.72234129913253664</v>
      </c>
      <c r="I198" s="756"/>
      <c r="J198" s="757"/>
      <c r="K198" s="819">
        <v>0.69688578062665929</v>
      </c>
      <c r="L198" s="756"/>
      <c r="M198" s="757"/>
      <c r="N198" s="819">
        <v>0.70244754051631908</v>
      </c>
      <c r="O198" s="756"/>
      <c r="P198" s="757"/>
      <c r="Q198" s="819">
        <v>0.72474271261630896</v>
      </c>
      <c r="R198" s="756"/>
      <c r="S198" s="757"/>
      <c r="T198" s="819">
        <v>0.71041244931740166</v>
      </c>
      <c r="U198" s="756"/>
      <c r="V198" s="757"/>
      <c r="W198" s="1259">
        <v>0.71337722775724999</v>
      </c>
      <c r="X198" s="756"/>
      <c r="Y198" s="757"/>
      <c r="Z198" s="1259">
        <v>0.71467000036725215</v>
      </c>
      <c r="AA198" s="756"/>
      <c r="AB198" s="757"/>
      <c r="AC198" s="1259">
        <v>0.71611093042697771</v>
      </c>
      <c r="AD198" s="756"/>
      <c r="AE198" s="757"/>
      <c r="AF198" s="1259">
        <v>0.72682364609017891</v>
      </c>
      <c r="AG198" s="756"/>
      <c r="AH198" s="757"/>
      <c r="AI198" s="819">
        <v>0.75139134349433157</v>
      </c>
      <c r="AJ198" s="756"/>
      <c r="AK198" s="757"/>
      <c r="AL198" s="819">
        <v>0.74302651614692794</v>
      </c>
      <c r="AM198" s="756"/>
      <c r="AN198" s="757"/>
      <c r="AO198" s="819">
        <v>0.73737875013701992</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59"/>
      <c r="D199" s="760"/>
      <c r="E199" s="820"/>
      <c r="F199" s="759"/>
      <c r="G199" s="760"/>
      <c r="H199" s="820"/>
      <c r="I199" s="759"/>
      <c r="J199" s="760"/>
      <c r="K199" s="820"/>
      <c r="L199" s="759"/>
      <c r="M199" s="760"/>
      <c r="N199" s="820"/>
      <c r="O199" s="759"/>
      <c r="P199" s="760"/>
      <c r="Q199" s="820"/>
      <c r="R199" s="759"/>
      <c r="S199" s="760"/>
      <c r="T199" s="820"/>
      <c r="U199" s="759"/>
      <c r="V199" s="760"/>
      <c r="W199" s="815"/>
      <c r="X199" s="759"/>
      <c r="Y199" s="760"/>
      <c r="Z199" s="815"/>
      <c r="AA199" s="759"/>
      <c r="AB199" s="760"/>
      <c r="AC199" s="815"/>
      <c r="AD199" s="759"/>
      <c r="AE199" s="760"/>
      <c r="AF199" s="815"/>
      <c r="AG199" s="759"/>
      <c r="AH199" s="760"/>
      <c r="AI199" s="820"/>
      <c r="AJ199" s="759"/>
      <c r="AK199" s="760"/>
      <c r="AL199" s="820"/>
      <c r="AM199" s="759"/>
      <c r="AN199" s="760"/>
      <c r="AO199" s="820"/>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4"/>
      <c r="D200" s="751"/>
      <c r="E200" s="745"/>
      <c r="F200" s="744"/>
      <c r="G200" s="751"/>
      <c r="H200" s="745"/>
      <c r="I200" s="744"/>
      <c r="J200" s="751"/>
      <c r="K200" s="745"/>
      <c r="L200" s="744"/>
      <c r="M200" s="751"/>
      <c r="N200" s="745"/>
      <c r="O200" s="744"/>
      <c r="P200" s="751"/>
      <c r="Q200" s="745"/>
      <c r="R200" s="744"/>
      <c r="S200" s="751"/>
      <c r="T200" s="745"/>
      <c r="U200" s="744"/>
      <c r="V200" s="751"/>
      <c r="W200" s="745"/>
      <c r="X200" s="744"/>
      <c r="Y200" s="751"/>
      <c r="Z200" s="745"/>
      <c r="AA200" s="744"/>
      <c r="AB200" s="751"/>
      <c r="AC200" s="745"/>
      <c r="AD200" s="744"/>
      <c r="AE200" s="751"/>
      <c r="AF200" s="745"/>
      <c r="AG200" s="744"/>
      <c r="AH200" s="751"/>
      <c r="AI200" s="745"/>
      <c r="AJ200" s="744"/>
      <c r="AK200" s="751"/>
      <c r="AL200" s="745"/>
      <c r="AM200" s="744"/>
      <c r="AN200" s="751"/>
      <c r="AO200" s="745"/>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4"/>
      <c r="D201" s="751"/>
      <c r="E201" s="765">
        <v>183673.44999999998</v>
      </c>
      <c r="F201" s="744"/>
      <c r="G201" s="751"/>
      <c r="H201" s="765">
        <v>14849.23</v>
      </c>
      <c r="I201" s="744"/>
      <c r="J201" s="751"/>
      <c r="K201" s="765">
        <v>14675.88</v>
      </c>
      <c r="L201" s="744"/>
      <c r="M201" s="751"/>
      <c r="N201" s="765">
        <v>17089</v>
      </c>
      <c r="O201" s="744"/>
      <c r="P201" s="751"/>
      <c r="Q201" s="765">
        <v>14201.22</v>
      </c>
      <c r="R201" s="744"/>
      <c r="S201" s="751"/>
      <c r="T201" s="765">
        <v>16126.1</v>
      </c>
      <c r="U201" s="744"/>
      <c r="V201" s="751"/>
      <c r="W201" s="765">
        <v>16198.75</v>
      </c>
      <c r="X201" s="744"/>
      <c r="Y201" s="751"/>
      <c r="Z201" s="765">
        <v>13348.82</v>
      </c>
      <c r="AA201" s="744"/>
      <c r="AB201" s="751"/>
      <c r="AC201" s="765">
        <v>15957.95</v>
      </c>
      <c r="AD201" s="744"/>
      <c r="AE201" s="751"/>
      <c r="AF201" s="765">
        <v>15047.38</v>
      </c>
      <c r="AG201" s="744"/>
      <c r="AH201" s="751"/>
      <c r="AI201" s="765">
        <v>16024.81</v>
      </c>
      <c r="AJ201" s="744"/>
      <c r="AK201" s="751"/>
      <c r="AL201" s="765">
        <v>13027.88</v>
      </c>
      <c r="AM201" s="744"/>
      <c r="AN201" s="751"/>
      <c r="AO201" s="1240">
        <v>17126.43</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4"/>
      <c r="D202" s="751"/>
      <c r="E202" s="765">
        <v>108261.98</v>
      </c>
      <c r="F202" s="744"/>
      <c r="G202" s="751"/>
      <c r="H202" s="765">
        <v>9106.5</v>
      </c>
      <c r="I202" s="744"/>
      <c r="J202" s="751"/>
      <c r="K202" s="765">
        <v>8467.49</v>
      </c>
      <c r="L202" s="744"/>
      <c r="M202" s="751"/>
      <c r="N202" s="765">
        <v>8555.6299999999992</v>
      </c>
      <c r="O202" s="744"/>
      <c r="P202" s="751"/>
      <c r="Q202" s="765">
        <v>7986.65</v>
      </c>
      <c r="R202" s="744"/>
      <c r="S202" s="751"/>
      <c r="T202" s="765">
        <v>6435.82</v>
      </c>
      <c r="U202" s="744"/>
      <c r="V202" s="751"/>
      <c r="W202" s="765">
        <v>8522.5</v>
      </c>
      <c r="X202" s="744"/>
      <c r="Y202" s="751"/>
      <c r="Z202" s="765">
        <v>8258.5</v>
      </c>
      <c r="AA202" s="744"/>
      <c r="AB202" s="751"/>
      <c r="AC202" s="765">
        <v>8950.11</v>
      </c>
      <c r="AD202" s="744"/>
      <c r="AE202" s="751"/>
      <c r="AF202" s="765">
        <v>11197.86</v>
      </c>
      <c r="AG202" s="744"/>
      <c r="AH202" s="751"/>
      <c r="AI202" s="765">
        <v>13008.31</v>
      </c>
      <c r="AJ202" s="744"/>
      <c r="AK202" s="751"/>
      <c r="AL202" s="765">
        <v>8512.83</v>
      </c>
      <c r="AM202" s="744"/>
      <c r="AN202" s="751"/>
      <c r="AO202" s="1240">
        <v>9259.7800000000007</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1142"/>
      <c r="D203" s="1160"/>
      <c r="E203" s="1162">
        <v>228367.15999999997</v>
      </c>
      <c r="F203" s="1142"/>
      <c r="G203" s="1160"/>
      <c r="H203" s="1162">
        <v>16262.27</v>
      </c>
      <c r="I203" s="1142"/>
      <c r="J203" s="1160"/>
      <c r="K203" s="1162">
        <v>14529.05</v>
      </c>
      <c r="L203" s="1142"/>
      <c r="M203" s="1160"/>
      <c r="N203" s="1162">
        <v>16309.16</v>
      </c>
      <c r="O203" s="1142"/>
      <c r="P203" s="1160"/>
      <c r="Q203" s="1162">
        <v>24058.41</v>
      </c>
      <c r="R203" s="1142"/>
      <c r="S203" s="1160"/>
      <c r="T203" s="1162">
        <v>23882.37</v>
      </c>
      <c r="U203" s="1142"/>
      <c r="V203" s="1160"/>
      <c r="W203" s="1162">
        <v>15014.9</v>
      </c>
      <c r="X203" s="1142"/>
      <c r="Y203" s="1160"/>
      <c r="Z203" s="1162">
        <v>14236.65</v>
      </c>
      <c r="AA203" s="1142"/>
      <c r="AB203" s="1160"/>
      <c r="AC203" s="1162">
        <v>16216.28</v>
      </c>
      <c r="AD203" s="1142"/>
      <c r="AE203" s="1160"/>
      <c r="AF203" s="1162">
        <v>17080.45</v>
      </c>
      <c r="AG203" s="1142"/>
      <c r="AH203" s="1160"/>
      <c r="AI203" s="1162">
        <v>24939.74</v>
      </c>
      <c r="AJ203" s="1142"/>
      <c r="AK203" s="1160"/>
      <c r="AL203" s="1162">
        <v>30609.24</v>
      </c>
      <c r="AM203" s="1142"/>
      <c r="AN203" s="1160"/>
      <c r="AO203" s="1243">
        <v>15228.64</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4"/>
      <c r="D204" s="751"/>
      <c r="E204" s="765">
        <v>274785.39</v>
      </c>
      <c r="F204" s="744"/>
      <c r="G204" s="751"/>
      <c r="H204" s="765">
        <v>15854.86</v>
      </c>
      <c r="I204" s="744"/>
      <c r="J204" s="751"/>
      <c r="K204" s="765">
        <v>14700.61</v>
      </c>
      <c r="L204" s="744"/>
      <c r="M204" s="751"/>
      <c r="N204" s="765">
        <v>16437.28</v>
      </c>
      <c r="O204" s="744"/>
      <c r="P204" s="751"/>
      <c r="Q204" s="765">
        <v>24877.040000000001</v>
      </c>
      <c r="R204" s="744"/>
      <c r="S204" s="751"/>
      <c r="T204" s="765">
        <v>30524.63</v>
      </c>
      <c r="U204" s="744"/>
      <c r="V204" s="751"/>
      <c r="W204" s="765">
        <v>23505.88</v>
      </c>
      <c r="X204" s="744"/>
      <c r="Y204" s="751"/>
      <c r="Z204" s="765">
        <v>23437.83</v>
      </c>
      <c r="AA204" s="744"/>
      <c r="AB204" s="751"/>
      <c r="AC204" s="765">
        <v>27254.48</v>
      </c>
      <c r="AD204" s="744"/>
      <c r="AE204" s="751"/>
      <c r="AF204" s="765">
        <v>20452.490000000002</v>
      </c>
      <c r="AG204" s="744"/>
      <c r="AH204" s="751"/>
      <c r="AI204" s="765">
        <v>30312.31</v>
      </c>
      <c r="AJ204" s="744"/>
      <c r="AK204" s="751"/>
      <c r="AL204" s="765">
        <v>32534.71</v>
      </c>
      <c r="AM204" s="744"/>
      <c r="AN204" s="751"/>
      <c r="AO204" s="1240">
        <v>14893.27</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4"/>
      <c r="D205" s="751"/>
      <c r="E205" s="765"/>
      <c r="F205" s="744"/>
      <c r="G205" s="751"/>
      <c r="H205" s="765"/>
      <c r="I205" s="744"/>
      <c r="J205" s="751"/>
      <c r="K205" s="765"/>
      <c r="L205" s="744"/>
      <c r="M205" s="751"/>
      <c r="N205" s="765"/>
      <c r="O205" s="744"/>
      <c r="P205" s="751"/>
      <c r="Q205" s="765"/>
      <c r="R205" s="744"/>
      <c r="S205" s="751"/>
      <c r="T205" s="765"/>
      <c r="U205" s="744"/>
      <c r="V205" s="751"/>
      <c r="W205" s="765"/>
      <c r="X205" s="744"/>
      <c r="Y205" s="751"/>
      <c r="Z205" s="765"/>
      <c r="AA205" s="744"/>
      <c r="AB205" s="751"/>
      <c r="AC205" s="765"/>
      <c r="AD205" s="744"/>
      <c r="AE205" s="751"/>
      <c r="AF205" s="765"/>
      <c r="AG205" s="744"/>
      <c r="AH205" s="751"/>
      <c r="AI205" s="765"/>
      <c r="AJ205" s="744"/>
      <c r="AK205" s="751"/>
      <c r="AL205" s="765"/>
      <c r="AM205" s="744"/>
      <c r="AN205" s="751"/>
      <c r="AO205" s="1240"/>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4"/>
      <c r="D206" s="751"/>
      <c r="E206" s="765"/>
      <c r="F206" s="744"/>
      <c r="G206" s="751"/>
      <c r="H206" s="765"/>
      <c r="I206" s="744"/>
      <c r="J206" s="751"/>
      <c r="K206" s="765"/>
      <c r="L206" s="744"/>
      <c r="M206" s="751"/>
      <c r="N206" s="765"/>
      <c r="O206" s="744"/>
      <c r="P206" s="751"/>
      <c r="Q206" s="765"/>
      <c r="R206" s="744"/>
      <c r="S206" s="751"/>
      <c r="T206" s="765"/>
      <c r="U206" s="744"/>
      <c r="V206" s="751"/>
      <c r="W206" s="765"/>
      <c r="X206" s="744"/>
      <c r="Y206" s="751"/>
      <c r="Z206" s="765"/>
      <c r="AA206" s="744"/>
      <c r="AB206" s="751"/>
      <c r="AC206" s="765"/>
      <c r="AD206" s="744"/>
      <c r="AE206" s="751"/>
      <c r="AF206" s="765"/>
      <c r="AG206" s="744"/>
      <c r="AH206" s="751"/>
      <c r="AI206" s="765"/>
      <c r="AJ206" s="744"/>
      <c r="AK206" s="751"/>
      <c r="AL206" s="765"/>
      <c r="AM206" s="744"/>
      <c r="AN206" s="751"/>
      <c r="AO206" s="1240"/>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4"/>
      <c r="D207" s="751"/>
      <c r="E207" s="765"/>
      <c r="F207" s="744"/>
      <c r="G207" s="751"/>
      <c r="H207" s="765"/>
      <c r="I207" s="744"/>
      <c r="J207" s="751"/>
      <c r="K207" s="765"/>
      <c r="L207" s="744"/>
      <c r="M207" s="751"/>
      <c r="N207" s="765"/>
      <c r="O207" s="744"/>
      <c r="P207" s="751"/>
      <c r="Q207" s="765"/>
      <c r="R207" s="744"/>
      <c r="S207" s="751"/>
      <c r="T207" s="765"/>
      <c r="U207" s="744"/>
      <c r="V207" s="751"/>
      <c r="W207" s="765"/>
      <c r="X207" s="744"/>
      <c r="Y207" s="751"/>
      <c r="Z207" s="765"/>
      <c r="AA207" s="744"/>
      <c r="AB207" s="751"/>
      <c r="AC207" s="765"/>
      <c r="AD207" s="744"/>
      <c r="AE207" s="751"/>
      <c r="AF207" s="765"/>
      <c r="AG207" s="744"/>
      <c r="AH207" s="751"/>
      <c r="AI207" s="765"/>
      <c r="AJ207" s="744"/>
      <c r="AK207" s="751"/>
      <c r="AL207" s="765"/>
      <c r="AM207" s="744"/>
      <c r="AN207" s="751"/>
      <c r="AO207" s="1240"/>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4"/>
      <c r="D208" s="751"/>
      <c r="E208" s="765">
        <v>196239.24</v>
      </c>
      <c r="F208" s="744"/>
      <c r="G208" s="751"/>
      <c r="H208" s="765">
        <v>15632.41</v>
      </c>
      <c r="I208" s="744"/>
      <c r="J208" s="751"/>
      <c r="K208" s="765">
        <v>12747.9</v>
      </c>
      <c r="L208" s="744"/>
      <c r="M208" s="751"/>
      <c r="N208" s="765">
        <v>13993.31</v>
      </c>
      <c r="O208" s="744"/>
      <c r="P208" s="751"/>
      <c r="Q208" s="765">
        <v>17889.96</v>
      </c>
      <c r="R208" s="744"/>
      <c r="S208" s="751"/>
      <c r="T208" s="765">
        <v>20248.400000000001</v>
      </c>
      <c r="U208" s="744"/>
      <c r="V208" s="751"/>
      <c r="W208" s="765">
        <v>15666.38</v>
      </c>
      <c r="X208" s="744"/>
      <c r="Y208" s="751"/>
      <c r="Z208" s="765">
        <v>15719.95</v>
      </c>
      <c r="AA208" s="744"/>
      <c r="AB208" s="751"/>
      <c r="AC208" s="765">
        <v>15814.18</v>
      </c>
      <c r="AD208" s="744"/>
      <c r="AE208" s="751"/>
      <c r="AF208" s="765">
        <v>13494.11</v>
      </c>
      <c r="AG208" s="744"/>
      <c r="AH208" s="751"/>
      <c r="AI208" s="765">
        <v>20141.89</v>
      </c>
      <c r="AJ208" s="744"/>
      <c r="AK208" s="751"/>
      <c r="AL208" s="765">
        <v>20321.88</v>
      </c>
      <c r="AM208" s="744"/>
      <c r="AN208" s="751"/>
      <c r="AO208" s="1240">
        <v>14568.87</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1142"/>
      <c r="D209" s="1160"/>
      <c r="E209" s="1162">
        <v>245070.75</v>
      </c>
      <c r="F209" s="1142"/>
      <c r="G209" s="1160"/>
      <c r="H209" s="1162">
        <v>18756.32</v>
      </c>
      <c r="I209" s="1142"/>
      <c r="J209" s="1160"/>
      <c r="K209" s="1162">
        <v>15622.95</v>
      </c>
      <c r="L209" s="1142"/>
      <c r="M209" s="1160"/>
      <c r="N209" s="1162">
        <v>16705.810000000001</v>
      </c>
      <c r="O209" s="1142"/>
      <c r="P209" s="1160"/>
      <c r="Q209" s="1162">
        <v>22915.759999999998</v>
      </c>
      <c r="R209" s="1142"/>
      <c r="S209" s="1160"/>
      <c r="T209" s="1162">
        <v>24326.74</v>
      </c>
      <c r="U209" s="1142"/>
      <c r="V209" s="1160"/>
      <c r="W209" s="1162">
        <v>19320.64</v>
      </c>
      <c r="X209" s="1142"/>
      <c r="Y209" s="1160"/>
      <c r="Z209" s="1162">
        <v>19588.689999999999</v>
      </c>
      <c r="AA209" s="1142"/>
      <c r="AB209" s="1160"/>
      <c r="AC209" s="1162">
        <v>19763.599999999999</v>
      </c>
      <c r="AD209" s="1142"/>
      <c r="AE209" s="1160"/>
      <c r="AF209" s="1162">
        <v>16543.66</v>
      </c>
      <c r="AG209" s="1142"/>
      <c r="AH209" s="1160"/>
      <c r="AI209" s="1162">
        <v>24695.16</v>
      </c>
      <c r="AJ209" s="1142"/>
      <c r="AK209" s="1160"/>
      <c r="AL209" s="1162">
        <v>28350.55</v>
      </c>
      <c r="AM209" s="1142"/>
      <c r="AN209" s="1160"/>
      <c r="AO209" s="1243">
        <v>18480.87</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4"/>
      <c r="D210" s="751"/>
      <c r="E210" s="765">
        <v>124140.50999999997</v>
      </c>
      <c r="F210" s="744"/>
      <c r="G210" s="751"/>
      <c r="H210" s="765">
        <v>9703.1299999999992</v>
      </c>
      <c r="I210" s="744"/>
      <c r="J210" s="751"/>
      <c r="K210" s="765">
        <v>8530.35</v>
      </c>
      <c r="L210" s="744"/>
      <c r="M210" s="751"/>
      <c r="N210" s="765">
        <v>8464.64</v>
      </c>
      <c r="O210" s="744"/>
      <c r="P210" s="751"/>
      <c r="Q210" s="765">
        <v>11908.5</v>
      </c>
      <c r="R210" s="744"/>
      <c r="S210" s="751"/>
      <c r="T210" s="765">
        <v>12104.1</v>
      </c>
      <c r="U210" s="744"/>
      <c r="V210" s="751"/>
      <c r="W210" s="765">
        <v>9714.61</v>
      </c>
      <c r="X210" s="744"/>
      <c r="Y210" s="751"/>
      <c r="Z210" s="765">
        <v>9363.9599999999991</v>
      </c>
      <c r="AA210" s="744"/>
      <c r="AB210" s="751"/>
      <c r="AC210" s="765">
        <v>11229.07</v>
      </c>
      <c r="AD210" s="744"/>
      <c r="AE210" s="751"/>
      <c r="AF210" s="765">
        <v>7246.2999999999902</v>
      </c>
      <c r="AG210" s="744"/>
      <c r="AH210" s="751"/>
      <c r="AI210" s="765">
        <v>12507.22</v>
      </c>
      <c r="AJ210" s="744"/>
      <c r="AK210" s="751"/>
      <c r="AL210" s="765">
        <v>14431.68</v>
      </c>
      <c r="AM210" s="744"/>
      <c r="AN210" s="751"/>
      <c r="AO210" s="1240">
        <v>8936.9500000000007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4"/>
      <c r="D211" s="751"/>
      <c r="E211" s="765">
        <v>50164.719999999994</v>
      </c>
      <c r="F211" s="744"/>
      <c r="G211" s="751"/>
      <c r="H211" s="765">
        <v>4046.96</v>
      </c>
      <c r="I211" s="744"/>
      <c r="J211" s="751"/>
      <c r="K211" s="765">
        <v>4013.11</v>
      </c>
      <c r="L211" s="744"/>
      <c r="M211" s="751"/>
      <c r="N211" s="765">
        <v>3790.27</v>
      </c>
      <c r="O211" s="744"/>
      <c r="P211" s="751"/>
      <c r="Q211" s="765">
        <v>4529.1000000000004</v>
      </c>
      <c r="R211" s="744"/>
      <c r="S211" s="751"/>
      <c r="T211" s="765">
        <v>4882.72</v>
      </c>
      <c r="U211" s="744"/>
      <c r="V211" s="751"/>
      <c r="W211" s="765">
        <v>3839.48</v>
      </c>
      <c r="X211" s="744"/>
      <c r="Y211" s="751"/>
      <c r="Z211" s="765">
        <v>4356.6099999999997</v>
      </c>
      <c r="AA211" s="744"/>
      <c r="AB211" s="751"/>
      <c r="AC211" s="765">
        <v>4409.13</v>
      </c>
      <c r="AD211" s="744"/>
      <c r="AE211" s="751"/>
      <c r="AF211" s="765">
        <v>3495.07</v>
      </c>
      <c r="AG211" s="744"/>
      <c r="AH211" s="751"/>
      <c r="AI211" s="765">
        <v>5100.5</v>
      </c>
      <c r="AJ211" s="744"/>
      <c r="AK211" s="751"/>
      <c r="AL211" s="765">
        <v>3594.32</v>
      </c>
      <c r="AM211" s="744"/>
      <c r="AN211" s="751"/>
      <c r="AO211" s="1240">
        <v>4107.45</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0"/>
      <c r="D212" s="771"/>
      <c r="E212" s="768"/>
      <c r="F212" s="770"/>
      <c r="G212" s="771"/>
      <c r="H212" s="768"/>
      <c r="I212" s="770"/>
      <c r="J212" s="771"/>
      <c r="K212" s="768"/>
      <c r="L212" s="770"/>
      <c r="M212" s="771"/>
      <c r="N212" s="768"/>
      <c r="O212" s="770"/>
      <c r="P212" s="771"/>
      <c r="Q212" s="768"/>
      <c r="R212" s="770"/>
      <c r="S212" s="771"/>
      <c r="T212" s="768"/>
      <c r="U212" s="770"/>
      <c r="V212" s="771"/>
      <c r="W212" s="768"/>
      <c r="X212" s="770"/>
      <c r="Y212" s="771"/>
      <c r="Z212" s="768"/>
      <c r="AA212" s="770"/>
      <c r="AB212" s="771"/>
      <c r="AC212" s="768"/>
      <c r="AD212" s="770"/>
      <c r="AE212" s="771"/>
      <c r="AF212" s="768"/>
      <c r="AG212" s="770"/>
      <c r="AH212" s="771"/>
      <c r="AI212" s="768"/>
      <c r="AJ212" s="770"/>
      <c r="AK212" s="771"/>
      <c r="AL212" s="768"/>
      <c r="AM212" s="770"/>
      <c r="AN212" s="771"/>
      <c r="AO212" s="768"/>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1155" t="s">
        <v>175</v>
      </c>
      <c r="D213" s="1156">
        <v>0.48429570462199467</v>
      </c>
      <c r="E213" s="1157">
        <v>1410703.2</v>
      </c>
      <c r="F213" s="1155" t="s">
        <v>175</v>
      </c>
      <c r="G213" s="1156">
        <v>0</v>
      </c>
      <c r="H213" s="1157">
        <v>104211.68000000001</v>
      </c>
      <c r="I213" s="1155" t="s">
        <v>175</v>
      </c>
      <c r="J213" s="1156">
        <v>0</v>
      </c>
      <c r="K213" s="1157">
        <v>93287.340000000011</v>
      </c>
      <c r="L213" s="1155" t="s">
        <v>175</v>
      </c>
      <c r="M213" s="1156">
        <v>0</v>
      </c>
      <c r="N213" s="1157">
        <v>101345.09999999999</v>
      </c>
      <c r="O213" s="1155" t="s">
        <v>175</v>
      </c>
      <c r="P213" s="1156">
        <v>0</v>
      </c>
      <c r="Q213" s="1157">
        <v>128366.64</v>
      </c>
      <c r="R213" s="1155" t="s">
        <v>175</v>
      </c>
      <c r="S213" s="1156">
        <v>0</v>
      </c>
      <c r="T213" s="1157">
        <v>138530.88</v>
      </c>
      <c r="U213" s="1155" t="s">
        <v>175</v>
      </c>
      <c r="V213" s="1156">
        <v>0</v>
      </c>
      <c r="W213" s="1242">
        <v>111783.14</v>
      </c>
      <c r="X213" s="1155" t="s">
        <v>175</v>
      </c>
      <c r="Y213" s="1156">
        <v>0</v>
      </c>
      <c r="Z213" s="1242">
        <v>108311.01</v>
      </c>
      <c r="AA213" s="1155" t="s">
        <v>175</v>
      </c>
      <c r="AB213" s="1156">
        <v>0</v>
      </c>
      <c r="AC213" s="1242">
        <v>119594.80000000002</v>
      </c>
      <c r="AD213" s="1155" t="s">
        <v>175</v>
      </c>
      <c r="AE213" s="1156">
        <v>0</v>
      </c>
      <c r="AF213" s="1242">
        <v>104557.32</v>
      </c>
      <c r="AG213" s="1155" t="s">
        <v>175</v>
      </c>
      <c r="AH213" s="1156">
        <v>0</v>
      </c>
      <c r="AI213" s="1157">
        <v>146729.94</v>
      </c>
      <c r="AJ213" s="1155" t="s">
        <v>175</v>
      </c>
      <c r="AK213" s="1156">
        <v>0</v>
      </c>
      <c r="AL213" s="1157">
        <v>151383.09</v>
      </c>
      <c r="AM213" s="1155" t="s">
        <v>175</v>
      </c>
      <c r="AN213" s="1156">
        <v>0</v>
      </c>
      <c r="AO213" s="1157">
        <v>102602.25999999998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4"/>
      <c r="D214" s="751"/>
      <c r="E214" s="765">
        <v>149360.56999999998</v>
      </c>
      <c r="F214" s="744"/>
      <c r="G214" s="751"/>
      <c r="H214" s="765">
        <v>15287.83</v>
      </c>
      <c r="I214" s="744"/>
      <c r="J214" s="751"/>
      <c r="K214" s="765">
        <v>10924.02</v>
      </c>
      <c r="L214" s="744"/>
      <c r="M214" s="751"/>
      <c r="N214" s="765">
        <v>13734.02</v>
      </c>
      <c r="O214" s="744"/>
      <c r="P214" s="751"/>
      <c r="Q214" s="765">
        <v>20858.59</v>
      </c>
      <c r="R214" s="744"/>
      <c r="S214" s="751"/>
      <c r="T214" s="765">
        <v>15357.7</v>
      </c>
      <c r="U214" s="744"/>
      <c r="V214" s="751"/>
      <c r="W214" s="765">
        <v>10453.17</v>
      </c>
      <c r="X214" s="744"/>
      <c r="Y214" s="751"/>
      <c r="Z214" s="765">
        <v>10953.22</v>
      </c>
      <c r="AA214" s="744"/>
      <c r="AB214" s="751"/>
      <c r="AC214" s="765">
        <v>11626.62</v>
      </c>
      <c r="AD214" s="744"/>
      <c r="AE214" s="751"/>
      <c r="AF214" s="765">
        <v>7362.47</v>
      </c>
      <c r="AG214" s="744"/>
      <c r="AH214" s="751"/>
      <c r="AI214" s="765">
        <v>10327.75</v>
      </c>
      <c r="AJ214" s="744"/>
      <c r="AK214" s="751"/>
      <c r="AL214" s="765">
        <v>15120.44</v>
      </c>
      <c r="AM214" s="744"/>
      <c r="AN214" s="751"/>
      <c r="AO214" s="1240">
        <v>7354.74</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4"/>
      <c r="D215" s="751"/>
      <c r="E215" s="765">
        <v>39169.07999999998</v>
      </c>
      <c r="F215" s="744"/>
      <c r="G215" s="751"/>
      <c r="H215" s="765">
        <v>1820.45</v>
      </c>
      <c r="I215" s="744"/>
      <c r="J215" s="751"/>
      <c r="K215" s="765">
        <v>3416.5899999999901</v>
      </c>
      <c r="L215" s="744"/>
      <c r="M215" s="751"/>
      <c r="N215" s="765">
        <v>4779.6099999999997</v>
      </c>
      <c r="O215" s="744"/>
      <c r="P215" s="751"/>
      <c r="Q215" s="765">
        <v>3861.29</v>
      </c>
      <c r="R215" s="744"/>
      <c r="S215" s="751"/>
      <c r="T215" s="765">
        <v>4586.43</v>
      </c>
      <c r="U215" s="744"/>
      <c r="V215" s="751"/>
      <c r="W215" s="765">
        <v>4147.28</v>
      </c>
      <c r="X215" s="744"/>
      <c r="Y215" s="751"/>
      <c r="Z215" s="765">
        <v>1302.06</v>
      </c>
      <c r="AA215" s="744"/>
      <c r="AB215" s="751"/>
      <c r="AC215" s="765">
        <v>4457.92</v>
      </c>
      <c r="AD215" s="744"/>
      <c r="AE215" s="751"/>
      <c r="AF215" s="765">
        <v>2261.8000000000002</v>
      </c>
      <c r="AG215" s="744"/>
      <c r="AH215" s="751"/>
      <c r="AI215" s="765">
        <v>3001.7999999999902</v>
      </c>
      <c r="AJ215" s="744"/>
      <c r="AK215" s="751"/>
      <c r="AL215" s="765">
        <v>3537.33</v>
      </c>
      <c r="AM215" s="744"/>
      <c r="AN215" s="751"/>
      <c r="AO215" s="1240">
        <v>1996.52</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0"/>
      <c r="D216" s="771"/>
      <c r="E216" s="769">
        <v>142035.80000000002</v>
      </c>
      <c r="F216" s="770"/>
      <c r="G216" s="771"/>
      <c r="H216" s="769">
        <v>5402.51</v>
      </c>
      <c r="I216" s="770"/>
      <c r="J216" s="771"/>
      <c r="K216" s="769">
        <v>9690.11</v>
      </c>
      <c r="L216" s="770"/>
      <c r="M216" s="771"/>
      <c r="N216" s="769">
        <v>10165.459999999999</v>
      </c>
      <c r="O216" s="770"/>
      <c r="P216" s="771"/>
      <c r="Q216" s="769">
        <v>12388.42</v>
      </c>
      <c r="R216" s="770"/>
      <c r="S216" s="771"/>
      <c r="T216" s="769">
        <v>12345.56</v>
      </c>
      <c r="U216" s="770"/>
      <c r="V216" s="771"/>
      <c r="W216" s="769">
        <v>10331.08</v>
      </c>
      <c r="X216" s="770"/>
      <c r="Y216" s="771"/>
      <c r="Z216" s="769">
        <v>12916.71</v>
      </c>
      <c r="AA216" s="770"/>
      <c r="AB216" s="771"/>
      <c r="AC216" s="769">
        <v>7819.27</v>
      </c>
      <c r="AD216" s="770"/>
      <c r="AE216" s="771"/>
      <c r="AF216" s="769">
        <v>15661.24</v>
      </c>
      <c r="AG216" s="770"/>
      <c r="AH216" s="771"/>
      <c r="AI216" s="769">
        <v>15650.98</v>
      </c>
      <c r="AJ216" s="770"/>
      <c r="AK216" s="771"/>
      <c r="AL216" s="769">
        <v>17276.77</v>
      </c>
      <c r="AM216" s="770"/>
      <c r="AN216" s="771"/>
      <c r="AO216" s="1241">
        <v>12387.69</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4"/>
      <c r="D217" s="751"/>
      <c r="E217" s="765">
        <v>62524.26</v>
      </c>
      <c r="F217" s="744"/>
      <c r="G217" s="751"/>
      <c r="H217" s="765">
        <v>4471.2299999999996</v>
      </c>
      <c r="I217" s="744"/>
      <c r="J217" s="751"/>
      <c r="K217" s="765">
        <v>5191.2</v>
      </c>
      <c r="L217" s="744"/>
      <c r="M217" s="751"/>
      <c r="N217" s="765">
        <v>5301.19</v>
      </c>
      <c r="O217" s="744"/>
      <c r="P217" s="751"/>
      <c r="Q217" s="765">
        <v>4747.1400000000003</v>
      </c>
      <c r="R217" s="744"/>
      <c r="S217" s="751"/>
      <c r="T217" s="765">
        <v>6920.01</v>
      </c>
      <c r="U217" s="744"/>
      <c r="V217" s="751"/>
      <c r="W217" s="765">
        <v>4784.91</v>
      </c>
      <c r="X217" s="744"/>
      <c r="Y217" s="751"/>
      <c r="Z217" s="765">
        <v>5080.0200000000004</v>
      </c>
      <c r="AA217" s="744"/>
      <c r="AB217" s="751"/>
      <c r="AC217" s="765">
        <v>5210.01</v>
      </c>
      <c r="AD217" s="744"/>
      <c r="AE217" s="751"/>
      <c r="AF217" s="765">
        <v>4887.62</v>
      </c>
      <c r="AG217" s="744"/>
      <c r="AH217" s="751"/>
      <c r="AI217" s="765">
        <v>4509.63</v>
      </c>
      <c r="AJ217" s="744"/>
      <c r="AK217" s="751"/>
      <c r="AL217" s="765">
        <v>4199.25</v>
      </c>
      <c r="AM217" s="744"/>
      <c r="AN217" s="751"/>
      <c r="AO217" s="1240">
        <v>7222.05</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4"/>
      <c r="D218" s="751"/>
      <c r="E218" s="765">
        <v>15061.8</v>
      </c>
      <c r="F218" s="744"/>
      <c r="G218" s="751"/>
      <c r="H218" s="765">
        <v>1484.44</v>
      </c>
      <c r="I218" s="744"/>
      <c r="J218" s="751"/>
      <c r="K218" s="765">
        <v>699.39</v>
      </c>
      <c r="L218" s="744"/>
      <c r="M218" s="751"/>
      <c r="N218" s="765">
        <v>713.23</v>
      </c>
      <c r="O218" s="744"/>
      <c r="P218" s="751"/>
      <c r="Q218" s="765">
        <v>2197.58</v>
      </c>
      <c r="R218" s="744"/>
      <c r="S218" s="751"/>
      <c r="T218" s="765">
        <v>1292</v>
      </c>
      <c r="U218" s="744"/>
      <c r="V218" s="751"/>
      <c r="W218" s="765">
        <v>1689.72</v>
      </c>
      <c r="X218" s="744"/>
      <c r="Y218" s="751"/>
      <c r="Z218" s="765">
        <v>669.31</v>
      </c>
      <c r="AA218" s="744"/>
      <c r="AB218" s="751"/>
      <c r="AC218" s="765">
        <v>844.56</v>
      </c>
      <c r="AD218" s="744"/>
      <c r="AE218" s="751"/>
      <c r="AF218" s="765">
        <v>638.63</v>
      </c>
      <c r="AG218" s="744"/>
      <c r="AH218" s="751"/>
      <c r="AI218" s="765">
        <v>1794.7</v>
      </c>
      <c r="AJ218" s="744"/>
      <c r="AK218" s="751"/>
      <c r="AL218" s="765">
        <v>1303.33</v>
      </c>
      <c r="AM218" s="744"/>
      <c r="AN218" s="751"/>
      <c r="AO218" s="1240">
        <v>1734.91</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0"/>
      <c r="D219" s="771"/>
      <c r="E219" s="769">
        <v>189362.94999999998</v>
      </c>
      <c r="F219" s="770"/>
      <c r="G219" s="771"/>
      <c r="H219" s="769">
        <v>12092.22</v>
      </c>
      <c r="I219" s="770"/>
      <c r="J219" s="771"/>
      <c r="K219" s="769">
        <v>15317.24</v>
      </c>
      <c r="L219" s="770"/>
      <c r="M219" s="771"/>
      <c r="N219" s="769">
        <v>17978.91</v>
      </c>
      <c r="O219" s="770"/>
      <c r="P219" s="771"/>
      <c r="Q219" s="769">
        <v>16230.76</v>
      </c>
      <c r="R219" s="770"/>
      <c r="S219" s="771"/>
      <c r="T219" s="769">
        <v>17314.099999999999</v>
      </c>
      <c r="U219" s="770"/>
      <c r="V219" s="771"/>
      <c r="W219" s="769">
        <v>12639.85</v>
      </c>
      <c r="X219" s="770"/>
      <c r="Y219" s="771"/>
      <c r="Z219" s="769">
        <v>18251.97</v>
      </c>
      <c r="AA219" s="770"/>
      <c r="AB219" s="771"/>
      <c r="AC219" s="769">
        <v>13899.75</v>
      </c>
      <c r="AD219" s="770"/>
      <c r="AE219" s="771"/>
      <c r="AF219" s="769">
        <v>14265.64</v>
      </c>
      <c r="AG219" s="770"/>
      <c r="AH219" s="771"/>
      <c r="AI219" s="769">
        <v>18700.53</v>
      </c>
      <c r="AJ219" s="770"/>
      <c r="AK219" s="771"/>
      <c r="AL219" s="769">
        <v>18392.89</v>
      </c>
      <c r="AM219" s="770"/>
      <c r="AN219" s="771"/>
      <c r="AO219" s="1241">
        <v>14279.09</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4"/>
      <c r="D220" s="751"/>
      <c r="E220" s="765">
        <v>0</v>
      </c>
      <c r="F220" s="744"/>
      <c r="G220" s="751"/>
      <c r="H220" s="765">
        <v>0</v>
      </c>
      <c r="I220" s="744"/>
      <c r="J220" s="751"/>
      <c r="K220" s="765">
        <v>0</v>
      </c>
      <c r="L220" s="744"/>
      <c r="M220" s="751"/>
      <c r="N220" s="765">
        <v>0</v>
      </c>
      <c r="O220" s="744"/>
      <c r="P220" s="751"/>
      <c r="Q220" s="765">
        <v>0</v>
      </c>
      <c r="R220" s="744"/>
      <c r="S220" s="751"/>
      <c r="T220" s="765">
        <v>0</v>
      </c>
      <c r="U220" s="744"/>
      <c r="V220" s="751"/>
      <c r="W220" s="765">
        <v>0</v>
      </c>
      <c r="X220" s="744"/>
      <c r="Y220" s="751"/>
      <c r="Z220" s="765">
        <v>0</v>
      </c>
      <c r="AA220" s="744"/>
      <c r="AB220" s="751"/>
      <c r="AC220" s="765">
        <v>0</v>
      </c>
      <c r="AD220" s="744"/>
      <c r="AE220" s="751"/>
      <c r="AF220" s="765">
        <v>0</v>
      </c>
      <c r="AG220" s="744"/>
      <c r="AH220" s="751"/>
      <c r="AI220" s="765">
        <v>0</v>
      </c>
      <c r="AJ220" s="744"/>
      <c r="AK220" s="751"/>
      <c r="AL220" s="765">
        <v>0</v>
      </c>
      <c r="AM220" s="744"/>
      <c r="AN220" s="751"/>
      <c r="AO220" s="1240">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4"/>
      <c r="D221" s="751"/>
      <c r="E221" s="765">
        <v>53124.46</v>
      </c>
      <c r="F221" s="744"/>
      <c r="G221" s="751"/>
      <c r="H221" s="765">
        <v>3709.05</v>
      </c>
      <c r="I221" s="744"/>
      <c r="J221" s="751"/>
      <c r="K221" s="765">
        <v>6854.16</v>
      </c>
      <c r="L221" s="744"/>
      <c r="M221" s="751"/>
      <c r="N221" s="765">
        <v>4593.95</v>
      </c>
      <c r="O221" s="744"/>
      <c r="P221" s="751"/>
      <c r="Q221" s="765">
        <v>5855.42</v>
      </c>
      <c r="R221" s="744"/>
      <c r="S221" s="751"/>
      <c r="T221" s="765">
        <v>6967.67</v>
      </c>
      <c r="U221" s="744"/>
      <c r="V221" s="751"/>
      <c r="W221" s="765">
        <v>1955.12</v>
      </c>
      <c r="X221" s="744"/>
      <c r="Y221" s="751"/>
      <c r="Z221" s="765">
        <v>3095.58</v>
      </c>
      <c r="AA221" s="744"/>
      <c r="AB221" s="751"/>
      <c r="AC221" s="765">
        <v>7129.03</v>
      </c>
      <c r="AD221" s="744"/>
      <c r="AE221" s="751"/>
      <c r="AF221" s="765">
        <v>4463.1000000000004</v>
      </c>
      <c r="AG221" s="744"/>
      <c r="AH221" s="751"/>
      <c r="AI221" s="765">
        <v>4281.8</v>
      </c>
      <c r="AJ221" s="744"/>
      <c r="AK221" s="751"/>
      <c r="AL221" s="765">
        <v>2198</v>
      </c>
      <c r="AM221" s="744"/>
      <c r="AN221" s="751"/>
      <c r="AO221" s="1240">
        <v>2021.58</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4"/>
      <c r="D222" s="751"/>
      <c r="E222" s="765">
        <v>9617.7300000000014</v>
      </c>
      <c r="F222" s="744"/>
      <c r="G222" s="751"/>
      <c r="H222" s="765">
        <v>578.16999999999996</v>
      </c>
      <c r="I222" s="744"/>
      <c r="J222" s="751"/>
      <c r="K222" s="765">
        <v>605.89</v>
      </c>
      <c r="L222" s="744"/>
      <c r="M222" s="751"/>
      <c r="N222" s="765">
        <v>510.87</v>
      </c>
      <c r="O222" s="744"/>
      <c r="P222" s="751"/>
      <c r="Q222" s="765">
        <v>793.22</v>
      </c>
      <c r="R222" s="744"/>
      <c r="S222" s="751"/>
      <c r="T222" s="765">
        <v>785.83</v>
      </c>
      <c r="U222" s="744"/>
      <c r="V222" s="751"/>
      <c r="W222" s="765">
        <v>1429.5</v>
      </c>
      <c r="X222" s="744"/>
      <c r="Y222" s="751"/>
      <c r="Z222" s="765">
        <v>699.73</v>
      </c>
      <c r="AA222" s="744"/>
      <c r="AB222" s="751"/>
      <c r="AC222" s="765">
        <v>1109.3</v>
      </c>
      <c r="AD222" s="744"/>
      <c r="AE222" s="751"/>
      <c r="AF222" s="765">
        <v>1000.92</v>
      </c>
      <c r="AG222" s="744"/>
      <c r="AH222" s="751"/>
      <c r="AI222" s="765">
        <v>798.57</v>
      </c>
      <c r="AJ222" s="744"/>
      <c r="AK222" s="751"/>
      <c r="AL222" s="765">
        <v>373.79</v>
      </c>
      <c r="AM222" s="744"/>
      <c r="AN222" s="751"/>
      <c r="AO222" s="1240">
        <v>931.94</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4"/>
      <c r="D223" s="751"/>
      <c r="E223" s="765">
        <v>9465.39</v>
      </c>
      <c r="F223" s="744"/>
      <c r="G223" s="751"/>
      <c r="H223" s="765">
        <v>121.3</v>
      </c>
      <c r="I223" s="744"/>
      <c r="J223" s="751"/>
      <c r="K223" s="765">
        <v>781.46</v>
      </c>
      <c r="L223" s="744"/>
      <c r="M223" s="751"/>
      <c r="N223" s="765">
        <v>1332.33</v>
      </c>
      <c r="O223" s="744"/>
      <c r="P223" s="751"/>
      <c r="Q223" s="765">
        <v>43.61</v>
      </c>
      <c r="R223" s="744"/>
      <c r="S223" s="751"/>
      <c r="T223" s="765">
        <v>785.52</v>
      </c>
      <c r="U223" s="744"/>
      <c r="V223" s="751"/>
      <c r="W223" s="765">
        <v>498.88</v>
      </c>
      <c r="X223" s="744"/>
      <c r="Y223" s="751"/>
      <c r="Z223" s="765">
        <v>2994.06</v>
      </c>
      <c r="AA223" s="744"/>
      <c r="AB223" s="751"/>
      <c r="AC223" s="765">
        <v>1223.07</v>
      </c>
      <c r="AD223" s="744"/>
      <c r="AE223" s="751"/>
      <c r="AF223" s="765">
        <v>224.65</v>
      </c>
      <c r="AG223" s="744"/>
      <c r="AH223" s="751"/>
      <c r="AI223" s="765">
        <v>44.21</v>
      </c>
      <c r="AJ223" s="744"/>
      <c r="AK223" s="751"/>
      <c r="AL223" s="765">
        <v>1099.77</v>
      </c>
      <c r="AM223" s="744"/>
      <c r="AN223" s="751"/>
      <c r="AO223" s="1240">
        <v>316.52999999999997</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4"/>
      <c r="D224" s="751"/>
      <c r="E224" s="765">
        <v>2572.5700000000002</v>
      </c>
      <c r="F224" s="744"/>
      <c r="G224" s="751"/>
      <c r="H224" s="765">
        <v>263.5</v>
      </c>
      <c r="I224" s="744"/>
      <c r="J224" s="751"/>
      <c r="K224" s="765">
        <v>226.91</v>
      </c>
      <c r="L224" s="744"/>
      <c r="M224" s="751"/>
      <c r="N224" s="765">
        <v>194.74</v>
      </c>
      <c r="O224" s="744"/>
      <c r="P224" s="751"/>
      <c r="Q224" s="765">
        <v>201.64</v>
      </c>
      <c r="R224" s="744"/>
      <c r="S224" s="751"/>
      <c r="T224" s="765">
        <v>223.36</v>
      </c>
      <c r="U224" s="744"/>
      <c r="V224" s="751"/>
      <c r="W224" s="765">
        <v>189.37</v>
      </c>
      <c r="X224" s="744"/>
      <c r="Y224" s="751"/>
      <c r="Z224" s="765">
        <v>161.29</v>
      </c>
      <c r="AA224" s="744"/>
      <c r="AB224" s="751"/>
      <c r="AC224" s="765">
        <v>252.33</v>
      </c>
      <c r="AD224" s="744"/>
      <c r="AE224" s="751"/>
      <c r="AF224" s="765">
        <v>201.17</v>
      </c>
      <c r="AG224" s="744"/>
      <c r="AH224" s="751"/>
      <c r="AI224" s="765">
        <v>233.49</v>
      </c>
      <c r="AJ224" s="744"/>
      <c r="AK224" s="751"/>
      <c r="AL224" s="765">
        <v>223.89</v>
      </c>
      <c r="AM224" s="744"/>
      <c r="AN224" s="751"/>
      <c r="AO224" s="1240">
        <v>200.88</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4"/>
      <c r="D225" s="751"/>
      <c r="E225" s="765">
        <v>2562.37</v>
      </c>
      <c r="F225" s="744"/>
      <c r="G225" s="751"/>
      <c r="H225" s="765">
        <v>544.33000000000004</v>
      </c>
      <c r="I225" s="744"/>
      <c r="J225" s="751"/>
      <c r="K225" s="765">
        <v>335.92</v>
      </c>
      <c r="L225" s="744"/>
      <c r="M225" s="751"/>
      <c r="N225" s="765">
        <v>491.87</v>
      </c>
      <c r="O225" s="744"/>
      <c r="P225" s="751"/>
      <c r="Q225" s="765">
        <v>551.49</v>
      </c>
      <c r="R225" s="744"/>
      <c r="S225" s="751"/>
      <c r="T225" s="765">
        <v>158.37</v>
      </c>
      <c r="U225" s="744"/>
      <c r="V225" s="751"/>
      <c r="W225" s="765">
        <v>66.27</v>
      </c>
      <c r="X225" s="744"/>
      <c r="Y225" s="751"/>
      <c r="Z225" s="765">
        <v>40.950000000000003</v>
      </c>
      <c r="AA225" s="744"/>
      <c r="AB225" s="751"/>
      <c r="AC225" s="765">
        <v>153.1</v>
      </c>
      <c r="AD225" s="744"/>
      <c r="AE225" s="751"/>
      <c r="AF225" s="765">
        <v>58.63</v>
      </c>
      <c r="AG225" s="744"/>
      <c r="AH225" s="751"/>
      <c r="AI225" s="765">
        <v>65.45</v>
      </c>
      <c r="AJ225" s="744"/>
      <c r="AK225" s="751"/>
      <c r="AL225" s="765">
        <v>-62.5</v>
      </c>
      <c r="AM225" s="744"/>
      <c r="AN225" s="751"/>
      <c r="AO225" s="1240">
        <v>158.49</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4"/>
      <c r="D226" s="751"/>
      <c r="E226" s="765">
        <v>1497.13</v>
      </c>
      <c r="F226" s="744"/>
      <c r="G226" s="751"/>
      <c r="H226" s="765">
        <v>67.069999999999993</v>
      </c>
      <c r="I226" s="744"/>
      <c r="J226" s="751"/>
      <c r="K226" s="765">
        <v>53.4</v>
      </c>
      <c r="L226" s="744"/>
      <c r="M226" s="751"/>
      <c r="N226" s="765">
        <v>53.41</v>
      </c>
      <c r="O226" s="744"/>
      <c r="P226" s="751"/>
      <c r="Q226" s="765">
        <v>90.81</v>
      </c>
      <c r="R226" s="744"/>
      <c r="S226" s="751"/>
      <c r="T226" s="765">
        <v>83.76</v>
      </c>
      <c r="U226" s="744"/>
      <c r="V226" s="751"/>
      <c r="W226" s="765">
        <v>47.04</v>
      </c>
      <c r="X226" s="744"/>
      <c r="Y226" s="751"/>
      <c r="Z226" s="765">
        <v>47.04</v>
      </c>
      <c r="AA226" s="744"/>
      <c r="AB226" s="751"/>
      <c r="AC226" s="765">
        <v>47.04</v>
      </c>
      <c r="AD226" s="744"/>
      <c r="AE226" s="751"/>
      <c r="AF226" s="765">
        <v>101.04</v>
      </c>
      <c r="AG226" s="744"/>
      <c r="AH226" s="751"/>
      <c r="AI226" s="765">
        <v>47.04</v>
      </c>
      <c r="AJ226" s="744"/>
      <c r="AK226" s="751"/>
      <c r="AL226" s="765">
        <v>307.79000000000002</v>
      </c>
      <c r="AM226" s="744"/>
      <c r="AN226" s="751"/>
      <c r="AO226" s="1240">
        <v>551.69000000000005</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4"/>
      <c r="D227" s="751"/>
      <c r="E227" s="765">
        <v>13556.070000000002</v>
      </c>
      <c r="F227" s="744"/>
      <c r="G227" s="751"/>
      <c r="H227" s="765">
        <v>359.22</v>
      </c>
      <c r="I227" s="744"/>
      <c r="J227" s="751"/>
      <c r="K227" s="765">
        <v>955.51</v>
      </c>
      <c r="L227" s="744"/>
      <c r="M227" s="751"/>
      <c r="N227" s="765">
        <v>1374.83</v>
      </c>
      <c r="O227" s="744"/>
      <c r="P227" s="751"/>
      <c r="Q227" s="765">
        <v>1047.57</v>
      </c>
      <c r="R227" s="744"/>
      <c r="S227" s="751"/>
      <c r="T227" s="765">
        <v>418.5</v>
      </c>
      <c r="U227" s="744"/>
      <c r="V227" s="751"/>
      <c r="W227" s="765">
        <v>958.23</v>
      </c>
      <c r="X227" s="744"/>
      <c r="Y227" s="751"/>
      <c r="Z227" s="765">
        <v>1328.27</v>
      </c>
      <c r="AA227" s="744"/>
      <c r="AB227" s="751"/>
      <c r="AC227" s="765">
        <v>1431.75</v>
      </c>
      <c r="AD227" s="744"/>
      <c r="AE227" s="751"/>
      <c r="AF227" s="765">
        <v>521.34</v>
      </c>
      <c r="AG227" s="744"/>
      <c r="AH227" s="751"/>
      <c r="AI227" s="765">
        <v>458.45</v>
      </c>
      <c r="AJ227" s="744"/>
      <c r="AK227" s="751"/>
      <c r="AL227" s="765">
        <v>2059.42</v>
      </c>
      <c r="AM227" s="744"/>
      <c r="AN227" s="751"/>
      <c r="AO227" s="1240">
        <v>2642.98</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4"/>
      <c r="D228" s="751"/>
      <c r="E228" s="765">
        <v>24034.350000000006</v>
      </c>
      <c r="F228" s="744"/>
      <c r="G228" s="751"/>
      <c r="H228" s="765">
        <v>1401.4</v>
      </c>
      <c r="I228" s="744"/>
      <c r="J228" s="751"/>
      <c r="K228" s="765">
        <v>1082.69</v>
      </c>
      <c r="L228" s="744"/>
      <c r="M228" s="751"/>
      <c r="N228" s="765">
        <v>1859.91</v>
      </c>
      <c r="O228" s="744"/>
      <c r="P228" s="751"/>
      <c r="Q228" s="765">
        <v>2304.3000000000002</v>
      </c>
      <c r="R228" s="744"/>
      <c r="S228" s="751"/>
      <c r="T228" s="765">
        <v>2279.83</v>
      </c>
      <c r="U228" s="744"/>
      <c r="V228" s="751"/>
      <c r="W228" s="765">
        <v>1756.85</v>
      </c>
      <c r="X228" s="744"/>
      <c r="Y228" s="751"/>
      <c r="Z228" s="765">
        <v>1951.19</v>
      </c>
      <c r="AA228" s="744"/>
      <c r="AB228" s="751"/>
      <c r="AC228" s="765">
        <v>1895.04</v>
      </c>
      <c r="AD228" s="744"/>
      <c r="AE228" s="751"/>
      <c r="AF228" s="765">
        <v>2008.24</v>
      </c>
      <c r="AG228" s="744"/>
      <c r="AH228" s="751"/>
      <c r="AI228" s="765">
        <v>2322.71</v>
      </c>
      <c r="AJ228" s="744"/>
      <c r="AK228" s="751"/>
      <c r="AL228" s="765">
        <v>3179.01</v>
      </c>
      <c r="AM228" s="744"/>
      <c r="AN228" s="751"/>
      <c r="AO228" s="1240">
        <v>1993.18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4"/>
      <c r="D229" s="751"/>
      <c r="E229" s="752"/>
      <c r="F229" s="744"/>
      <c r="G229" s="751"/>
      <c r="H229" s="752"/>
      <c r="I229" s="744"/>
      <c r="J229" s="751"/>
      <c r="K229" s="752"/>
      <c r="L229" s="744"/>
      <c r="M229" s="751"/>
      <c r="N229" s="752"/>
      <c r="O229" s="744"/>
      <c r="P229" s="751"/>
      <c r="Q229" s="752"/>
      <c r="R229" s="744"/>
      <c r="S229" s="751"/>
      <c r="T229" s="752"/>
      <c r="U229" s="744"/>
      <c r="V229" s="751"/>
      <c r="W229" s="752"/>
      <c r="X229" s="744"/>
      <c r="Y229" s="751"/>
      <c r="Z229" s="752"/>
      <c r="AA229" s="744"/>
      <c r="AB229" s="751"/>
      <c r="AC229" s="752"/>
      <c r="AD229" s="744"/>
      <c r="AE229" s="751"/>
      <c r="AF229" s="752"/>
      <c r="AG229" s="744"/>
      <c r="AH229" s="751"/>
      <c r="AI229" s="752"/>
      <c r="AJ229" s="744"/>
      <c r="AK229" s="751"/>
      <c r="AL229" s="752"/>
      <c r="AM229" s="744"/>
      <c r="AN229" s="751"/>
      <c r="AO229" s="752"/>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4"/>
      <c r="D230" s="751"/>
      <c r="E230" s="752"/>
      <c r="F230" s="744"/>
      <c r="G230" s="751"/>
      <c r="H230" s="752"/>
      <c r="I230" s="744"/>
      <c r="J230" s="751"/>
      <c r="K230" s="752"/>
      <c r="L230" s="744"/>
      <c r="M230" s="751"/>
      <c r="N230" s="752"/>
      <c r="O230" s="744"/>
      <c r="P230" s="751"/>
      <c r="Q230" s="752"/>
      <c r="R230" s="744"/>
      <c r="S230" s="751"/>
      <c r="T230" s="752"/>
      <c r="U230" s="744"/>
      <c r="V230" s="751"/>
      <c r="W230" s="752"/>
      <c r="X230" s="744"/>
      <c r="Y230" s="751"/>
      <c r="Z230" s="752"/>
      <c r="AA230" s="744"/>
      <c r="AB230" s="751"/>
      <c r="AC230" s="752"/>
      <c r="AD230" s="744"/>
      <c r="AE230" s="751"/>
      <c r="AF230" s="752"/>
      <c r="AG230" s="744"/>
      <c r="AH230" s="751"/>
      <c r="AI230" s="752"/>
      <c r="AJ230" s="744"/>
      <c r="AK230" s="751"/>
      <c r="AL230" s="752"/>
      <c r="AM230" s="744"/>
      <c r="AN230" s="751"/>
      <c r="AO230" s="752"/>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4"/>
      <c r="D231" s="751"/>
      <c r="E231" s="752"/>
      <c r="F231" s="744"/>
      <c r="G231" s="751"/>
      <c r="H231" s="752"/>
      <c r="I231" s="744"/>
      <c r="J231" s="751"/>
      <c r="K231" s="752"/>
      <c r="L231" s="744"/>
      <c r="M231" s="751"/>
      <c r="N231" s="752"/>
      <c r="O231" s="744"/>
      <c r="P231" s="751"/>
      <c r="Q231" s="752"/>
      <c r="R231" s="744"/>
      <c r="S231" s="751"/>
      <c r="T231" s="752"/>
      <c r="U231" s="744"/>
      <c r="V231" s="751"/>
      <c r="W231" s="752"/>
      <c r="X231" s="744"/>
      <c r="Y231" s="751"/>
      <c r="Z231" s="752"/>
      <c r="AA231" s="744"/>
      <c r="AB231" s="751"/>
      <c r="AC231" s="752"/>
      <c r="AD231" s="744"/>
      <c r="AE231" s="751"/>
      <c r="AF231" s="752"/>
      <c r="AG231" s="744"/>
      <c r="AH231" s="751"/>
      <c r="AI231" s="752"/>
      <c r="AJ231" s="744"/>
      <c r="AK231" s="751"/>
      <c r="AL231" s="752"/>
      <c r="AM231" s="744"/>
      <c r="AN231" s="751"/>
      <c r="AO231" s="752"/>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1155" t="s">
        <v>175</v>
      </c>
      <c r="D232" s="1156">
        <v>0.24509781307462034</v>
      </c>
      <c r="E232" s="1157">
        <v>713944.5299999998</v>
      </c>
      <c r="F232" s="1155" t="s">
        <v>175</v>
      </c>
      <c r="G232" s="1156">
        <v>0</v>
      </c>
      <c r="H232" s="1157">
        <v>47602.720000000008</v>
      </c>
      <c r="I232" s="1155" t="s">
        <v>175</v>
      </c>
      <c r="J232" s="1156">
        <v>0</v>
      </c>
      <c r="K232" s="1157">
        <v>56134.49</v>
      </c>
      <c r="L232" s="1155" t="s">
        <v>175</v>
      </c>
      <c r="M232" s="1156">
        <v>0</v>
      </c>
      <c r="N232" s="1157">
        <v>63084.330000000009</v>
      </c>
      <c r="O232" s="1155" t="s">
        <v>175</v>
      </c>
      <c r="P232" s="1156">
        <v>0</v>
      </c>
      <c r="Q232" s="1157">
        <v>71171.840000000026</v>
      </c>
      <c r="R232" s="1155" t="s">
        <v>175</v>
      </c>
      <c r="S232" s="1156">
        <v>0</v>
      </c>
      <c r="T232" s="1157">
        <v>69518.64</v>
      </c>
      <c r="U232" s="1155" t="s">
        <v>175</v>
      </c>
      <c r="V232" s="1156">
        <v>0</v>
      </c>
      <c r="W232" s="1242">
        <v>50947.270000000004</v>
      </c>
      <c r="X232" s="1155" t="s">
        <v>175</v>
      </c>
      <c r="Y232" s="1156">
        <v>0</v>
      </c>
      <c r="Z232" s="1242">
        <v>59491.4</v>
      </c>
      <c r="AA232" s="1155" t="s">
        <v>175</v>
      </c>
      <c r="AB232" s="1156">
        <v>0</v>
      </c>
      <c r="AC232" s="1242">
        <v>57098.790000000008</v>
      </c>
      <c r="AD232" s="1155" t="s">
        <v>175</v>
      </c>
      <c r="AE232" s="1156">
        <v>0</v>
      </c>
      <c r="AF232" s="1242">
        <v>53656.489999999991</v>
      </c>
      <c r="AG232" s="1155" t="s">
        <v>175</v>
      </c>
      <c r="AH232" s="1156">
        <v>0</v>
      </c>
      <c r="AI232" s="1157">
        <v>62237.109999999979</v>
      </c>
      <c r="AJ232" s="1155" t="s">
        <v>175</v>
      </c>
      <c r="AK232" s="1156">
        <v>0</v>
      </c>
      <c r="AL232" s="1157">
        <v>69209.179999999993</v>
      </c>
      <c r="AM232" s="1155" t="s">
        <v>175</v>
      </c>
      <c r="AN232" s="1156">
        <v>0</v>
      </c>
      <c r="AO232" s="1157">
        <v>53792.270000000004</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0"/>
      <c r="D233" s="771"/>
      <c r="E233" s="768"/>
      <c r="F233" s="770"/>
      <c r="G233" s="771"/>
      <c r="H233" s="768"/>
      <c r="I233" s="770"/>
      <c r="J233" s="771"/>
      <c r="K233" s="768"/>
      <c r="L233" s="770"/>
      <c r="M233" s="771"/>
      <c r="N233" s="768"/>
      <c r="O233" s="770"/>
      <c r="P233" s="771"/>
      <c r="Q233" s="768"/>
      <c r="R233" s="770"/>
      <c r="S233" s="771"/>
      <c r="T233" s="768"/>
      <c r="U233" s="770"/>
      <c r="V233" s="771"/>
      <c r="W233" s="768"/>
      <c r="X233" s="770"/>
      <c r="Y233" s="771"/>
      <c r="Z233" s="768"/>
      <c r="AA233" s="770"/>
      <c r="AB233" s="771"/>
      <c r="AC233" s="768"/>
      <c r="AD233" s="770"/>
      <c r="AE233" s="771"/>
      <c r="AF233" s="768"/>
      <c r="AG233" s="770"/>
      <c r="AH233" s="771"/>
      <c r="AI233" s="768"/>
      <c r="AJ233" s="770"/>
      <c r="AK233" s="771"/>
      <c r="AL233" s="768"/>
      <c r="AM233" s="770"/>
      <c r="AN233" s="771"/>
      <c r="AO233" s="768"/>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1155" t="s">
        <v>119</v>
      </c>
      <c r="D234" s="1177">
        <v>0.72939351769661498</v>
      </c>
      <c r="E234" s="1165">
        <v>2124647.7299999995</v>
      </c>
      <c r="F234" s="1155" t="s">
        <v>119</v>
      </c>
      <c r="G234" s="1177">
        <v>0</v>
      </c>
      <c r="H234" s="1165">
        <v>151814.40000000002</v>
      </c>
      <c r="I234" s="1155" t="s">
        <v>119</v>
      </c>
      <c r="J234" s="1177">
        <v>0</v>
      </c>
      <c r="K234" s="1165">
        <v>149421.83000000002</v>
      </c>
      <c r="L234" s="1155" t="s">
        <v>119</v>
      </c>
      <c r="M234" s="1177">
        <v>0</v>
      </c>
      <c r="N234" s="1165">
        <v>164429.43</v>
      </c>
      <c r="O234" s="1155" t="s">
        <v>119</v>
      </c>
      <c r="P234" s="1177">
        <v>0</v>
      </c>
      <c r="Q234" s="1165">
        <v>199538.48000000004</v>
      </c>
      <c r="R234" s="1155" t="s">
        <v>119</v>
      </c>
      <c r="S234" s="1177">
        <v>0</v>
      </c>
      <c r="T234" s="1165">
        <v>208049.52000000002</v>
      </c>
      <c r="U234" s="1155" t="s">
        <v>119</v>
      </c>
      <c r="V234" s="1177">
        <v>0</v>
      </c>
      <c r="W234" s="1245">
        <v>162730.41</v>
      </c>
      <c r="X234" s="1155" t="s">
        <v>119</v>
      </c>
      <c r="Y234" s="1177">
        <v>0</v>
      </c>
      <c r="Z234" s="1245">
        <v>167802.41</v>
      </c>
      <c r="AA234" s="1155" t="s">
        <v>119</v>
      </c>
      <c r="AB234" s="1177">
        <v>0</v>
      </c>
      <c r="AC234" s="1245">
        <v>176693.59000000003</v>
      </c>
      <c r="AD234" s="1155" t="s">
        <v>119</v>
      </c>
      <c r="AE234" s="1177">
        <v>0</v>
      </c>
      <c r="AF234" s="1245">
        <v>158213.81</v>
      </c>
      <c r="AG234" s="1155" t="s">
        <v>119</v>
      </c>
      <c r="AH234" s="1156">
        <v>0</v>
      </c>
      <c r="AI234" s="1165">
        <v>208967.05</v>
      </c>
      <c r="AJ234" s="1155" t="s">
        <v>119</v>
      </c>
      <c r="AK234" s="1156">
        <v>0</v>
      </c>
      <c r="AL234" s="1165">
        <v>220592.27</v>
      </c>
      <c r="AM234" s="1155" t="s">
        <v>119</v>
      </c>
      <c r="AN234" s="1156">
        <v>0</v>
      </c>
      <c r="AO234" s="1165">
        <v>156394.52999999997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4"/>
      <c r="D235" s="751"/>
      <c r="E235" s="752"/>
      <c r="F235" s="744"/>
      <c r="G235" s="751"/>
      <c r="H235" s="752"/>
      <c r="I235" s="744"/>
      <c r="J235" s="751"/>
      <c r="K235" s="752"/>
      <c r="L235" s="744"/>
      <c r="M235" s="751"/>
      <c r="N235" s="752"/>
      <c r="O235" s="744"/>
      <c r="P235" s="751"/>
      <c r="Q235" s="752"/>
      <c r="R235" s="744"/>
      <c r="S235" s="751"/>
      <c r="T235" s="752"/>
      <c r="U235" s="744"/>
      <c r="V235" s="751"/>
      <c r="W235" s="752"/>
      <c r="X235" s="744"/>
      <c r="Y235" s="751"/>
      <c r="Z235" s="752"/>
      <c r="AA235" s="744"/>
      <c r="AB235" s="751"/>
      <c r="AC235" s="752"/>
      <c r="AD235" s="744"/>
      <c r="AE235" s="751"/>
      <c r="AF235" s="752"/>
      <c r="AG235" s="744"/>
      <c r="AH235" s="751"/>
      <c r="AI235" s="752"/>
      <c r="AJ235" s="744"/>
      <c r="AK235" s="751"/>
      <c r="AL235" s="752"/>
      <c r="AM235" s="744"/>
      <c r="AN235" s="751"/>
      <c r="AO235" s="752"/>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1168"/>
      <c r="D236" s="1179"/>
      <c r="E236" s="1171">
        <v>788248.6399999992</v>
      </c>
      <c r="F236" s="1168"/>
      <c r="G236" s="1179"/>
      <c r="H236" s="1171">
        <v>32240.070000000007</v>
      </c>
      <c r="I236" s="1168"/>
      <c r="J236" s="1179"/>
      <c r="K236" s="1171">
        <v>29120.529999999882</v>
      </c>
      <c r="L236" s="1168"/>
      <c r="M236" s="1179"/>
      <c r="N236" s="1171">
        <v>54600.849999999948</v>
      </c>
      <c r="O236" s="1168"/>
      <c r="P236" s="1179"/>
      <c r="Q236" s="1171">
        <v>73863.199999999837</v>
      </c>
      <c r="R236" s="1168"/>
      <c r="S236" s="1179"/>
      <c r="T236" s="1171">
        <v>75992.260000000009</v>
      </c>
      <c r="U236" s="1168"/>
      <c r="V236" s="1179"/>
      <c r="W236" s="1248">
        <v>64050.519999999873</v>
      </c>
      <c r="X236" s="1168"/>
      <c r="Y236" s="1179"/>
      <c r="Z236" s="1248">
        <v>73500.76999999996</v>
      </c>
      <c r="AA236" s="1168"/>
      <c r="AB236" s="1179"/>
      <c r="AC236" s="1248">
        <v>62405.329999999842</v>
      </c>
      <c r="AD236" s="1168"/>
      <c r="AE236" s="1179"/>
      <c r="AF236" s="1248">
        <v>94299.609999999986</v>
      </c>
      <c r="AG236" s="1168"/>
      <c r="AH236" s="1179"/>
      <c r="AI236" s="1171">
        <v>71821.109999999986</v>
      </c>
      <c r="AJ236" s="1168"/>
      <c r="AK236" s="1179"/>
      <c r="AL236" s="1171">
        <v>97016.739999999903</v>
      </c>
      <c r="AM236" s="1168"/>
      <c r="AN236" s="1179"/>
      <c r="AO236" s="1171">
        <v>59337.649999999936</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1"/>
      <c r="D237" s="751"/>
      <c r="E237" s="764"/>
      <c r="F237" s="751"/>
      <c r="G237" s="751"/>
      <c r="H237" s="764"/>
      <c r="I237" s="751"/>
      <c r="J237" s="751"/>
      <c r="K237" s="764"/>
      <c r="L237" s="751"/>
      <c r="M237" s="751"/>
      <c r="N237" s="764"/>
      <c r="O237" s="751"/>
      <c r="P237" s="751"/>
      <c r="Q237" s="764"/>
      <c r="R237" s="751"/>
      <c r="S237" s="751"/>
      <c r="T237" s="764"/>
      <c r="U237" s="751"/>
      <c r="V237" s="751"/>
      <c r="W237" s="764"/>
      <c r="X237" s="751"/>
      <c r="Y237" s="751"/>
      <c r="Z237" s="764"/>
      <c r="AA237" s="751"/>
      <c r="AB237" s="751"/>
      <c r="AC237" s="764"/>
      <c r="AD237" s="751"/>
      <c r="AE237" s="751"/>
      <c r="AF237" s="764"/>
      <c r="AG237" s="751"/>
      <c r="AH237" s="751"/>
      <c r="AI237" s="764"/>
      <c r="AJ237" s="751"/>
      <c r="AK237" s="751"/>
      <c r="AL237" s="764"/>
      <c r="AM237" s="751"/>
      <c r="AN237" s="751"/>
      <c r="AO237" s="764"/>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783"/>
      <c r="D238" s="783"/>
      <c r="E238" s="796"/>
      <c r="F238" s="783"/>
      <c r="G238" s="783"/>
      <c r="H238" s="796"/>
      <c r="I238" s="783"/>
      <c r="J238" s="783"/>
      <c r="K238" s="796"/>
      <c r="L238" s="783"/>
      <c r="M238" s="783"/>
      <c r="N238" s="796"/>
      <c r="O238" s="783"/>
      <c r="P238" s="783"/>
      <c r="Q238" s="796"/>
      <c r="R238" s="783"/>
      <c r="S238" s="783"/>
      <c r="T238" s="796"/>
      <c r="U238" s="783"/>
      <c r="V238" s="783"/>
      <c r="W238" s="796"/>
      <c r="X238" s="783"/>
      <c r="Y238" s="783"/>
      <c r="Z238" s="796"/>
      <c r="AA238" s="783"/>
      <c r="AB238" s="783"/>
      <c r="AC238" s="796"/>
      <c r="AD238" s="783"/>
      <c r="AE238" s="783"/>
      <c r="AF238" s="796"/>
      <c r="AG238" s="783"/>
      <c r="AH238" s="783"/>
      <c r="AI238" s="796"/>
      <c r="AJ238" s="783"/>
      <c r="AK238" s="783"/>
      <c r="AL238" s="796"/>
      <c r="AM238" s="783"/>
      <c r="AN238" s="783"/>
      <c r="AO238" s="796"/>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3934</v>
      </c>
      <c r="C239" s="784" t="s">
        <v>176</v>
      </c>
      <c r="D239" s="784"/>
      <c r="E239" s="784"/>
      <c r="F239" s="784"/>
      <c r="G239" s="784"/>
      <c r="H239" s="784"/>
      <c r="I239" s="784"/>
      <c r="J239" s="784"/>
      <c r="K239" s="784"/>
      <c r="L239" s="784"/>
      <c r="M239" s="784"/>
      <c r="N239" s="784"/>
      <c r="O239" s="784"/>
      <c r="P239" s="784"/>
      <c r="Q239" s="784"/>
      <c r="R239" s="784"/>
      <c r="S239" s="784"/>
      <c r="T239" s="784"/>
      <c r="U239" s="784"/>
      <c r="V239" s="784"/>
      <c r="W239" s="784"/>
      <c r="X239" s="784"/>
      <c r="Y239" s="784"/>
      <c r="Z239" s="784"/>
      <c r="AA239" s="784"/>
      <c r="AB239" s="784"/>
      <c r="AC239" s="784"/>
      <c r="AD239" s="784"/>
      <c r="AE239" s="784"/>
      <c r="AF239" s="784"/>
      <c r="AG239" s="784"/>
      <c r="AH239" s="784"/>
      <c r="AI239" s="784"/>
      <c r="AJ239" s="784"/>
      <c r="AK239" s="784"/>
      <c r="AL239" s="784"/>
      <c r="AM239" s="784"/>
      <c r="AN239" s="784"/>
      <c r="AO239" s="784"/>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783"/>
      <c r="D240" s="783"/>
      <c r="E240" s="783"/>
      <c r="F240" s="783"/>
      <c r="G240" s="783"/>
      <c r="H240" s="783"/>
      <c r="I240" s="783"/>
      <c r="J240" s="783"/>
      <c r="K240" s="783"/>
      <c r="L240" s="783"/>
      <c r="M240" s="783"/>
      <c r="N240" s="783"/>
      <c r="O240" s="783"/>
      <c r="P240" s="783"/>
      <c r="Q240" s="783"/>
      <c r="R240" s="783"/>
      <c r="S240" s="783"/>
      <c r="T240" s="783"/>
      <c r="U240" s="783"/>
      <c r="V240" s="783"/>
      <c r="W240" s="783"/>
      <c r="X240" s="783"/>
      <c r="Y240" s="783"/>
      <c r="Z240" s="783"/>
      <c r="AA240" s="783"/>
      <c r="AB240" s="783"/>
      <c r="AC240" s="783"/>
      <c r="AD240" s="783"/>
      <c r="AE240" s="783"/>
      <c r="AF240" s="783"/>
      <c r="AG240" s="783"/>
      <c r="AH240" s="783"/>
      <c r="AI240" s="783"/>
      <c r="AJ240" s="783"/>
      <c r="AK240" s="783"/>
      <c r="AL240" s="783"/>
      <c r="AM240" s="783"/>
      <c r="AN240" s="783"/>
      <c r="AO240" s="783"/>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729">
        <v>2025</v>
      </c>
      <c r="D241" s="730"/>
      <c r="E241" s="73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785" t="s">
        <v>162</v>
      </c>
      <c r="D242" s="762" t="s">
        <v>163</v>
      </c>
      <c r="E242" s="786" t="s">
        <v>95</v>
      </c>
      <c r="F242" s="785" t="s">
        <v>162</v>
      </c>
      <c r="G242" s="762" t="s">
        <v>163</v>
      </c>
      <c r="H242" s="786" t="s">
        <v>95</v>
      </c>
      <c r="I242" s="785" t="s">
        <v>162</v>
      </c>
      <c r="J242" s="762" t="s">
        <v>163</v>
      </c>
      <c r="K242" s="786" t="s">
        <v>95</v>
      </c>
      <c r="L242" s="785" t="s">
        <v>162</v>
      </c>
      <c r="M242" s="762" t="s">
        <v>163</v>
      </c>
      <c r="N242" s="786" t="s">
        <v>95</v>
      </c>
      <c r="O242" s="785" t="s">
        <v>162</v>
      </c>
      <c r="P242" s="762" t="s">
        <v>163</v>
      </c>
      <c r="Q242" s="786" t="s">
        <v>95</v>
      </c>
      <c r="R242" s="785" t="s">
        <v>162</v>
      </c>
      <c r="S242" s="762" t="s">
        <v>163</v>
      </c>
      <c r="T242" s="786" t="s">
        <v>95</v>
      </c>
      <c r="U242" s="785" t="s">
        <v>162</v>
      </c>
      <c r="V242" s="762" t="s">
        <v>163</v>
      </c>
      <c r="W242" s="786" t="s">
        <v>95</v>
      </c>
      <c r="X242" s="785" t="s">
        <v>162</v>
      </c>
      <c r="Y242" s="762" t="s">
        <v>163</v>
      </c>
      <c r="Z242" s="786" t="s">
        <v>95</v>
      </c>
      <c r="AA242" s="785" t="s">
        <v>162</v>
      </c>
      <c r="AB242" s="762" t="s">
        <v>163</v>
      </c>
      <c r="AC242" s="786" t="s">
        <v>95</v>
      </c>
      <c r="AD242" s="785" t="s">
        <v>162</v>
      </c>
      <c r="AE242" s="762" t="s">
        <v>163</v>
      </c>
      <c r="AF242" s="786" t="s">
        <v>95</v>
      </c>
      <c r="AG242" s="785" t="s">
        <v>162</v>
      </c>
      <c r="AH242" s="762" t="s">
        <v>163</v>
      </c>
      <c r="AI242" s="786" t="s">
        <v>95</v>
      </c>
      <c r="AJ242" s="785" t="s">
        <v>162</v>
      </c>
      <c r="AK242" s="762" t="s">
        <v>163</v>
      </c>
      <c r="AL242" s="786" t="s">
        <v>95</v>
      </c>
      <c r="AM242" s="785" t="s">
        <v>162</v>
      </c>
      <c r="AN242" s="762" t="s">
        <v>163</v>
      </c>
      <c r="AO242" s="786"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785"/>
      <c r="D243" s="762"/>
      <c r="E243" s="786"/>
      <c r="F243" s="785"/>
      <c r="G243" s="762"/>
      <c r="H243" s="786"/>
      <c r="I243" s="785"/>
      <c r="J243" s="762"/>
      <c r="K243" s="786"/>
      <c r="L243" s="785"/>
      <c r="M243" s="762"/>
      <c r="N243" s="786"/>
      <c r="O243" s="785"/>
      <c r="P243" s="762"/>
      <c r="Q243" s="786"/>
      <c r="R243" s="785"/>
      <c r="S243" s="762"/>
      <c r="T243" s="786"/>
      <c r="U243" s="785"/>
      <c r="V243" s="762"/>
      <c r="W243" s="786"/>
      <c r="X243" s="785"/>
      <c r="Y243" s="762"/>
      <c r="Z243" s="786"/>
      <c r="AA243" s="785"/>
      <c r="AB243" s="762"/>
      <c r="AC243" s="786"/>
      <c r="AD243" s="785"/>
      <c r="AE243" s="762"/>
      <c r="AF243" s="786"/>
      <c r="AG243" s="785"/>
      <c r="AH243" s="762"/>
      <c r="AI243" s="786"/>
      <c r="AJ243" s="785"/>
      <c r="AK243" s="762"/>
      <c r="AL243" s="786"/>
      <c r="AM243" s="785"/>
      <c r="AN243" s="762"/>
      <c r="AO243" s="786"/>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798">
        <v>194</v>
      </c>
      <c r="D244" s="799">
        <v>578619.24999999884</v>
      </c>
      <c r="E244" s="765">
        <v>99744.85999999987</v>
      </c>
      <c r="F244" s="798">
        <v>9</v>
      </c>
      <c r="G244" s="799">
        <v>11924.3499999999</v>
      </c>
      <c r="H244" s="765">
        <v>2279.5599999999899</v>
      </c>
      <c r="I244" s="798">
        <v>8</v>
      </c>
      <c r="J244" s="799">
        <v>20608.900000000001</v>
      </c>
      <c r="K244" s="765">
        <v>4905.91</v>
      </c>
      <c r="L244" s="798">
        <v>13</v>
      </c>
      <c r="M244" s="799">
        <v>17190.14</v>
      </c>
      <c r="N244" s="765">
        <v>2742.83</v>
      </c>
      <c r="O244" s="798">
        <v>8</v>
      </c>
      <c r="P244" s="799">
        <v>19150.68</v>
      </c>
      <c r="Q244" s="765">
        <v>4315.59</v>
      </c>
      <c r="R244" s="798">
        <v>5</v>
      </c>
      <c r="S244" s="799">
        <v>7721.01</v>
      </c>
      <c r="T244" s="765">
        <v>2028.98999999999</v>
      </c>
      <c r="U244" s="798">
        <v>6</v>
      </c>
      <c r="V244" s="799">
        <v>14368.83</v>
      </c>
      <c r="W244" s="765">
        <v>3584.99</v>
      </c>
      <c r="X244" s="798">
        <v>14</v>
      </c>
      <c r="Y244" s="799">
        <v>50617.07</v>
      </c>
      <c r="Z244" s="765">
        <v>9648.5899999999892</v>
      </c>
      <c r="AA244" s="798">
        <v>10</v>
      </c>
      <c r="AB244" s="799">
        <v>43848.6</v>
      </c>
      <c r="AC244" s="765">
        <v>9486.8299999999908</v>
      </c>
      <c r="AD244" s="798">
        <v>28</v>
      </c>
      <c r="AE244" s="799">
        <v>92272.269999999902</v>
      </c>
      <c r="AF244" s="765">
        <v>13019</v>
      </c>
      <c r="AG244" s="798">
        <v>29</v>
      </c>
      <c r="AH244" s="799">
        <v>92900.26</v>
      </c>
      <c r="AI244" s="765">
        <v>14676.709999999901</v>
      </c>
      <c r="AJ244" s="798">
        <v>33</v>
      </c>
      <c r="AK244" s="799">
        <v>116450.239999999</v>
      </c>
      <c r="AL244" s="765">
        <v>21438.22</v>
      </c>
      <c r="AM244" s="798">
        <v>31</v>
      </c>
      <c r="AN244" s="799">
        <v>91566.9</v>
      </c>
      <c r="AO244" s="765">
        <v>11617.64</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797"/>
      <c r="D245" s="751"/>
      <c r="E245" s="800">
        <v>0.17238427515157864</v>
      </c>
      <c r="F245" s="797"/>
      <c r="G245" s="751"/>
      <c r="H245" s="800">
        <v>0.19116849136430991</v>
      </c>
      <c r="I245" s="797"/>
      <c r="J245" s="751"/>
      <c r="K245" s="800">
        <v>0.23804812483926846</v>
      </c>
      <c r="L245" s="797"/>
      <c r="M245" s="751"/>
      <c r="N245" s="800">
        <v>0.15955832820442417</v>
      </c>
      <c r="O245" s="797"/>
      <c r="P245" s="751"/>
      <c r="Q245" s="800">
        <v>0.22534917820150513</v>
      </c>
      <c r="R245" s="797"/>
      <c r="S245" s="751"/>
      <c r="T245" s="800">
        <v>0.26278815854402338</v>
      </c>
      <c r="U245" s="797"/>
      <c r="V245" s="751"/>
      <c r="W245" s="800">
        <v>0.24949769744648659</v>
      </c>
      <c r="X245" s="797"/>
      <c r="Y245" s="751"/>
      <c r="Z245" s="800">
        <v>0.19061929108105208</v>
      </c>
      <c r="AA245" s="797"/>
      <c r="AB245" s="751"/>
      <c r="AC245" s="800">
        <v>0.21635422795710677</v>
      </c>
      <c r="AD245" s="797"/>
      <c r="AE245" s="751"/>
      <c r="AF245" s="800">
        <v>0.14109331004862039</v>
      </c>
      <c r="AG245" s="797"/>
      <c r="AH245" s="751"/>
      <c r="AI245" s="800">
        <v>0.15798351909886907</v>
      </c>
      <c r="AJ245" s="797"/>
      <c r="AK245" s="751"/>
      <c r="AL245" s="800">
        <v>0.1840976884203947</v>
      </c>
      <c r="AM245" s="797"/>
      <c r="AN245" s="751"/>
      <c r="AO245" s="800">
        <v>0.1268759781099939</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785"/>
      <c r="D246" s="762"/>
      <c r="E246" s="786"/>
      <c r="F246" s="785"/>
      <c r="G246" s="762"/>
      <c r="H246" s="786"/>
      <c r="I246" s="785"/>
      <c r="J246" s="762"/>
      <c r="K246" s="786"/>
      <c r="L246" s="785"/>
      <c r="M246" s="762"/>
      <c r="N246" s="786"/>
      <c r="O246" s="785"/>
      <c r="P246" s="762"/>
      <c r="Q246" s="786"/>
      <c r="R246" s="785"/>
      <c r="S246" s="762"/>
      <c r="T246" s="786"/>
      <c r="U246" s="785"/>
      <c r="V246" s="762"/>
      <c r="W246" s="786"/>
      <c r="X246" s="785"/>
      <c r="Y246" s="762"/>
      <c r="Z246" s="786"/>
      <c r="AA246" s="785"/>
      <c r="AB246" s="762"/>
      <c r="AC246" s="786"/>
      <c r="AD246" s="785"/>
      <c r="AE246" s="762"/>
      <c r="AF246" s="786"/>
      <c r="AG246" s="785"/>
      <c r="AH246" s="762"/>
      <c r="AI246" s="786"/>
      <c r="AJ246" s="785"/>
      <c r="AK246" s="762"/>
      <c r="AL246" s="786"/>
      <c r="AM246" s="785"/>
      <c r="AN246" s="762"/>
      <c r="AO246" s="786"/>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1182">
        <v>0</v>
      </c>
      <c r="D247" s="1183">
        <v>0</v>
      </c>
      <c r="E247" s="1162">
        <v>0</v>
      </c>
      <c r="F247" s="1182">
        <v>0</v>
      </c>
      <c r="G247" s="1183">
        <v>0</v>
      </c>
      <c r="H247" s="1162">
        <v>0</v>
      </c>
      <c r="I247" s="1182">
        <v>0</v>
      </c>
      <c r="J247" s="1183">
        <v>0</v>
      </c>
      <c r="K247" s="1162">
        <v>0</v>
      </c>
      <c r="L247" s="1182">
        <v>0</v>
      </c>
      <c r="M247" s="1183">
        <v>0</v>
      </c>
      <c r="N247" s="1162">
        <v>0</v>
      </c>
      <c r="O247" s="1182">
        <v>0</v>
      </c>
      <c r="P247" s="1183">
        <v>0</v>
      </c>
      <c r="Q247" s="1162">
        <v>0</v>
      </c>
      <c r="R247" s="1182">
        <v>0</v>
      </c>
      <c r="S247" s="1183">
        <v>0</v>
      </c>
      <c r="T247" s="1162">
        <v>0</v>
      </c>
      <c r="U247" s="1182">
        <v>0</v>
      </c>
      <c r="V247" s="1183">
        <v>0</v>
      </c>
      <c r="W247" s="1162">
        <v>0</v>
      </c>
      <c r="X247" s="1182">
        <v>0</v>
      </c>
      <c r="Y247" s="1183">
        <v>0</v>
      </c>
      <c r="Z247" s="1162">
        <v>0</v>
      </c>
      <c r="AA247" s="1182">
        <v>0</v>
      </c>
      <c r="AB247" s="1183">
        <v>0</v>
      </c>
      <c r="AC247" s="1162">
        <v>0</v>
      </c>
      <c r="AD247" s="1182">
        <v>0</v>
      </c>
      <c r="AE247" s="1183">
        <v>0</v>
      </c>
      <c r="AF247" s="1162">
        <v>0</v>
      </c>
      <c r="AG247" s="1182">
        <v>0</v>
      </c>
      <c r="AH247" s="1183">
        <v>0</v>
      </c>
      <c r="AI247" s="1162">
        <v>0</v>
      </c>
      <c r="AJ247" s="1182">
        <v>0</v>
      </c>
      <c r="AK247" s="1183">
        <v>0</v>
      </c>
      <c r="AL247" s="1162">
        <v>0</v>
      </c>
      <c r="AM247" s="1182">
        <v>0</v>
      </c>
      <c r="AN247" s="1183">
        <v>0</v>
      </c>
      <c r="AO247" s="1162">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797"/>
      <c r="D248" s="751"/>
      <c r="E248" s="800">
        <v>0</v>
      </c>
      <c r="F248" s="797"/>
      <c r="G248" s="751"/>
      <c r="H248" s="800">
        <v>0</v>
      </c>
      <c r="I248" s="797"/>
      <c r="J248" s="751"/>
      <c r="K248" s="800">
        <v>0</v>
      </c>
      <c r="L248" s="797"/>
      <c r="M248" s="751"/>
      <c r="N248" s="800">
        <v>0</v>
      </c>
      <c r="O248" s="797"/>
      <c r="P248" s="751"/>
      <c r="Q248" s="800">
        <v>0</v>
      </c>
      <c r="R248" s="797"/>
      <c r="S248" s="751"/>
      <c r="T248" s="800">
        <v>0</v>
      </c>
      <c r="U248" s="797"/>
      <c r="V248" s="751"/>
      <c r="W248" s="800">
        <v>0</v>
      </c>
      <c r="X248" s="797"/>
      <c r="Y248" s="751"/>
      <c r="Z248" s="800">
        <v>0</v>
      </c>
      <c r="AA248" s="797"/>
      <c r="AB248" s="751"/>
      <c r="AC248" s="800">
        <v>0</v>
      </c>
      <c r="AD248" s="797"/>
      <c r="AE248" s="751"/>
      <c r="AF248" s="800">
        <v>0</v>
      </c>
      <c r="AG248" s="797"/>
      <c r="AH248" s="751"/>
      <c r="AI248" s="800">
        <v>0</v>
      </c>
      <c r="AJ248" s="797"/>
      <c r="AK248" s="751"/>
      <c r="AL248" s="800">
        <v>0</v>
      </c>
      <c r="AM248" s="797"/>
      <c r="AN248" s="751"/>
      <c r="AO248" s="800">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01"/>
      <c r="D249" s="802"/>
      <c r="E249" s="803"/>
      <c r="F249" s="801"/>
      <c r="G249" s="802"/>
      <c r="H249" s="803"/>
      <c r="I249" s="801"/>
      <c r="J249" s="802"/>
      <c r="K249" s="803"/>
      <c r="L249" s="801"/>
      <c r="M249" s="802"/>
      <c r="N249" s="803"/>
      <c r="O249" s="801"/>
      <c r="P249" s="802"/>
      <c r="Q249" s="803"/>
      <c r="R249" s="801"/>
      <c r="S249" s="802"/>
      <c r="T249" s="803"/>
      <c r="U249" s="801"/>
      <c r="V249" s="802"/>
      <c r="W249" s="803"/>
      <c r="X249" s="801"/>
      <c r="Y249" s="802"/>
      <c r="Z249" s="803"/>
      <c r="AA249" s="801"/>
      <c r="AB249" s="802"/>
      <c r="AC249" s="803"/>
      <c r="AD249" s="801"/>
      <c r="AE249" s="802"/>
      <c r="AF249" s="803"/>
      <c r="AG249" s="801"/>
      <c r="AH249" s="802"/>
      <c r="AI249" s="803"/>
      <c r="AJ249" s="801"/>
      <c r="AK249" s="802"/>
      <c r="AL249" s="803"/>
      <c r="AM249" s="801"/>
      <c r="AN249" s="802"/>
      <c r="AO249" s="803"/>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1182">
        <v>0</v>
      </c>
      <c r="D250" s="1183">
        <v>0</v>
      </c>
      <c r="E250" s="1162">
        <v>0</v>
      </c>
      <c r="F250" s="1182">
        <v>0</v>
      </c>
      <c r="G250" s="1183">
        <v>0</v>
      </c>
      <c r="H250" s="1162">
        <v>0</v>
      </c>
      <c r="I250" s="1182">
        <v>0</v>
      </c>
      <c r="J250" s="1183">
        <v>0</v>
      </c>
      <c r="K250" s="1162">
        <v>0</v>
      </c>
      <c r="L250" s="1182">
        <v>0</v>
      </c>
      <c r="M250" s="1183">
        <v>0</v>
      </c>
      <c r="N250" s="1162">
        <v>0</v>
      </c>
      <c r="O250" s="1182">
        <v>0</v>
      </c>
      <c r="P250" s="1183">
        <v>0</v>
      </c>
      <c r="Q250" s="1162">
        <v>0</v>
      </c>
      <c r="R250" s="1182">
        <v>0</v>
      </c>
      <c r="S250" s="1183">
        <v>0</v>
      </c>
      <c r="T250" s="1162">
        <v>0</v>
      </c>
      <c r="U250" s="1182">
        <v>0</v>
      </c>
      <c r="V250" s="1183">
        <v>0</v>
      </c>
      <c r="W250" s="1162">
        <v>0</v>
      </c>
      <c r="X250" s="1182">
        <v>0</v>
      </c>
      <c r="Y250" s="1183">
        <v>0</v>
      </c>
      <c r="Z250" s="1162">
        <v>0</v>
      </c>
      <c r="AA250" s="1182">
        <v>0</v>
      </c>
      <c r="AB250" s="1183">
        <v>0</v>
      </c>
      <c r="AC250" s="1162">
        <v>0</v>
      </c>
      <c r="AD250" s="1182">
        <v>0</v>
      </c>
      <c r="AE250" s="1183">
        <v>0</v>
      </c>
      <c r="AF250" s="1162">
        <v>0</v>
      </c>
      <c r="AG250" s="1182">
        <v>0</v>
      </c>
      <c r="AH250" s="1183">
        <v>0</v>
      </c>
      <c r="AI250" s="1162">
        <v>0</v>
      </c>
      <c r="AJ250" s="1182">
        <v>0</v>
      </c>
      <c r="AK250" s="1183">
        <v>0</v>
      </c>
      <c r="AL250" s="1162">
        <v>0</v>
      </c>
      <c r="AM250" s="1182">
        <v>0</v>
      </c>
      <c r="AN250" s="1183">
        <v>0</v>
      </c>
      <c r="AO250" s="1162">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4"/>
      <c r="D251" s="751"/>
      <c r="E251" s="800">
        <v>0</v>
      </c>
      <c r="F251" s="744"/>
      <c r="G251" s="751"/>
      <c r="H251" s="800">
        <v>0</v>
      </c>
      <c r="I251" s="744"/>
      <c r="J251" s="751"/>
      <c r="K251" s="800">
        <v>0</v>
      </c>
      <c r="L251" s="744"/>
      <c r="M251" s="751"/>
      <c r="N251" s="800">
        <v>0</v>
      </c>
      <c r="O251" s="744"/>
      <c r="P251" s="751"/>
      <c r="Q251" s="800">
        <v>0</v>
      </c>
      <c r="R251" s="744"/>
      <c r="S251" s="751"/>
      <c r="T251" s="800">
        <v>0</v>
      </c>
      <c r="U251" s="744"/>
      <c r="V251" s="751"/>
      <c r="W251" s="800">
        <v>0</v>
      </c>
      <c r="X251" s="744"/>
      <c r="Y251" s="751"/>
      <c r="Z251" s="800">
        <v>0</v>
      </c>
      <c r="AA251" s="744"/>
      <c r="AB251" s="751"/>
      <c r="AC251" s="800">
        <v>0</v>
      </c>
      <c r="AD251" s="744"/>
      <c r="AE251" s="751"/>
      <c r="AF251" s="800">
        <v>0</v>
      </c>
      <c r="AG251" s="744"/>
      <c r="AH251" s="751"/>
      <c r="AI251" s="800">
        <v>0</v>
      </c>
      <c r="AJ251" s="744"/>
      <c r="AK251" s="751"/>
      <c r="AL251" s="800">
        <v>0</v>
      </c>
      <c r="AM251" s="744"/>
      <c r="AN251" s="751"/>
      <c r="AO251" s="800">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4"/>
      <c r="D252" s="751"/>
      <c r="E252" s="800"/>
      <c r="F252" s="744"/>
      <c r="G252" s="751"/>
      <c r="H252" s="800"/>
      <c r="I252" s="744"/>
      <c r="J252" s="751"/>
      <c r="K252" s="800"/>
      <c r="L252" s="744"/>
      <c r="M252" s="751"/>
      <c r="N252" s="800"/>
      <c r="O252" s="744"/>
      <c r="P252" s="751"/>
      <c r="Q252" s="800"/>
      <c r="R252" s="744"/>
      <c r="S252" s="751"/>
      <c r="T252" s="800"/>
      <c r="U252" s="744"/>
      <c r="V252" s="751"/>
      <c r="W252" s="800"/>
      <c r="X252" s="744"/>
      <c r="Y252" s="751"/>
      <c r="Z252" s="800"/>
      <c r="AA252" s="744"/>
      <c r="AB252" s="751"/>
      <c r="AC252" s="800"/>
      <c r="AD252" s="744"/>
      <c r="AE252" s="751"/>
      <c r="AF252" s="800"/>
      <c r="AG252" s="744"/>
      <c r="AH252" s="751"/>
      <c r="AI252" s="800"/>
      <c r="AJ252" s="744"/>
      <c r="AK252" s="751"/>
      <c r="AL252" s="800"/>
      <c r="AM252" s="744"/>
      <c r="AN252" s="751"/>
      <c r="AO252" s="800"/>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3"/>
      <c r="D253" s="818">
        <v>578619.24999999884</v>
      </c>
      <c r="E253" s="755">
        <v>99744.85999999987</v>
      </c>
      <c r="F253" s="753"/>
      <c r="G253" s="818">
        <v>11924.3499999999</v>
      </c>
      <c r="H253" s="755">
        <v>2279.5599999999899</v>
      </c>
      <c r="I253" s="753"/>
      <c r="J253" s="818">
        <v>20608.900000000001</v>
      </c>
      <c r="K253" s="755">
        <v>4905.91</v>
      </c>
      <c r="L253" s="753"/>
      <c r="M253" s="818">
        <v>17190.14</v>
      </c>
      <c r="N253" s="755">
        <v>2742.83</v>
      </c>
      <c r="O253" s="753"/>
      <c r="P253" s="818">
        <v>19150.68</v>
      </c>
      <c r="Q253" s="755">
        <v>4315.59</v>
      </c>
      <c r="R253" s="753"/>
      <c r="S253" s="818">
        <v>7721.01</v>
      </c>
      <c r="T253" s="755">
        <v>2028.98999999999</v>
      </c>
      <c r="U253" s="753"/>
      <c r="V253" s="818">
        <v>14368.83</v>
      </c>
      <c r="W253" s="1238">
        <v>3584.99</v>
      </c>
      <c r="X253" s="753"/>
      <c r="Y253" s="818">
        <v>50617.07</v>
      </c>
      <c r="Z253" s="1238">
        <v>9648.5899999999892</v>
      </c>
      <c r="AA253" s="753"/>
      <c r="AB253" s="818">
        <v>43848.6</v>
      </c>
      <c r="AC253" s="1238">
        <v>9486.8299999999908</v>
      </c>
      <c r="AD253" s="753"/>
      <c r="AE253" s="818">
        <v>92272.269999999902</v>
      </c>
      <c r="AF253" s="1238">
        <v>13019</v>
      </c>
      <c r="AG253" s="753"/>
      <c r="AH253" s="818">
        <v>92900.26</v>
      </c>
      <c r="AI253" s="755">
        <v>14676.709999999901</v>
      </c>
      <c r="AJ253" s="753"/>
      <c r="AK253" s="818">
        <v>116450.239999999</v>
      </c>
      <c r="AL253" s="755">
        <v>21438.22</v>
      </c>
      <c r="AM253" s="753"/>
      <c r="AN253" s="818">
        <v>91566.9</v>
      </c>
      <c r="AO253" s="755">
        <v>11617.64</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56"/>
      <c r="D254" s="757"/>
      <c r="E254" s="819">
        <v>0.17238427515157864</v>
      </c>
      <c r="F254" s="756"/>
      <c r="G254" s="757"/>
      <c r="H254" s="819">
        <v>0.19116849136430991</v>
      </c>
      <c r="I254" s="756"/>
      <c r="J254" s="757"/>
      <c r="K254" s="819">
        <v>0.23804812483926846</v>
      </c>
      <c r="L254" s="756"/>
      <c r="M254" s="757"/>
      <c r="N254" s="819">
        <v>0.15955832820442417</v>
      </c>
      <c r="O254" s="756"/>
      <c r="P254" s="757"/>
      <c r="Q254" s="819">
        <v>0.22534917820150513</v>
      </c>
      <c r="R254" s="756"/>
      <c r="S254" s="757"/>
      <c r="T254" s="819">
        <v>0.26278815854402338</v>
      </c>
      <c r="U254" s="756"/>
      <c r="V254" s="757"/>
      <c r="W254" s="1259">
        <v>0.24949769744648659</v>
      </c>
      <c r="X254" s="756"/>
      <c r="Y254" s="757"/>
      <c r="Z254" s="1259">
        <v>0.19061929108105208</v>
      </c>
      <c r="AA254" s="756"/>
      <c r="AB254" s="757"/>
      <c r="AC254" s="1259">
        <v>0.21635422795710677</v>
      </c>
      <c r="AD254" s="756"/>
      <c r="AE254" s="757"/>
      <c r="AF254" s="1259">
        <v>0.14109331004862039</v>
      </c>
      <c r="AG254" s="756"/>
      <c r="AH254" s="757"/>
      <c r="AI254" s="819">
        <v>0.15798351909886907</v>
      </c>
      <c r="AJ254" s="756"/>
      <c r="AK254" s="757"/>
      <c r="AL254" s="819">
        <v>0.1840976884203947</v>
      </c>
      <c r="AM254" s="756"/>
      <c r="AN254" s="757"/>
      <c r="AO254" s="819">
        <v>0.1268759781099939</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4"/>
      <c r="D255" s="751"/>
      <c r="E255" s="745"/>
      <c r="F255" s="744"/>
      <c r="G255" s="751"/>
      <c r="H255" s="745"/>
      <c r="I255" s="744"/>
      <c r="J255" s="751"/>
      <c r="K255" s="745"/>
      <c r="L255" s="744"/>
      <c r="M255" s="751"/>
      <c r="N255" s="745"/>
      <c r="O255" s="744"/>
      <c r="P255" s="751"/>
      <c r="Q255" s="745"/>
      <c r="R255" s="744"/>
      <c r="S255" s="751"/>
      <c r="T255" s="745"/>
      <c r="U255" s="744"/>
      <c r="V255" s="751"/>
      <c r="W255" s="745"/>
      <c r="X255" s="744"/>
      <c r="Y255" s="751"/>
      <c r="Z255" s="745"/>
      <c r="AA255" s="744"/>
      <c r="AB255" s="751"/>
      <c r="AC255" s="745"/>
      <c r="AD255" s="744"/>
      <c r="AE255" s="751"/>
      <c r="AF255" s="745"/>
      <c r="AG255" s="744"/>
      <c r="AH255" s="751"/>
      <c r="AI255" s="745"/>
      <c r="AJ255" s="744"/>
      <c r="AK255" s="751"/>
      <c r="AL255" s="745"/>
      <c r="AM255" s="744"/>
      <c r="AN255" s="751"/>
      <c r="AO255" s="745"/>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4"/>
      <c r="D256" s="751"/>
      <c r="E256" s="745"/>
      <c r="F256" s="744"/>
      <c r="G256" s="751"/>
      <c r="H256" s="745"/>
      <c r="I256" s="744"/>
      <c r="J256" s="751"/>
      <c r="K256" s="745"/>
      <c r="L256" s="744"/>
      <c r="M256" s="751"/>
      <c r="N256" s="745"/>
      <c r="O256" s="744"/>
      <c r="P256" s="751"/>
      <c r="Q256" s="745"/>
      <c r="R256" s="744"/>
      <c r="S256" s="751"/>
      <c r="T256" s="745"/>
      <c r="U256" s="744"/>
      <c r="V256" s="751"/>
      <c r="W256" s="745"/>
      <c r="X256" s="744"/>
      <c r="Y256" s="751"/>
      <c r="Z256" s="745"/>
      <c r="AA256" s="744"/>
      <c r="AB256" s="751"/>
      <c r="AC256" s="745"/>
      <c r="AD256" s="744"/>
      <c r="AE256" s="751"/>
      <c r="AF256" s="745"/>
      <c r="AG256" s="744"/>
      <c r="AH256" s="751"/>
      <c r="AI256" s="745"/>
      <c r="AJ256" s="744"/>
      <c r="AK256" s="751"/>
      <c r="AL256" s="745"/>
      <c r="AM256" s="744"/>
      <c r="AN256" s="751"/>
      <c r="AO256" s="745"/>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4"/>
      <c r="D257" s="751"/>
      <c r="E257" s="765">
        <v>10822.559999999998</v>
      </c>
      <c r="F257" s="744"/>
      <c r="G257" s="751"/>
      <c r="H257" s="765">
        <v>901.88</v>
      </c>
      <c r="I257" s="744"/>
      <c r="J257" s="751"/>
      <c r="K257" s="765">
        <v>901.88</v>
      </c>
      <c r="L257" s="744"/>
      <c r="M257" s="751"/>
      <c r="N257" s="765">
        <v>901.88</v>
      </c>
      <c r="O257" s="744"/>
      <c r="P257" s="751"/>
      <c r="Q257" s="765">
        <v>901.88</v>
      </c>
      <c r="R257" s="744"/>
      <c r="S257" s="751"/>
      <c r="T257" s="765">
        <v>901.88</v>
      </c>
      <c r="U257" s="744"/>
      <c r="V257" s="751"/>
      <c r="W257" s="765">
        <v>901.88</v>
      </c>
      <c r="X257" s="744"/>
      <c r="Y257" s="751"/>
      <c r="Z257" s="765">
        <v>901.88</v>
      </c>
      <c r="AA257" s="744"/>
      <c r="AB257" s="751"/>
      <c r="AC257" s="765">
        <v>901.88</v>
      </c>
      <c r="AD257" s="744"/>
      <c r="AE257" s="751"/>
      <c r="AF257" s="765">
        <v>901.88</v>
      </c>
      <c r="AG257" s="744"/>
      <c r="AH257" s="751"/>
      <c r="AI257" s="765">
        <v>901.88</v>
      </c>
      <c r="AJ257" s="744"/>
      <c r="AK257" s="751"/>
      <c r="AL257" s="765">
        <v>901.88</v>
      </c>
      <c r="AM257" s="744"/>
      <c r="AN257" s="751"/>
      <c r="AO257" s="1240">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4"/>
      <c r="D258" s="751"/>
      <c r="E258" s="765">
        <v>53347.590000000004</v>
      </c>
      <c r="F258" s="744"/>
      <c r="G258" s="751"/>
      <c r="H258" s="765">
        <v>3826.58</v>
      </c>
      <c r="I258" s="744"/>
      <c r="J258" s="751"/>
      <c r="K258" s="765">
        <v>3202.8</v>
      </c>
      <c r="L258" s="744"/>
      <c r="M258" s="751"/>
      <c r="N258" s="765">
        <v>4140.6099999999997</v>
      </c>
      <c r="O258" s="744"/>
      <c r="P258" s="751"/>
      <c r="Q258" s="765">
        <v>4215.95</v>
      </c>
      <c r="R258" s="744"/>
      <c r="S258" s="751"/>
      <c r="T258" s="765">
        <v>4976.26</v>
      </c>
      <c r="U258" s="744"/>
      <c r="V258" s="751"/>
      <c r="W258" s="765">
        <v>3859.88</v>
      </c>
      <c r="X258" s="744"/>
      <c r="Y258" s="751"/>
      <c r="Z258" s="765">
        <v>1523.66</v>
      </c>
      <c r="AA258" s="744"/>
      <c r="AB258" s="751"/>
      <c r="AC258" s="765">
        <v>4910.42</v>
      </c>
      <c r="AD258" s="744"/>
      <c r="AE258" s="751"/>
      <c r="AF258" s="765">
        <v>4995.33</v>
      </c>
      <c r="AG258" s="744"/>
      <c r="AH258" s="751"/>
      <c r="AI258" s="765">
        <v>6342.39</v>
      </c>
      <c r="AJ258" s="744"/>
      <c r="AK258" s="751"/>
      <c r="AL258" s="765">
        <v>5917.34</v>
      </c>
      <c r="AM258" s="744"/>
      <c r="AN258" s="751"/>
      <c r="AO258" s="1240">
        <v>5436.37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1142"/>
      <c r="D259" s="1160"/>
      <c r="E259" s="1162">
        <v>0.95999999999999985</v>
      </c>
      <c r="F259" s="1142"/>
      <c r="G259" s="1160"/>
      <c r="H259" s="1162">
        <v>0.08</v>
      </c>
      <c r="I259" s="1142"/>
      <c r="J259" s="1160"/>
      <c r="K259" s="1162">
        <v>0.08</v>
      </c>
      <c r="L259" s="1142"/>
      <c r="M259" s="1160"/>
      <c r="N259" s="1162">
        <v>0.08</v>
      </c>
      <c r="O259" s="1142"/>
      <c r="P259" s="1160"/>
      <c r="Q259" s="1162">
        <v>0.08</v>
      </c>
      <c r="R259" s="1142"/>
      <c r="S259" s="1160"/>
      <c r="T259" s="1162">
        <v>0.08</v>
      </c>
      <c r="U259" s="1142"/>
      <c r="V259" s="1160"/>
      <c r="W259" s="1162">
        <v>0.08</v>
      </c>
      <c r="X259" s="1142"/>
      <c r="Y259" s="1160"/>
      <c r="Z259" s="1162">
        <v>0.08</v>
      </c>
      <c r="AA259" s="1142"/>
      <c r="AB259" s="1160"/>
      <c r="AC259" s="1162">
        <v>0.08</v>
      </c>
      <c r="AD259" s="1142"/>
      <c r="AE259" s="1160"/>
      <c r="AF259" s="1162">
        <v>0.08</v>
      </c>
      <c r="AG259" s="1142"/>
      <c r="AH259" s="1160"/>
      <c r="AI259" s="1162">
        <v>0.08</v>
      </c>
      <c r="AJ259" s="1142"/>
      <c r="AK259" s="1160"/>
      <c r="AL259" s="1162">
        <v>0.08</v>
      </c>
      <c r="AM259" s="1142"/>
      <c r="AN259" s="1160"/>
      <c r="AO259" s="124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4"/>
      <c r="D260" s="751"/>
      <c r="E260" s="765">
        <v>0</v>
      </c>
      <c r="F260" s="744"/>
      <c r="G260" s="751"/>
      <c r="H260" s="765">
        <v>0</v>
      </c>
      <c r="I260" s="744"/>
      <c r="J260" s="751"/>
      <c r="K260" s="765">
        <v>0</v>
      </c>
      <c r="L260" s="744"/>
      <c r="M260" s="751"/>
      <c r="N260" s="765">
        <v>0</v>
      </c>
      <c r="O260" s="744"/>
      <c r="P260" s="751"/>
      <c r="Q260" s="765">
        <v>0</v>
      </c>
      <c r="R260" s="744"/>
      <c r="S260" s="751"/>
      <c r="T260" s="765">
        <v>0</v>
      </c>
      <c r="U260" s="744"/>
      <c r="V260" s="751"/>
      <c r="W260" s="765">
        <v>0</v>
      </c>
      <c r="X260" s="744"/>
      <c r="Y260" s="751"/>
      <c r="Z260" s="765">
        <v>0</v>
      </c>
      <c r="AA260" s="744"/>
      <c r="AB260" s="751"/>
      <c r="AC260" s="765">
        <v>0</v>
      </c>
      <c r="AD260" s="744"/>
      <c r="AE260" s="751"/>
      <c r="AF260" s="765">
        <v>0</v>
      </c>
      <c r="AG260" s="744"/>
      <c r="AH260" s="751"/>
      <c r="AI260" s="765">
        <v>0</v>
      </c>
      <c r="AJ260" s="744"/>
      <c r="AK260" s="751"/>
      <c r="AL260" s="765">
        <v>0</v>
      </c>
      <c r="AM260" s="744"/>
      <c r="AN260" s="751"/>
      <c r="AO260" s="1240">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4"/>
      <c r="D261" s="751"/>
      <c r="E261" s="765"/>
      <c r="F261" s="744"/>
      <c r="G261" s="751"/>
      <c r="H261" s="765"/>
      <c r="I261" s="744"/>
      <c r="J261" s="751"/>
      <c r="K261" s="765"/>
      <c r="L261" s="744"/>
      <c r="M261" s="751"/>
      <c r="N261" s="765"/>
      <c r="O261" s="744"/>
      <c r="P261" s="751"/>
      <c r="Q261" s="765"/>
      <c r="R261" s="744"/>
      <c r="S261" s="751"/>
      <c r="T261" s="765"/>
      <c r="U261" s="744"/>
      <c r="V261" s="751"/>
      <c r="W261" s="765"/>
      <c r="X261" s="744"/>
      <c r="Y261" s="751"/>
      <c r="Z261" s="765"/>
      <c r="AA261" s="744"/>
      <c r="AB261" s="751"/>
      <c r="AC261" s="765"/>
      <c r="AD261" s="744"/>
      <c r="AE261" s="751"/>
      <c r="AF261" s="765"/>
      <c r="AG261" s="744"/>
      <c r="AH261" s="751"/>
      <c r="AI261" s="765"/>
      <c r="AJ261" s="744"/>
      <c r="AK261" s="751"/>
      <c r="AL261" s="765"/>
      <c r="AM261" s="744"/>
      <c r="AN261" s="751"/>
      <c r="AO261" s="1240"/>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4"/>
      <c r="D262" s="751"/>
      <c r="E262" s="765"/>
      <c r="F262" s="744"/>
      <c r="G262" s="751"/>
      <c r="H262" s="765"/>
      <c r="I262" s="744"/>
      <c r="J262" s="751"/>
      <c r="K262" s="765"/>
      <c r="L262" s="744"/>
      <c r="M262" s="751"/>
      <c r="N262" s="765"/>
      <c r="O262" s="744"/>
      <c r="P262" s="751"/>
      <c r="Q262" s="765"/>
      <c r="R262" s="744"/>
      <c r="S262" s="751"/>
      <c r="T262" s="765"/>
      <c r="U262" s="744"/>
      <c r="V262" s="751"/>
      <c r="W262" s="765"/>
      <c r="X262" s="744"/>
      <c r="Y262" s="751"/>
      <c r="Z262" s="765"/>
      <c r="AA262" s="744"/>
      <c r="AB262" s="751"/>
      <c r="AC262" s="765"/>
      <c r="AD262" s="744"/>
      <c r="AE262" s="751"/>
      <c r="AF262" s="765"/>
      <c r="AG262" s="744"/>
      <c r="AH262" s="751"/>
      <c r="AI262" s="765"/>
      <c r="AJ262" s="744"/>
      <c r="AK262" s="751"/>
      <c r="AL262" s="765"/>
      <c r="AM262" s="744"/>
      <c r="AN262" s="751"/>
      <c r="AO262" s="1240"/>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4"/>
      <c r="D263" s="751"/>
      <c r="E263" s="765"/>
      <c r="F263" s="744"/>
      <c r="G263" s="751"/>
      <c r="H263" s="765"/>
      <c r="I263" s="744"/>
      <c r="J263" s="751"/>
      <c r="K263" s="765"/>
      <c r="L263" s="744"/>
      <c r="M263" s="751"/>
      <c r="N263" s="765"/>
      <c r="O263" s="744"/>
      <c r="P263" s="751"/>
      <c r="Q263" s="765"/>
      <c r="R263" s="744"/>
      <c r="S263" s="751"/>
      <c r="T263" s="765"/>
      <c r="U263" s="744"/>
      <c r="V263" s="751"/>
      <c r="W263" s="765"/>
      <c r="X263" s="744"/>
      <c r="Y263" s="751"/>
      <c r="Z263" s="765"/>
      <c r="AA263" s="744"/>
      <c r="AB263" s="751"/>
      <c r="AC263" s="765"/>
      <c r="AD263" s="744"/>
      <c r="AE263" s="751"/>
      <c r="AF263" s="765"/>
      <c r="AG263" s="744"/>
      <c r="AH263" s="751"/>
      <c r="AI263" s="765"/>
      <c r="AJ263" s="744"/>
      <c r="AK263" s="751"/>
      <c r="AL263" s="765"/>
      <c r="AM263" s="744"/>
      <c r="AN263" s="751"/>
      <c r="AO263" s="1240"/>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4"/>
      <c r="D264" s="751"/>
      <c r="E264" s="765">
        <v>6331.14</v>
      </c>
      <c r="F264" s="744"/>
      <c r="G264" s="751"/>
      <c r="H264" s="765">
        <v>476.39</v>
      </c>
      <c r="I264" s="744"/>
      <c r="J264" s="751"/>
      <c r="K264" s="765">
        <v>292.58999999999997</v>
      </c>
      <c r="L264" s="744"/>
      <c r="M264" s="751"/>
      <c r="N264" s="765">
        <v>244.69</v>
      </c>
      <c r="O264" s="744"/>
      <c r="P264" s="751"/>
      <c r="Q264" s="765">
        <v>537.70000000000005</v>
      </c>
      <c r="R264" s="744"/>
      <c r="S264" s="751"/>
      <c r="T264" s="765">
        <v>572.55999999999995</v>
      </c>
      <c r="U264" s="744"/>
      <c r="V264" s="751"/>
      <c r="W264" s="765">
        <v>567.5</v>
      </c>
      <c r="X264" s="744"/>
      <c r="Y264" s="751"/>
      <c r="Z264" s="765">
        <v>810.54</v>
      </c>
      <c r="AA264" s="744"/>
      <c r="AB264" s="751"/>
      <c r="AC264" s="765">
        <v>295.61</v>
      </c>
      <c r="AD264" s="744"/>
      <c r="AE264" s="751"/>
      <c r="AF264" s="765">
        <v>545.54999999999995</v>
      </c>
      <c r="AG264" s="744"/>
      <c r="AH264" s="751"/>
      <c r="AI264" s="765">
        <v>664.46</v>
      </c>
      <c r="AJ264" s="744"/>
      <c r="AK264" s="751"/>
      <c r="AL264" s="765">
        <v>303.14</v>
      </c>
      <c r="AM264" s="744"/>
      <c r="AN264" s="751"/>
      <c r="AO264" s="1240">
        <v>1020.41</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1142"/>
      <c r="D265" s="1160"/>
      <c r="E265" s="1162">
        <v>16996.59</v>
      </c>
      <c r="F265" s="1142"/>
      <c r="G265" s="1160"/>
      <c r="H265" s="1162">
        <v>1514.63</v>
      </c>
      <c r="I265" s="1142"/>
      <c r="J265" s="1160"/>
      <c r="K265" s="1162">
        <v>1514.91</v>
      </c>
      <c r="L265" s="1142"/>
      <c r="M265" s="1160"/>
      <c r="N265" s="1162">
        <v>1234.45</v>
      </c>
      <c r="O265" s="1142"/>
      <c r="P265" s="1160"/>
      <c r="Q265" s="1162">
        <v>1369.98</v>
      </c>
      <c r="R265" s="1142"/>
      <c r="S265" s="1160"/>
      <c r="T265" s="1162">
        <v>1444.17</v>
      </c>
      <c r="U265" s="1142"/>
      <c r="V265" s="1160"/>
      <c r="W265" s="1162">
        <v>1253.82</v>
      </c>
      <c r="X265" s="1142"/>
      <c r="Y265" s="1160"/>
      <c r="Z265" s="1162">
        <v>1273.5999999999999</v>
      </c>
      <c r="AA265" s="1142"/>
      <c r="AB265" s="1160"/>
      <c r="AC265" s="1162">
        <v>1352.19</v>
      </c>
      <c r="AD265" s="1142"/>
      <c r="AE265" s="1160"/>
      <c r="AF265" s="1162">
        <v>1443.66</v>
      </c>
      <c r="AG265" s="1142"/>
      <c r="AH265" s="1160"/>
      <c r="AI265" s="1162">
        <v>1628.76</v>
      </c>
      <c r="AJ265" s="1142"/>
      <c r="AK265" s="1160"/>
      <c r="AL265" s="1162">
        <v>1353.77</v>
      </c>
      <c r="AM265" s="1142"/>
      <c r="AN265" s="1160"/>
      <c r="AO265" s="1243">
        <v>1612.65</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4"/>
      <c r="D266" s="751"/>
      <c r="E266" s="765">
        <v>2671.9199999999983</v>
      </c>
      <c r="F266" s="744"/>
      <c r="G266" s="751"/>
      <c r="H266" s="765">
        <v>509.87</v>
      </c>
      <c r="I266" s="744"/>
      <c r="J266" s="751"/>
      <c r="K266" s="765">
        <v>383.38</v>
      </c>
      <c r="L266" s="744"/>
      <c r="M266" s="751"/>
      <c r="N266" s="765">
        <v>383.32</v>
      </c>
      <c r="O266" s="744"/>
      <c r="P266" s="751"/>
      <c r="Q266" s="765">
        <v>382.41999999999899</v>
      </c>
      <c r="R266" s="744"/>
      <c r="S266" s="751"/>
      <c r="T266" s="765">
        <v>463.91999999999899</v>
      </c>
      <c r="U266" s="744"/>
      <c r="V266" s="751"/>
      <c r="W266" s="765">
        <v>-396.9</v>
      </c>
      <c r="X266" s="744"/>
      <c r="Y266" s="751"/>
      <c r="Z266" s="765">
        <v>111.41</v>
      </c>
      <c r="AA266" s="744"/>
      <c r="AB266" s="751"/>
      <c r="AC266" s="765">
        <v>113.64</v>
      </c>
      <c r="AD266" s="744"/>
      <c r="AE266" s="751"/>
      <c r="AF266" s="765">
        <v>98.28</v>
      </c>
      <c r="AG266" s="744"/>
      <c r="AH266" s="751"/>
      <c r="AI266" s="765">
        <v>126.81</v>
      </c>
      <c r="AJ266" s="744"/>
      <c r="AK266" s="751"/>
      <c r="AL266" s="765">
        <v>236.68</v>
      </c>
      <c r="AM266" s="744"/>
      <c r="AN266" s="751"/>
      <c r="AO266" s="1240">
        <v>259.08999999999997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4"/>
      <c r="D267" s="751"/>
      <c r="E267" s="765">
        <v>2604.19</v>
      </c>
      <c r="F267" s="744"/>
      <c r="G267" s="751"/>
      <c r="H267" s="765">
        <v>170.57</v>
      </c>
      <c r="I267" s="744"/>
      <c r="J267" s="751"/>
      <c r="K267" s="765">
        <v>340.27</v>
      </c>
      <c r="L267" s="744"/>
      <c r="M267" s="751"/>
      <c r="N267" s="765">
        <v>203.82</v>
      </c>
      <c r="O267" s="744"/>
      <c r="P267" s="751"/>
      <c r="Q267" s="765">
        <v>341.14</v>
      </c>
      <c r="R267" s="744"/>
      <c r="S267" s="751"/>
      <c r="T267" s="765">
        <v>164.21</v>
      </c>
      <c r="U267" s="744"/>
      <c r="V267" s="751"/>
      <c r="W267" s="765">
        <v>131.69999999999999</v>
      </c>
      <c r="X267" s="744"/>
      <c r="Y267" s="751"/>
      <c r="Z267" s="765">
        <v>299.07</v>
      </c>
      <c r="AA267" s="744"/>
      <c r="AB267" s="751"/>
      <c r="AC267" s="765">
        <v>123.68</v>
      </c>
      <c r="AD267" s="744"/>
      <c r="AE267" s="751"/>
      <c r="AF267" s="765">
        <v>139.08000000000001</v>
      </c>
      <c r="AG267" s="744"/>
      <c r="AH267" s="751"/>
      <c r="AI267" s="765">
        <v>371.61</v>
      </c>
      <c r="AJ267" s="744"/>
      <c r="AK267" s="751"/>
      <c r="AL267" s="765">
        <v>139.32</v>
      </c>
      <c r="AM267" s="744"/>
      <c r="AN267" s="751"/>
      <c r="AO267" s="1240">
        <v>179.72</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0"/>
      <c r="D268" s="771"/>
      <c r="E268" s="768">
        <v>0</v>
      </c>
      <c r="F268" s="770"/>
      <c r="G268" s="771"/>
      <c r="H268" s="768"/>
      <c r="I268" s="770"/>
      <c r="J268" s="771"/>
      <c r="K268" s="768"/>
      <c r="L268" s="770"/>
      <c r="M268" s="771"/>
      <c r="N268" s="768"/>
      <c r="O268" s="770"/>
      <c r="P268" s="771"/>
      <c r="Q268" s="768"/>
      <c r="R268" s="770"/>
      <c r="S268" s="771"/>
      <c r="T268" s="768"/>
      <c r="U268" s="770"/>
      <c r="V268" s="771"/>
      <c r="W268" s="768"/>
      <c r="X268" s="770"/>
      <c r="Y268" s="771"/>
      <c r="Z268" s="768"/>
      <c r="AA268" s="770"/>
      <c r="AB268" s="771"/>
      <c r="AC268" s="768"/>
      <c r="AD268" s="770"/>
      <c r="AE268" s="771"/>
      <c r="AF268" s="768"/>
      <c r="AG268" s="770"/>
      <c r="AH268" s="771"/>
      <c r="AI268" s="768"/>
      <c r="AJ268" s="770"/>
      <c r="AK268" s="771"/>
      <c r="AL268" s="768"/>
      <c r="AM268" s="770"/>
      <c r="AN268" s="771"/>
      <c r="AO268" s="768"/>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1155" t="s">
        <v>119</v>
      </c>
      <c r="D269" s="1156">
        <v>0</v>
      </c>
      <c r="E269" s="1157">
        <v>92774.95</v>
      </c>
      <c r="F269" s="1155" t="s">
        <v>119</v>
      </c>
      <c r="G269" s="1156">
        <v>0</v>
      </c>
      <c r="H269" s="1157">
        <v>7400</v>
      </c>
      <c r="I269" s="1155" t="s">
        <v>119</v>
      </c>
      <c r="J269" s="1156">
        <v>0</v>
      </c>
      <c r="K269" s="1157">
        <v>6635.91</v>
      </c>
      <c r="L269" s="1155" t="s">
        <v>119</v>
      </c>
      <c r="M269" s="1156">
        <v>0</v>
      </c>
      <c r="N269" s="1157">
        <v>7108.8499999999985</v>
      </c>
      <c r="O269" s="1155" t="s">
        <v>119</v>
      </c>
      <c r="P269" s="1156">
        <v>0</v>
      </c>
      <c r="Q269" s="1157">
        <v>7749.15</v>
      </c>
      <c r="R269" s="1155" t="s">
        <v>119</v>
      </c>
      <c r="S269" s="1156">
        <v>0</v>
      </c>
      <c r="T269" s="1157">
        <v>8523.0799999999981</v>
      </c>
      <c r="U269" s="1155" t="s">
        <v>119</v>
      </c>
      <c r="V269" s="1156">
        <v>0</v>
      </c>
      <c r="W269" s="1242">
        <v>6317.96</v>
      </c>
      <c r="X269" s="1155" t="s">
        <v>119</v>
      </c>
      <c r="Y269" s="1156">
        <v>0</v>
      </c>
      <c r="Z269" s="1242">
        <v>4920.24</v>
      </c>
      <c r="AA269" s="1155" t="s">
        <v>119</v>
      </c>
      <c r="AB269" s="1156">
        <v>0</v>
      </c>
      <c r="AC269" s="1242">
        <v>7697.5000000000009</v>
      </c>
      <c r="AD269" s="1155" t="s">
        <v>119</v>
      </c>
      <c r="AE269" s="1156">
        <v>0</v>
      </c>
      <c r="AF269" s="1242">
        <v>8123.86</v>
      </c>
      <c r="AG269" s="1155" t="s">
        <v>119</v>
      </c>
      <c r="AH269" s="1156">
        <v>0</v>
      </c>
      <c r="AI269" s="1157">
        <v>10035.99</v>
      </c>
      <c r="AJ269" s="1155" t="s">
        <v>119</v>
      </c>
      <c r="AK269" s="1156">
        <v>0</v>
      </c>
      <c r="AL269" s="1157">
        <v>8852.2100000000009</v>
      </c>
      <c r="AM269" s="1155" t="s">
        <v>119</v>
      </c>
      <c r="AN269" s="1156">
        <v>0</v>
      </c>
      <c r="AO269" s="1157">
        <v>9410.1999999999989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4"/>
      <c r="D270" s="751"/>
      <c r="E270" s="765">
        <v>333.71999999999997</v>
      </c>
      <c r="F270" s="744"/>
      <c r="G270" s="751"/>
      <c r="H270" s="765">
        <v>7</v>
      </c>
      <c r="I270" s="744"/>
      <c r="J270" s="751"/>
      <c r="K270" s="765">
        <v>24.5</v>
      </c>
      <c r="L270" s="744"/>
      <c r="M270" s="751"/>
      <c r="N270" s="765">
        <v>40.25</v>
      </c>
      <c r="O270" s="744"/>
      <c r="P270" s="751"/>
      <c r="Q270" s="765">
        <v>28</v>
      </c>
      <c r="R270" s="744"/>
      <c r="S270" s="751"/>
      <c r="T270" s="765">
        <v>3.5</v>
      </c>
      <c r="U270" s="744"/>
      <c r="V270" s="751"/>
      <c r="W270" s="765">
        <v>33.46</v>
      </c>
      <c r="X270" s="744"/>
      <c r="Y270" s="751"/>
      <c r="Z270" s="765">
        <v>89.88</v>
      </c>
      <c r="AA270" s="744"/>
      <c r="AB270" s="751"/>
      <c r="AC270" s="765">
        <v>38.08</v>
      </c>
      <c r="AD270" s="744"/>
      <c r="AE270" s="751"/>
      <c r="AF270" s="765">
        <v>14</v>
      </c>
      <c r="AG270" s="744"/>
      <c r="AH270" s="751"/>
      <c r="AI270" s="765">
        <v>13.02</v>
      </c>
      <c r="AJ270" s="744"/>
      <c r="AK270" s="751"/>
      <c r="AL270" s="765">
        <v>0.01</v>
      </c>
      <c r="AM270" s="744"/>
      <c r="AN270" s="751"/>
      <c r="AO270" s="1240">
        <v>42.02</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4"/>
      <c r="D271" s="751"/>
      <c r="E271" s="765">
        <v>12872.140000000001</v>
      </c>
      <c r="F271" s="744"/>
      <c r="G271" s="751"/>
      <c r="H271" s="765">
        <v>11717.2</v>
      </c>
      <c r="I271" s="744"/>
      <c r="J271" s="751"/>
      <c r="K271" s="765">
        <v>0</v>
      </c>
      <c r="L271" s="744"/>
      <c r="M271" s="751"/>
      <c r="N271" s="765">
        <v>0</v>
      </c>
      <c r="O271" s="744"/>
      <c r="P271" s="751"/>
      <c r="Q271" s="765">
        <v>609.52</v>
      </c>
      <c r="R271" s="744"/>
      <c r="S271" s="751"/>
      <c r="T271" s="765">
        <v>0</v>
      </c>
      <c r="U271" s="744"/>
      <c r="V271" s="751"/>
      <c r="W271" s="765">
        <v>0</v>
      </c>
      <c r="X271" s="744"/>
      <c r="Y271" s="751"/>
      <c r="Z271" s="765">
        <v>0</v>
      </c>
      <c r="AA271" s="744"/>
      <c r="AB271" s="751"/>
      <c r="AC271" s="765">
        <v>0</v>
      </c>
      <c r="AD271" s="744"/>
      <c r="AE271" s="751"/>
      <c r="AF271" s="765">
        <v>88.95</v>
      </c>
      <c r="AG271" s="744"/>
      <c r="AH271" s="751"/>
      <c r="AI271" s="765">
        <v>349.3</v>
      </c>
      <c r="AJ271" s="744"/>
      <c r="AK271" s="751"/>
      <c r="AL271" s="765">
        <v>48.11</v>
      </c>
      <c r="AM271" s="744"/>
      <c r="AN271" s="751"/>
      <c r="AO271" s="1240">
        <v>59.06</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0"/>
      <c r="D272" s="771"/>
      <c r="E272" s="769">
        <v>1985.9100000000003</v>
      </c>
      <c r="F272" s="770"/>
      <c r="G272" s="771"/>
      <c r="H272" s="769">
        <v>177.91</v>
      </c>
      <c r="I272" s="770"/>
      <c r="J272" s="771"/>
      <c r="K272" s="769">
        <v>157.77000000000001</v>
      </c>
      <c r="L272" s="770"/>
      <c r="M272" s="771"/>
      <c r="N272" s="769">
        <v>157.77000000000001</v>
      </c>
      <c r="O272" s="770"/>
      <c r="P272" s="771"/>
      <c r="Q272" s="769">
        <v>157.77000000000001</v>
      </c>
      <c r="R272" s="770"/>
      <c r="S272" s="771"/>
      <c r="T272" s="769">
        <v>177.91</v>
      </c>
      <c r="U272" s="770"/>
      <c r="V272" s="771"/>
      <c r="W272" s="769">
        <v>157.77000000000001</v>
      </c>
      <c r="X272" s="770"/>
      <c r="Y272" s="771"/>
      <c r="Z272" s="769">
        <v>157.77000000000001</v>
      </c>
      <c r="AA272" s="770"/>
      <c r="AB272" s="771"/>
      <c r="AC272" s="769">
        <v>177.91</v>
      </c>
      <c r="AD272" s="770"/>
      <c r="AE272" s="771"/>
      <c r="AF272" s="769">
        <v>157.77000000000001</v>
      </c>
      <c r="AG272" s="770"/>
      <c r="AH272" s="771"/>
      <c r="AI272" s="769">
        <v>177.91</v>
      </c>
      <c r="AJ272" s="770"/>
      <c r="AK272" s="771"/>
      <c r="AL272" s="769">
        <v>157.77000000000001</v>
      </c>
      <c r="AM272" s="770"/>
      <c r="AN272" s="771"/>
      <c r="AO272" s="1241">
        <v>169.88</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4"/>
      <c r="D273" s="751"/>
      <c r="E273" s="765">
        <v>19885.97</v>
      </c>
      <c r="F273" s="744"/>
      <c r="G273" s="751"/>
      <c r="H273" s="765">
        <v>2230.21</v>
      </c>
      <c r="I273" s="744"/>
      <c r="J273" s="751"/>
      <c r="K273" s="765">
        <v>1160.31</v>
      </c>
      <c r="L273" s="744"/>
      <c r="M273" s="751"/>
      <c r="N273" s="765">
        <v>1609.3</v>
      </c>
      <c r="O273" s="744"/>
      <c r="P273" s="751"/>
      <c r="Q273" s="765">
        <v>1872.86</v>
      </c>
      <c r="R273" s="744"/>
      <c r="S273" s="751"/>
      <c r="T273" s="765">
        <v>2065.0700000000002</v>
      </c>
      <c r="U273" s="744"/>
      <c r="V273" s="751"/>
      <c r="W273" s="765">
        <v>1449.66</v>
      </c>
      <c r="X273" s="744"/>
      <c r="Y273" s="751"/>
      <c r="Z273" s="765">
        <v>1544.79</v>
      </c>
      <c r="AA273" s="744"/>
      <c r="AB273" s="751"/>
      <c r="AC273" s="765">
        <v>1592.18</v>
      </c>
      <c r="AD273" s="744"/>
      <c r="AE273" s="751"/>
      <c r="AF273" s="765">
        <v>1496.8</v>
      </c>
      <c r="AG273" s="744"/>
      <c r="AH273" s="751"/>
      <c r="AI273" s="765">
        <v>1116.99</v>
      </c>
      <c r="AJ273" s="744"/>
      <c r="AK273" s="751"/>
      <c r="AL273" s="765">
        <v>2002.96</v>
      </c>
      <c r="AM273" s="744"/>
      <c r="AN273" s="751"/>
      <c r="AO273" s="1240">
        <v>1744.84</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4"/>
      <c r="D274" s="751"/>
      <c r="E274" s="765">
        <v>3384.0000000000005</v>
      </c>
      <c r="F274" s="744"/>
      <c r="G274" s="751"/>
      <c r="H274" s="765">
        <v>292.13</v>
      </c>
      <c r="I274" s="744"/>
      <c r="J274" s="751"/>
      <c r="K274" s="765">
        <v>203.97</v>
      </c>
      <c r="L274" s="744"/>
      <c r="M274" s="751"/>
      <c r="N274" s="765">
        <v>191.76</v>
      </c>
      <c r="O274" s="744"/>
      <c r="P274" s="751"/>
      <c r="Q274" s="765">
        <v>285.75</v>
      </c>
      <c r="R274" s="744"/>
      <c r="S274" s="751"/>
      <c r="T274" s="765">
        <v>264.81</v>
      </c>
      <c r="U274" s="744"/>
      <c r="V274" s="751"/>
      <c r="W274" s="765">
        <v>435.98</v>
      </c>
      <c r="X274" s="744"/>
      <c r="Y274" s="751"/>
      <c r="Z274" s="765">
        <v>179.64</v>
      </c>
      <c r="AA274" s="744"/>
      <c r="AB274" s="751"/>
      <c r="AC274" s="765">
        <v>167.36</v>
      </c>
      <c r="AD274" s="744"/>
      <c r="AE274" s="751"/>
      <c r="AF274" s="765">
        <v>186.27</v>
      </c>
      <c r="AG274" s="744"/>
      <c r="AH274" s="751"/>
      <c r="AI274" s="765">
        <v>482.13</v>
      </c>
      <c r="AJ274" s="744"/>
      <c r="AK274" s="751"/>
      <c r="AL274" s="765">
        <v>364.88</v>
      </c>
      <c r="AM274" s="744"/>
      <c r="AN274" s="751"/>
      <c r="AO274" s="1240">
        <v>329.32</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0"/>
      <c r="D275" s="771"/>
      <c r="E275" s="769">
        <v>8546.1900000000023</v>
      </c>
      <c r="F275" s="770"/>
      <c r="G275" s="771"/>
      <c r="H275" s="769">
        <v>825.52</v>
      </c>
      <c r="I275" s="770"/>
      <c r="J275" s="771"/>
      <c r="K275" s="769">
        <v>841.55</v>
      </c>
      <c r="L275" s="770"/>
      <c r="M275" s="771"/>
      <c r="N275" s="769">
        <v>1423.27</v>
      </c>
      <c r="O275" s="770"/>
      <c r="P275" s="771"/>
      <c r="Q275" s="769">
        <v>726.05</v>
      </c>
      <c r="R275" s="770"/>
      <c r="S275" s="771"/>
      <c r="T275" s="769">
        <v>730.06</v>
      </c>
      <c r="U275" s="770"/>
      <c r="V275" s="771"/>
      <c r="W275" s="769">
        <v>494.99</v>
      </c>
      <c r="X275" s="770"/>
      <c r="Y275" s="771"/>
      <c r="Z275" s="769">
        <v>987.01</v>
      </c>
      <c r="AA275" s="770"/>
      <c r="AB275" s="771"/>
      <c r="AC275" s="769">
        <v>531.78</v>
      </c>
      <c r="AD275" s="770"/>
      <c r="AE275" s="771"/>
      <c r="AF275" s="769">
        <v>978.56</v>
      </c>
      <c r="AG275" s="770"/>
      <c r="AH275" s="771"/>
      <c r="AI275" s="769">
        <v>890.54</v>
      </c>
      <c r="AJ275" s="770"/>
      <c r="AK275" s="771"/>
      <c r="AL275" s="769">
        <v>1148.67</v>
      </c>
      <c r="AM275" s="770"/>
      <c r="AN275" s="771"/>
      <c r="AO275" s="1241">
        <v>-1031.81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4"/>
      <c r="D276" s="751"/>
      <c r="E276" s="765">
        <v>0</v>
      </c>
      <c r="F276" s="744"/>
      <c r="G276" s="751"/>
      <c r="H276" s="765">
        <v>0</v>
      </c>
      <c r="I276" s="744"/>
      <c r="J276" s="751"/>
      <c r="K276" s="765">
        <v>0</v>
      </c>
      <c r="L276" s="744"/>
      <c r="M276" s="751"/>
      <c r="N276" s="765">
        <v>0</v>
      </c>
      <c r="O276" s="744"/>
      <c r="P276" s="751"/>
      <c r="Q276" s="765">
        <v>0</v>
      </c>
      <c r="R276" s="744"/>
      <c r="S276" s="751"/>
      <c r="T276" s="765">
        <v>0</v>
      </c>
      <c r="U276" s="744"/>
      <c r="V276" s="751"/>
      <c r="W276" s="765">
        <v>0</v>
      </c>
      <c r="X276" s="744"/>
      <c r="Y276" s="751"/>
      <c r="Z276" s="765">
        <v>0</v>
      </c>
      <c r="AA276" s="744"/>
      <c r="AB276" s="751"/>
      <c r="AC276" s="765">
        <v>0</v>
      </c>
      <c r="AD276" s="744"/>
      <c r="AE276" s="751"/>
      <c r="AF276" s="765">
        <v>0</v>
      </c>
      <c r="AG276" s="744"/>
      <c r="AH276" s="751"/>
      <c r="AI276" s="765">
        <v>0</v>
      </c>
      <c r="AJ276" s="744"/>
      <c r="AK276" s="751"/>
      <c r="AL276" s="765">
        <v>0</v>
      </c>
      <c r="AM276" s="744"/>
      <c r="AN276" s="751"/>
      <c r="AO276" s="1240">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4"/>
      <c r="D277" s="751"/>
      <c r="E277" s="765">
        <v>10.199999999999999</v>
      </c>
      <c r="F277" s="744"/>
      <c r="G277" s="751"/>
      <c r="H277" s="765">
        <v>0</v>
      </c>
      <c r="I277" s="744"/>
      <c r="J277" s="751"/>
      <c r="K277" s="765">
        <v>0</v>
      </c>
      <c r="L277" s="744"/>
      <c r="M277" s="751"/>
      <c r="N277" s="765">
        <v>0</v>
      </c>
      <c r="O277" s="744"/>
      <c r="P277" s="751"/>
      <c r="Q277" s="765">
        <v>0</v>
      </c>
      <c r="R277" s="744"/>
      <c r="S277" s="751"/>
      <c r="T277" s="765">
        <v>0</v>
      </c>
      <c r="U277" s="744"/>
      <c r="V277" s="751"/>
      <c r="W277" s="765">
        <v>0</v>
      </c>
      <c r="X277" s="744"/>
      <c r="Y277" s="751"/>
      <c r="Z277" s="765">
        <v>0</v>
      </c>
      <c r="AA277" s="744"/>
      <c r="AB277" s="751"/>
      <c r="AC277" s="765">
        <v>4.59</v>
      </c>
      <c r="AD277" s="744"/>
      <c r="AE277" s="751"/>
      <c r="AF277" s="765">
        <v>5.61</v>
      </c>
      <c r="AG277" s="744"/>
      <c r="AH277" s="751"/>
      <c r="AI277" s="765">
        <v>0</v>
      </c>
      <c r="AJ277" s="744"/>
      <c r="AK277" s="751"/>
      <c r="AL277" s="765">
        <v>0</v>
      </c>
      <c r="AM277" s="744"/>
      <c r="AN277" s="751"/>
      <c r="AO277" s="1240">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4"/>
      <c r="D278" s="751"/>
      <c r="E278" s="765">
        <v>0</v>
      </c>
      <c r="F278" s="744"/>
      <c r="G278" s="751"/>
      <c r="H278" s="765">
        <v>0</v>
      </c>
      <c r="I278" s="744"/>
      <c r="J278" s="751"/>
      <c r="K278" s="765">
        <v>0</v>
      </c>
      <c r="L278" s="744"/>
      <c r="M278" s="751"/>
      <c r="N278" s="765">
        <v>0</v>
      </c>
      <c r="O278" s="744"/>
      <c r="P278" s="751"/>
      <c r="Q278" s="765">
        <v>0</v>
      </c>
      <c r="R278" s="744"/>
      <c r="S278" s="751"/>
      <c r="T278" s="765">
        <v>0</v>
      </c>
      <c r="U278" s="744"/>
      <c r="V278" s="751"/>
      <c r="W278" s="765">
        <v>0</v>
      </c>
      <c r="X278" s="744"/>
      <c r="Y278" s="751"/>
      <c r="Z278" s="765">
        <v>0</v>
      </c>
      <c r="AA278" s="744"/>
      <c r="AB278" s="751"/>
      <c r="AC278" s="765">
        <v>0</v>
      </c>
      <c r="AD278" s="744"/>
      <c r="AE278" s="751"/>
      <c r="AF278" s="765">
        <v>0</v>
      </c>
      <c r="AG278" s="744"/>
      <c r="AH278" s="751"/>
      <c r="AI278" s="765">
        <v>0</v>
      </c>
      <c r="AJ278" s="744"/>
      <c r="AK278" s="751"/>
      <c r="AL278" s="765">
        <v>0</v>
      </c>
      <c r="AM278" s="744"/>
      <c r="AN278" s="751"/>
      <c r="AO278" s="1240">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4"/>
      <c r="D279" s="751"/>
      <c r="E279" s="765">
        <v>1390.1699999999998</v>
      </c>
      <c r="F279" s="744"/>
      <c r="G279" s="751"/>
      <c r="H279" s="765">
        <v>35.380000000000003</v>
      </c>
      <c r="I279" s="744"/>
      <c r="J279" s="751"/>
      <c r="K279" s="765">
        <v>227.94</v>
      </c>
      <c r="L279" s="744"/>
      <c r="M279" s="751"/>
      <c r="N279" s="765">
        <v>118.8</v>
      </c>
      <c r="O279" s="744"/>
      <c r="P279" s="751"/>
      <c r="Q279" s="765">
        <v>12.72</v>
      </c>
      <c r="R279" s="744"/>
      <c r="S279" s="751"/>
      <c r="T279" s="765">
        <v>229.11</v>
      </c>
      <c r="U279" s="744"/>
      <c r="V279" s="751"/>
      <c r="W279" s="765">
        <v>89.36</v>
      </c>
      <c r="X279" s="744"/>
      <c r="Y279" s="751"/>
      <c r="Z279" s="765">
        <v>47.8</v>
      </c>
      <c r="AA279" s="744"/>
      <c r="AB279" s="751"/>
      <c r="AC279" s="765">
        <v>172.13</v>
      </c>
      <c r="AD279" s="744"/>
      <c r="AE279" s="751"/>
      <c r="AF279" s="765">
        <v>65.52</v>
      </c>
      <c r="AG279" s="744"/>
      <c r="AH279" s="751"/>
      <c r="AI279" s="765">
        <v>12.89</v>
      </c>
      <c r="AJ279" s="744"/>
      <c r="AK279" s="751"/>
      <c r="AL279" s="765">
        <v>320.76</v>
      </c>
      <c r="AM279" s="744"/>
      <c r="AN279" s="751"/>
      <c r="AO279" s="1240">
        <v>57.76</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4"/>
      <c r="D280" s="751"/>
      <c r="E280" s="765">
        <v>335.71000000000004</v>
      </c>
      <c r="F280" s="744"/>
      <c r="G280" s="751"/>
      <c r="H280" s="765">
        <v>36.47</v>
      </c>
      <c r="I280" s="744"/>
      <c r="J280" s="751"/>
      <c r="K280" s="765">
        <v>33.880000000000003</v>
      </c>
      <c r="L280" s="744"/>
      <c r="M280" s="751"/>
      <c r="N280" s="765">
        <v>24.49</v>
      </c>
      <c r="O280" s="744"/>
      <c r="P280" s="751"/>
      <c r="Q280" s="765">
        <v>26.51</v>
      </c>
      <c r="R280" s="744"/>
      <c r="S280" s="751"/>
      <c r="T280" s="765">
        <v>24.76</v>
      </c>
      <c r="U280" s="744"/>
      <c r="V280" s="751"/>
      <c r="W280" s="765">
        <v>22.93</v>
      </c>
      <c r="X280" s="744"/>
      <c r="Y280" s="751"/>
      <c r="Z280" s="765">
        <v>17.43</v>
      </c>
      <c r="AA280" s="744"/>
      <c r="AB280" s="751"/>
      <c r="AC280" s="765">
        <v>35.9</v>
      </c>
      <c r="AD280" s="744"/>
      <c r="AE280" s="751"/>
      <c r="AF280" s="765">
        <v>26.36</v>
      </c>
      <c r="AG280" s="744"/>
      <c r="AH280" s="751"/>
      <c r="AI280" s="765">
        <v>27.71</v>
      </c>
      <c r="AJ280" s="744"/>
      <c r="AK280" s="751"/>
      <c r="AL280" s="765">
        <v>32.99</v>
      </c>
      <c r="AM280" s="744"/>
      <c r="AN280" s="751"/>
      <c r="AO280" s="1240">
        <v>26.28</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4"/>
      <c r="D281" s="751"/>
      <c r="E281" s="765">
        <v>587.62999999999988</v>
      </c>
      <c r="F281" s="744"/>
      <c r="G281" s="751"/>
      <c r="H281" s="765">
        <v>158.76</v>
      </c>
      <c r="I281" s="744"/>
      <c r="J281" s="751"/>
      <c r="K281" s="765">
        <v>97.98</v>
      </c>
      <c r="L281" s="744"/>
      <c r="M281" s="751"/>
      <c r="N281" s="765">
        <v>88.77</v>
      </c>
      <c r="O281" s="744"/>
      <c r="P281" s="751"/>
      <c r="Q281" s="765">
        <v>28.72</v>
      </c>
      <c r="R281" s="744"/>
      <c r="S281" s="751"/>
      <c r="T281" s="765">
        <v>46.19</v>
      </c>
      <c r="U281" s="744"/>
      <c r="V281" s="751"/>
      <c r="W281" s="765">
        <v>19.329999999999998</v>
      </c>
      <c r="X281" s="744"/>
      <c r="Y281" s="751"/>
      <c r="Z281" s="765">
        <v>11.94</v>
      </c>
      <c r="AA281" s="744"/>
      <c r="AB281" s="751"/>
      <c r="AC281" s="765">
        <v>44.65</v>
      </c>
      <c r="AD281" s="744"/>
      <c r="AE281" s="751"/>
      <c r="AF281" s="765">
        <v>17.11</v>
      </c>
      <c r="AG281" s="744"/>
      <c r="AH281" s="751"/>
      <c r="AI281" s="765">
        <v>19.09</v>
      </c>
      <c r="AJ281" s="744"/>
      <c r="AK281" s="751"/>
      <c r="AL281" s="765">
        <v>25.53</v>
      </c>
      <c r="AM281" s="744"/>
      <c r="AN281" s="751"/>
      <c r="AO281" s="1240">
        <v>29.56</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4"/>
      <c r="D282" s="751"/>
      <c r="E282" s="765">
        <v>436.65999999999997</v>
      </c>
      <c r="F282" s="744"/>
      <c r="G282" s="751"/>
      <c r="H282" s="765">
        <v>19.57</v>
      </c>
      <c r="I282" s="744"/>
      <c r="J282" s="751"/>
      <c r="K282" s="765">
        <v>15.58</v>
      </c>
      <c r="L282" s="744"/>
      <c r="M282" s="751"/>
      <c r="N282" s="765">
        <v>15.58</v>
      </c>
      <c r="O282" s="744"/>
      <c r="P282" s="751"/>
      <c r="Q282" s="765">
        <v>26.49</v>
      </c>
      <c r="R282" s="744"/>
      <c r="S282" s="751"/>
      <c r="T282" s="765">
        <v>24.43</v>
      </c>
      <c r="U282" s="744"/>
      <c r="V282" s="751"/>
      <c r="W282" s="765">
        <v>13.72</v>
      </c>
      <c r="X282" s="744"/>
      <c r="Y282" s="751"/>
      <c r="Z282" s="765">
        <v>13.72</v>
      </c>
      <c r="AA282" s="744"/>
      <c r="AB282" s="751"/>
      <c r="AC282" s="765">
        <v>13.72</v>
      </c>
      <c r="AD282" s="744"/>
      <c r="AE282" s="751"/>
      <c r="AF282" s="765">
        <v>29.47</v>
      </c>
      <c r="AG282" s="744"/>
      <c r="AH282" s="751"/>
      <c r="AI282" s="765">
        <v>13.72</v>
      </c>
      <c r="AJ282" s="744"/>
      <c r="AK282" s="751"/>
      <c r="AL282" s="765">
        <v>89.76</v>
      </c>
      <c r="AM282" s="744"/>
      <c r="AN282" s="751"/>
      <c r="AO282" s="1240">
        <v>160.9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4"/>
      <c r="D283" s="751"/>
      <c r="E283" s="765">
        <v>868.87</v>
      </c>
      <c r="F283" s="744"/>
      <c r="G283" s="751"/>
      <c r="H283" s="765">
        <v>22.33</v>
      </c>
      <c r="I283" s="744"/>
      <c r="J283" s="751"/>
      <c r="K283" s="765">
        <v>66.58</v>
      </c>
      <c r="L283" s="744"/>
      <c r="M283" s="751"/>
      <c r="N283" s="765">
        <v>148.75</v>
      </c>
      <c r="O283" s="744"/>
      <c r="P283" s="751"/>
      <c r="Q283" s="765">
        <v>22.33</v>
      </c>
      <c r="R283" s="744"/>
      <c r="S283" s="751"/>
      <c r="T283" s="765">
        <v>-9.5500000000000007</v>
      </c>
      <c r="U283" s="744"/>
      <c r="V283" s="751"/>
      <c r="W283" s="765">
        <v>22.33</v>
      </c>
      <c r="X283" s="744"/>
      <c r="Y283" s="751"/>
      <c r="Z283" s="765">
        <v>131.96</v>
      </c>
      <c r="AA283" s="744"/>
      <c r="AB283" s="751"/>
      <c r="AC283" s="765">
        <v>91.95</v>
      </c>
      <c r="AD283" s="744"/>
      <c r="AE283" s="751"/>
      <c r="AF283" s="765">
        <v>90.63</v>
      </c>
      <c r="AG283" s="744"/>
      <c r="AH283" s="751"/>
      <c r="AI283" s="765">
        <v>133.72</v>
      </c>
      <c r="AJ283" s="744"/>
      <c r="AK283" s="751"/>
      <c r="AL283" s="765">
        <v>125.51</v>
      </c>
      <c r="AM283" s="744"/>
      <c r="AN283" s="751"/>
      <c r="AO283" s="1240">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4"/>
      <c r="D284" s="751"/>
      <c r="E284" s="765">
        <v>2670.5399999999995</v>
      </c>
      <c r="F284" s="744"/>
      <c r="G284" s="751"/>
      <c r="H284" s="765">
        <v>155.71</v>
      </c>
      <c r="I284" s="744"/>
      <c r="J284" s="751"/>
      <c r="K284" s="765">
        <v>120.3</v>
      </c>
      <c r="L284" s="744"/>
      <c r="M284" s="751"/>
      <c r="N284" s="765">
        <v>206.67</v>
      </c>
      <c r="O284" s="744"/>
      <c r="P284" s="751"/>
      <c r="Q284" s="765">
        <v>256.04000000000002</v>
      </c>
      <c r="R284" s="744"/>
      <c r="S284" s="751"/>
      <c r="T284" s="765">
        <v>253.32</v>
      </c>
      <c r="U284" s="744"/>
      <c r="V284" s="751"/>
      <c r="W284" s="765">
        <v>195.21</v>
      </c>
      <c r="X284" s="744"/>
      <c r="Y284" s="751"/>
      <c r="Z284" s="765">
        <v>216.81</v>
      </c>
      <c r="AA284" s="744"/>
      <c r="AB284" s="751"/>
      <c r="AC284" s="765">
        <v>210.56</v>
      </c>
      <c r="AD284" s="744"/>
      <c r="AE284" s="751"/>
      <c r="AF284" s="765">
        <v>223.14</v>
      </c>
      <c r="AG284" s="744"/>
      <c r="AH284" s="751"/>
      <c r="AI284" s="765">
        <v>258.08</v>
      </c>
      <c r="AJ284" s="744"/>
      <c r="AK284" s="751"/>
      <c r="AL284" s="765">
        <v>353.23</v>
      </c>
      <c r="AM284" s="744"/>
      <c r="AN284" s="751"/>
      <c r="AO284" s="1240">
        <v>221.47</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4"/>
      <c r="D285" s="751"/>
      <c r="E285" s="752"/>
      <c r="F285" s="744"/>
      <c r="G285" s="751"/>
      <c r="H285" s="752"/>
      <c r="I285" s="744"/>
      <c r="J285" s="751"/>
      <c r="K285" s="752"/>
      <c r="L285" s="744"/>
      <c r="M285" s="751"/>
      <c r="N285" s="752"/>
      <c r="O285" s="744"/>
      <c r="P285" s="751"/>
      <c r="Q285" s="752"/>
      <c r="R285" s="744"/>
      <c r="S285" s="751"/>
      <c r="T285" s="752"/>
      <c r="U285" s="744"/>
      <c r="V285" s="751"/>
      <c r="W285" s="752"/>
      <c r="X285" s="744"/>
      <c r="Y285" s="751"/>
      <c r="Z285" s="752"/>
      <c r="AA285" s="744"/>
      <c r="AB285" s="751"/>
      <c r="AC285" s="752"/>
      <c r="AD285" s="744"/>
      <c r="AE285" s="751"/>
      <c r="AF285" s="752"/>
      <c r="AG285" s="744"/>
      <c r="AH285" s="751"/>
      <c r="AI285" s="752"/>
      <c r="AJ285" s="744"/>
      <c r="AK285" s="751"/>
      <c r="AL285" s="752"/>
      <c r="AM285" s="744"/>
      <c r="AN285" s="751"/>
      <c r="AO285" s="752"/>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4"/>
      <c r="D286" s="751"/>
      <c r="E286" s="752"/>
      <c r="F286" s="744"/>
      <c r="G286" s="751"/>
      <c r="H286" s="752"/>
      <c r="I286" s="744"/>
      <c r="J286" s="751"/>
      <c r="K286" s="752"/>
      <c r="L286" s="744"/>
      <c r="M286" s="751"/>
      <c r="N286" s="752"/>
      <c r="O286" s="744"/>
      <c r="P286" s="751"/>
      <c r="Q286" s="752"/>
      <c r="R286" s="744"/>
      <c r="S286" s="751"/>
      <c r="T286" s="752"/>
      <c r="U286" s="744"/>
      <c r="V286" s="751"/>
      <c r="W286" s="752"/>
      <c r="X286" s="744"/>
      <c r="Y286" s="751"/>
      <c r="Z286" s="752"/>
      <c r="AA286" s="744"/>
      <c r="AB286" s="751"/>
      <c r="AC286" s="752"/>
      <c r="AD286" s="744"/>
      <c r="AE286" s="751"/>
      <c r="AF286" s="752"/>
      <c r="AG286" s="744"/>
      <c r="AH286" s="751"/>
      <c r="AI286" s="752"/>
      <c r="AJ286" s="744"/>
      <c r="AK286" s="751"/>
      <c r="AL286" s="752"/>
      <c r="AM286" s="744"/>
      <c r="AN286" s="751"/>
      <c r="AO286" s="752"/>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4"/>
      <c r="D287" s="751"/>
      <c r="E287" s="752"/>
      <c r="F287" s="744"/>
      <c r="G287" s="751"/>
      <c r="H287" s="752"/>
      <c r="I287" s="744"/>
      <c r="J287" s="751"/>
      <c r="K287" s="752"/>
      <c r="L287" s="744"/>
      <c r="M287" s="751"/>
      <c r="N287" s="752"/>
      <c r="O287" s="744"/>
      <c r="P287" s="751"/>
      <c r="Q287" s="752"/>
      <c r="R287" s="744"/>
      <c r="S287" s="751"/>
      <c r="T287" s="752"/>
      <c r="U287" s="744"/>
      <c r="V287" s="751"/>
      <c r="W287" s="752"/>
      <c r="X287" s="744"/>
      <c r="Y287" s="751"/>
      <c r="Z287" s="752"/>
      <c r="AA287" s="744"/>
      <c r="AB287" s="751"/>
      <c r="AC287" s="752"/>
      <c r="AD287" s="744"/>
      <c r="AE287" s="751"/>
      <c r="AF287" s="752"/>
      <c r="AG287" s="744"/>
      <c r="AH287" s="751"/>
      <c r="AI287" s="752"/>
      <c r="AJ287" s="744"/>
      <c r="AK287" s="751"/>
      <c r="AL287" s="752"/>
      <c r="AM287" s="744"/>
      <c r="AN287" s="751"/>
      <c r="AO287" s="752"/>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76" t="s">
        <v>119</v>
      </c>
      <c r="D288" s="1167">
        <v>0</v>
      </c>
      <c r="E288" s="777">
        <v>53307.710000000006</v>
      </c>
      <c r="F288" s="776" t="s">
        <v>119</v>
      </c>
      <c r="G288" s="1167">
        <v>0</v>
      </c>
      <c r="H288" s="777">
        <v>15678.189999999997</v>
      </c>
      <c r="I288" s="776" t="s">
        <v>119</v>
      </c>
      <c r="J288" s="1167">
        <v>0</v>
      </c>
      <c r="K288" s="777">
        <v>2950.36</v>
      </c>
      <c r="L288" s="776" t="s">
        <v>119</v>
      </c>
      <c r="M288" s="1167">
        <v>0</v>
      </c>
      <c r="N288" s="777">
        <v>4025.41</v>
      </c>
      <c r="O288" s="776" t="s">
        <v>119</v>
      </c>
      <c r="P288" s="1167">
        <v>0</v>
      </c>
      <c r="Q288" s="777">
        <v>4052.7599999999993</v>
      </c>
      <c r="R288" s="776" t="s">
        <v>119</v>
      </c>
      <c r="S288" s="1167">
        <v>0</v>
      </c>
      <c r="T288" s="777">
        <v>3809.61</v>
      </c>
      <c r="U288" s="776" t="s">
        <v>119</v>
      </c>
      <c r="V288" s="1167">
        <v>0</v>
      </c>
      <c r="W288" s="1246">
        <v>2934.7399999999993</v>
      </c>
      <c r="X288" s="776" t="s">
        <v>119</v>
      </c>
      <c r="Y288" s="1167">
        <v>0</v>
      </c>
      <c r="Z288" s="1246">
        <v>3398.75</v>
      </c>
      <c r="AA288" s="776" t="s">
        <v>119</v>
      </c>
      <c r="AB288" s="1167">
        <v>0</v>
      </c>
      <c r="AC288" s="1246">
        <v>3080.8100000000004</v>
      </c>
      <c r="AD288" s="776" t="s">
        <v>119</v>
      </c>
      <c r="AE288" s="1167">
        <v>0</v>
      </c>
      <c r="AF288" s="1246">
        <v>3380.19</v>
      </c>
      <c r="AG288" s="776" t="s">
        <v>119</v>
      </c>
      <c r="AH288" s="1156">
        <v>0</v>
      </c>
      <c r="AI288" s="777">
        <v>3495.0999999999995</v>
      </c>
      <c r="AJ288" s="776" t="s">
        <v>119</v>
      </c>
      <c r="AK288" s="1156">
        <v>0</v>
      </c>
      <c r="AL288" s="777">
        <v>4670.18</v>
      </c>
      <c r="AM288" s="776" t="s">
        <v>119</v>
      </c>
      <c r="AN288" s="1156">
        <v>0</v>
      </c>
      <c r="AO288" s="777">
        <v>1831.61</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0"/>
      <c r="D289" s="771"/>
      <c r="E289" s="768"/>
      <c r="F289" s="770"/>
      <c r="G289" s="771"/>
      <c r="H289" s="768"/>
      <c r="I289" s="770"/>
      <c r="J289" s="771"/>
      <c r="K289" s="768"/>
      <c r="L289" s="770"/>
      <c r="M289" s="771"/>
      <c r="N289" s="768"/>
      <c r="O289" s="770"/>
      <c r="P289" s="771"/>
      <c r="Q289" s="768"/>
      <c r="R289" s="770"/>
      <c r="S289" s="771"/>
      <c r="T289" s="768"/>
      <c r="U289" s="770"/>
      <c r="V289" s="771"/>
      <c r="W289" s="768"/>
      <c r="X289" s="770"/>
      <c r="Y289" s="771"/>
      <c r="Z289" s="768"/>
      <c r="AA289" s="770"/>
      <c r="AB289" s="771"/>
      <c r="AC289" s="768"/>
      <c r="AD289" s="770"/>
      <c r="AE289" s="771"/>
      <c r="AF289" s="768"/>
      <c r="AG289" s="770"/>
      <c r="AH289" s="771"/>
      <c r="AI289" s="768"/>
      <c r="AJ289" s="770"/>
      <c r="AK289" s="771"/>
      <c r="AL289" s="768"/>
      <c r="AM289" s="770"/>
      <c r="AN289" s="771"/>
      <c r="AO289" s="768"/>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1155" t="s">
        <v>119</v>
      </c>
      <c r="D290" s="1177">
        <v>0</v>
      </c>
      <c r="E290" s="1165">
        <v>146082.66</v>
      </c>
      <c r="F290" s="1155" t="s">
        <v>119</v>
      </c>
      <c r="G290" s="1177">
        <v>0</v>
      </c>
      <c r="H290" s="1165">
        <v>23078.189999999995</v>
      </c>
      <c r="I290" s="1155" t="s">
        <v>119</v>
      </c>
      <c r="J290" s="1177">
        <v>0</v>
      </c>
      <c r="K290" s="1165">
        <v>9586.27</v>
      </c>
      <c r="L290" s="1155" t="s">
        <v>119</v>
      </c>
      <c r="M290" s="1177">
        <v>0</v>
      </c>
      <c r="N290" s="1165">
        <v>11134.259999999998</v>
      </c>
      <c r="O290" s="1155" t="s">
        <v>119</v>
      </c>
      <c r="P290" s="1177">
        <v>0</v>
      </c>
      <c r="Q290" s="1165">
        <v>11801.91</v>
      </c>
      <c r="R290" s="1155" t="s">
        <v>119</v>
      </c>
      <c r="S290" s="1177">
        <v>0</v>
      </c>
      <c r="T290" s="1165">
        <v>12332.689999999999</v>
      </c>
      <c r="U290" s="1155" t="s">
        <v>119</v>
      </c>
      <c r="V290" s="1177">
        <v>0</v>
      </c>
      <c r="W290" s="1245">
        <v>9252.6999999999989</v>
      </c>
      <c r="X290" s="1155" t="s">
        <v>119</v>
      </c>
      <c r="Y290" s="1177">
        <v>0</v>
      </c>
      <c r="Z290" s="1245">
        <v>8318.99</v>
      </c>
      <c r="AA290" s="1155" t="s">
        <v>119</v>
      </c>
      <c r="AB290" s="1177">
        <v>0</v>
      </c>
      <c r="AC290" s="1245">
        <v>10778.310000000001</v>
      </c>
      <c r="AD290" s="1155" t="s">
        <v>119</v>
      </c>
      <c r="AE290" s="1177">
        <v>0</v>
      </c>
      <c r="AF290" s="1245">
        <v>11504.05</v>
      </c>
      <c r="AG290" s="1155" t="s">
        <v>119</v>
      </c>
      <c r="AH290" s="1156">
        <v>0</v>
      </c>
      <c r="AI290" s="1165">
        <v>13531.09</v>
      </c>
      <c r="AJ290" s="1155" t="s">
        <v>119</v>
      </c>
      <c r="AK290" s="1156">
        <v>0</v>
      </c>
      <c r="AL290" s="1165">
        <v>13522.390000000001</v>
      </c>
      <c r="AM290" s="1155" t="s">
        <v>119</v>
      </c>
      <c r="AN290" s="1156">
        <v>0</v>
      </c>
      <c r="AO290" s="1165">
        <v>11241.81</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4"/>
      <c r="D291" s="751"/>
      <c r="E291" s="752"/>
      <c r="F291" s="744"/>
      <c r="G291" s="751"/>
      <c r="H291" s="752"/>
      <c r="I291" s="744"/>
      <c r="J291" s="751"/>
      <c r="K291" s="752"/>
      <c r="L291" s="744"/>
      <c r="M291" s="751"/>
      <c r="N291" s="752"/>
      <c r="O291" s="744"/>
      <c r="P291" s="751"/>
      <c r="Q291" s="752"/>
      <c r="R291" s="744"/>
      <c r="S291" s="751"/>
      <c r="T291" s="752"/>
      <c r="U291" s="744"/>
      <c r="V291" s="751"/>
      <c r="W291" s="752"/>
      <c r="X291" s="744"/>
      <c r="Y291" s="751"/>
      <c r="Z291" s="752"/>
      <c r="AA291" s="744"/>
      <c r="AB291" s="751"/>
      <c r="AC291" s="752"/>
      <c r="AD291" s="744"/>
      <c r="AE291" s="751"/>
      <c r="AF291" s="752"/>
      <c r="AG291" s="744"/>
      <c r="AH291" s="751"/>
      <c r="AI291" s="752"/>
      <c r="AJ291" s="744"/>
      <c r="AK291" s="751"/>
      <c r="AL291" s="752"/>
      <c r="AM291" s="744"/>
      <c r="AN291" s="751"/>
      <c r="AO291" s="752"/>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1168"/>
      <c r="D292" s="1179"/>
      <c r="E292" s="1171">
        <v>-46337.800000000134</v>
      </c>
      <c r="F292" s="1168"/>
      <c r="G292" s="1179"/>
      <c r="H292" s="1171">
        <v>-20798.630000000005</v>
      </c>
      <c r="I292" s="1168"/>
      <c r="J292" s="1179"/>
      <c r="K292" s="1171">
        <v>-4680.3600000000006</v>
      </c>
      <c r="L292" s="1168"/>
      <c r="M292" s="1179"/>
      <c r="N292" s="1171">
        <v>-8391.4299999999985</v>
      </c>
      <c r="O292" s="1168"/>
      <c r="P292" s="1179"/>
      <c r="Q292" s="1171">
        <v>-7486.32</v>
      </c>
      <c r="R292" s="1168"/>
      <c r="S292" s="1179"/>
      <c r="T292" s="1171">
        <v>-10303.700000000008</v>
      </c>
      <c r="U292" s="1168"/>
      <c r="V292" s="1179"/>
      <c r="W292" s="1248">
        <v>-5667.7099999999991</v>
      </c>
      <c r="X292" s="1168"/>
      <c r="Y292" s="1179"/>
      <c r="Z292" s="1248">
        <v>1329.5999999999894</v>
      </c>
      <c r="AA292" s="1168"/>
      <c r="AB292" s="1179"/>
      <c r="AC292" s="1248">
        <v>-1291.4800000000105</v>
      </c>
      <c r="AD292" s="1168"/>
      <c r="AE292" s="1179"/>
      <c r="AF292" s="1248">
        <v>1514.9500000000007</v>
      </c>
      <c r="AG292" s="1168"/>
      <c r="AH292" s="1179"/>
      <c r="AI292" s="1171">
        <v>1145.6199999999008</v>
      </c>
      <c r="AJ292" s="1168"/>
      <c r="AK292" s="1179"/>
      <c r="AL292" s="1171">
        <v>7915.83</v>
      </c>
      <c r="AM292" s="1168"/>
      <c r="AN292" s="1179"/>
      <c r="AO292" s="1171">
        <v>375.82999999999993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1"/>
      <c r="D293" s="751"/>
      <c r="E293" s="764"/>
      <c r="F293" s="751"/>
      <c r="G293" s="751"/>
      <c r="H293" s="764"/>
      <c r="I293" s="751"/>
      <c r="J293" s="751"/>
      <c r="K293" s="764"/>
      <c r="L293" s="751"/>
      <c r="M293" s="751"/>
      <c r="N293" s="764"/>
      <c r="O293" s="751"/>
      <c r="P293" s="751"/>
      <c r="Q293" s="764"/>
      <c r="R293" s="751"/>
      <c r="S293" s="751"/>
      <c r="T293" s="764"/>
      <c r="U293" s="751"/>
      <c r="V293" s="751"/>
      <c r="W293" s="764"/>
      <c r="X293" s="751"/>
      <c r="Y293" s="751"/>
      <c r="Z293" s="764"/>
      <c r="AA293" s="751"/>
      <c r="AB293" s="751"/>
      <c r="AC293" s="764"/>
      <c r="AD293" s="751"/>
      <c r="AE293" s="751"/>
      <c r="AF293" s="764"/>
      <c r="AG293" s="751"/>
      <c r="AH293" s="751"/>
      <c r="AI293" s="764"/>
      <c r="AJ293" s="751"/>
      <c r="AK293" s="751"/>
      <c r="AL293" s="764"/>
      <c r="AM293" s="751"/>
      <c r="AN293" s="751"/>
      <c r="AO293" s="764"/>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3934</v>
      </c>
      <c r="C294" s="784" t="s">
        <v>180</v>
      </c>
      <c r="D294" s="784"/>
      <c r="E294" s="784"/>
      <c r="F294" s="784"/>
      <c r="G294" s="784"/>
      <c r="H294" s="784"/>
      <c r="I294" s="784"/>
      <c r="J294" s="784"/>
      <c r="K294" s="784"/>
      <c r="L294" s="784"/>
      <c r="M294" s="784"/>
      <c r="N294" s="784"/>
      <c r="O294" s="784"/>
      <c r="P294" s="784"/>
      <c r="Q294" s="784"/>
      <c r="R294" s="784"/>
      <c r="S294" s="784"/>
      <c r="T294" s="784"/>
      <c r="U294" s="784"/>
      <c r="V294" s="784"/>
      <c r="W294" s="784"/>
      <c r="X294" s="784"/>
      <c r="Y294" s="784"/>
      <c r="Z294" s="784"/>
      <c r="AA294" s="784"/>
      <c r="AB294" s="784"/>
      <c r="AC294" s="784"/>
      <c r="AD294" s="784"/>
      <c r="AE294" s="784"/>
      <c r="AF294" s="784"/>
      <c r="AG294" s="784"/>
      <c r="AH294" s="784"/>
      <c r="AI294" s="784"/>
      <c r="AJ294" s="784"/>
      <c r="AK294" s="784"/>
      <c r="AL294" s="784"/>
      <c r="AM294" s="784"/>
      <c r="AN294" s="784"/>
      <c r="AO294" s="784"/>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783"/>
      <c r="D295" s="783"/>
      <c r="E295" s="783"/>
      <c r="F295" s="783"/>
      <c r="G295" s="783"/>
      <c r="H295" s="783"/>
      <c r="I295" s="783"/>
      <c r="J295" s="783"/>
      <c r="K295" s="783"/>
      <c r="L295" s="783"/>
      <c r="M295" s="783"/>
      <c r="N295" s="783"/>
      <c r="O295" s="783"/>
      <c r="P295" s="783"/>
      <c r="Q295" s="783"/>
      <c r="R295" s="783"/>
      <c r="S295" s="783"/>
      <c r="T295" s="783"/>
      <c r="U295" s="783"/>
      <c r="V295" s="783"/>
      <c r="W295" s="783"/>
      <c r="X295" s="783"/>
      <c r="Y295" s="783"/>
      <c r="Z295" s="783"/>
      <c r="AA295" s="783"/>
      <c r="AB295" s="783"/>
      <c r="AC295" s="783"/>
      <c r="AD295" s="783"/>
      <c r="AE295" s="783"/>
      <c r="AF295" s="783"/>
      <c r="AG295" s="783"/>
      <c r="AH295" s="783"/>
      <c r="AI295" s="783"/>
      <c r="AJ295" s="783"/>
      <c r="AK295" s="783"/>
      <c r="AL295" s="783"/>
      <c r="AM295" s="783"/>
      <c r="AN295" s="783"/>
      <c r="AO295" s="783"/>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729">
        <v>2025</v>
      </c>
      <c r="D296" s="730"/>
      <c r="E296" s="73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785" t="s">
        <v>163</v>
      </c>
      <c r="D297" s="762" t="s">
        <v>181</v>
      </c>
      <c r="E297" s="786" t="s">
        <v>95</v>
      </c>
      <c r="F297" s="785" t="s">
        <v>163</v>
      </c>
      <c r="G297" s="762" t="s">
        <v>181</v>
      </c>
      <c r="H297" s="786" t="s">
        <v>95</v>
      </c>
      <c r="I297" s="785" t="s">
        <v>163</v>
      </c>
      <c r="J297" s="762" t="s">
        <v>181</v>
      </c>
      <c r="K297" s="786" t="s">
        <v>95</v>
      </c>
      <c r="L297" s="785" t="s">
        <v>163</v>
      </c>
      <c r="M297" s="762" t="s">
        <v>181</v>
      </c>
      <c r="N297" s="786" t="s">
        <v>95</v>
      </c>
      <c r="O297" s="785" t="s">
        <v>163</v>
      </c>
      <c r="P297" s="762" t="s">
        <v>181</v>
      </c>
      <c r="Q297" s="786" t="s">
        <v>95</v>
      </c>
      <c r="R297" s="785" t="s">
        <v>163</v>
      </c>
      <c r="S297" s="762" t="s">
        <v>181</v>
      </c>
      <c r="T297" s="786" t="s">
        <v>95</v>
      </c>
      <c r="U297" s="785" t="s">
        <v>163</v>
      </c>
      <c r="V297" s="762" t="s">
        <v>181</v>
      </c>
      <c r="W297" s="786" t="s">
        <v>95</v>
      </c>
      <c r="X297" s="785" t="s">
        <v>163</v>
      </c>
      <c r="Y297" s="762" t="s">
        <v>181</v>
      </c>
      <c r="Z297" s="786" t="s">
        <v>95</v>
      </c>
      <c r="AA297" s="785" t="s">
        <v>163</v>
      </c>
      <c r="AB297" s="762" t="s">
        <v>181</v>
      </c>
      <c r="AC297" s="786" t="s">
        <v>95</v>
      </c>
      <c r="AD297" s="785" t="s">
        <v>163</v>
      </c>
      <c r="AE297" s="762" t="s">
        <v>181</v>
      </c>
      <c r="AF297" s="786" t="s">
        <v>95</v>
      </c>
      <c r="AG297" s="785" t="s">
        <v>163</v>
      </c>
      <c r="AH297" s="762" t="s">
        <v>181</v>
      </c>
      <c r="AI297" s="786" t="s">
        <v>95</v>
      </c>
      <c r="AJ297" s="785" t="s">
        <v>163</v>
      </c>
      <c r="AK297" s="762" t="s">
        <v>181</v>
      </c>
      <c r="AL297" s="786" t="s">
        <v>95</v>
      </c>
      <c r="AM297" s="785" t="s">
        <v>163</v>
      </c>
      <c r="AN297" s="762" t="s">
        <v>181</v>
      </c>
      <c r="AO297" s="786"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798">
        <v>1068736.54</v>
      </c>
      <c r="D298" s="795">
        <v>0.3426406287184674</v>
      </c>
      <c r="E298" s="765">
        <v>366192.55999999947</v>
      </c>
      <c r="F298" s="798">
        <v>67070.5</v>
      </c>
      <c r="G298" s="795">
        <v>0.32451867810736468</v>
      </c>
      <c r="H298" s="765">
        <v>21765.63</v>
      </c>
      <c r="I298" s="798">
        <v>60578.83</v>
      </c>
      <c r="J298" s="795">
        <v>0.28341881148909609</v>
      </c>
      <c r="K298" s="765">
        <v>17169.18</v>
      </c>
      <c r="L298" s="798">
        <v>76633.429999999993</v>
      </c>
      <c r="M298" s="795">
        <v>0.30231636506417503</v>
      </c>
      <c r="N298" s="765">
        <v>23167.539999999899</v>
      </c>
      <c r="O298" s="798">
        <v>79614.17</v>
      </c>
      <c r="P298" s="795">
        <v>0.33377638679144556</v>
      </c>
      <c r="Q298" s="765">
        <v>26573.3299999999</v>
      </c>
      <c r="R298" s="798">
        <v>118021.43</v>
      </c>
      <c r="S298" s="795">
        <v>0.31805825433567364</v>
      </c>
      <c r="T298" s="765">
        <v>37537.6899999999</v>
      </c>
      <c r="U298" s="798">
        <v>86209.07</v>
      </c>
      <c r="V298" s="795">
        <v>0.33914215754792387</v>
      </c>
      <c r="W298" s="765">
        <v>29237.13</v>
      </c>
      <c r="X298" s="798">
        <v>87058.76</v>
      </c>
      <c r="Y298" s="795">
        <v>0.34657282047205706</v>
      </c>
      <c r="Z298" s="765">
        <v>30172.199999999899</v>
      </c>
      <c r="AA298" s="798">
        <v>86794.299999999901</v>
      </c>
      <c r="AB298" s="795">
        <v>0.37558307400370688</v>
      </c>
      <c r="AC298" s="765">
        <v>32598.469999999899</v>
      </c>
      <c r="AD298" s="798">
        <v>86276.05</v>
      </c>
      <c r="AE298" s="795">
        <v>0.38774375971083513</v>
      </c>
      <c r="AF298" s="765">
        <v>33453</v>
      </c>
      <c r="AG298" s="798">
        <v>113725.39</v>
      </c>
      <c r="AH298" s="795">
        <v>0.33353070936929741</v>
      </c>
      <c r="AI298" s="765">
        <v>37930.910000000003</v>
      </c>
      <c r="AJ298" s="798">
        <v>130393.98</v>
      </c>
      <c r="AK298" s="795">
        <v>0.37232447387525103</v>
      </c>
      <c r="AL298" s="765">
        <v>48548.87</v>
      </c>
      <c r="AM298" s="798">
        <v>76360.63</v>
      </c>
      <c r="AN298" s="795">
        <v>0.36718672960136656</v>
      </c>
      <c r="AO298" s="765">
        <v>28038.61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798">
        <v>326097.83</v>
      </c>
      <c r="D299" s="795">
        <v>0.23345794726692898</v>
      </c>
      <c r="E299" s="765">
        <v>76130.129999999976</v>
      </c>
      <c r="F299" s="798">
        <v>2353.8200000000002</v>
      </c>
      <c r="G299" s="795">
        <v>0.27891682456602457</v>
      </c>
      <c r="H299" s="765">
        <v>656.52</v>
      </c>
      <c r="I299" s="798">
        <v>10964.62</v>
      </c>
      <c r="J299" s="795">
        <v>0.23183931590880485</v>
      </c>
      <c r="K299" s="765">
        <v>2542.0300000000002</v>
      </c>
      <c r="L299" s="798">
        <v>4912.8599999999997</v>
      </c>
      <c r="M299" s="795">
        <v>0.21582336968690133</v>
      </c>
      <c r="N299" s="765">
        <v>1060.3099999999899</v>
      </c>
      <c r="O299" s="798">
        <v>5388.62</v>
      </c>
      <c r="P299" s="795">
        <v>0.25085829024870748</v>
      </c>
      <c r="Q299" s="765">
        <v>1351.77999999999</v>
      </c>
      <c r="R299" s="798">
        <v>1379.61</v>
      </c>
      <c r="S299" s="795">
        <v>0.23078986090271819</v>
      </c>
      <c r="T299" s="765">
        <v>318.39999999999901</v>
      </c>
      <c r="U299" s="798">
        <v>6139.71</v>
      </c>
      <c r="V299" s="795">
        <v>0.23077474343250742</v>
      </c>
      <c r="W299" s="765">
        <v>1416.89</v>
      </c>
      <c r="X299" s="798">
        <v>18886.29</v>
      </c>
      <c r="Y299" s="795">
        <v>0.23393848130045655</v>
      </c>
      <c r="Z299" s="765">
        <v>4418.2299999999996</v>
      </c>
      <c r="AA299" s="798">
        <v>7894.69</v>
      </c>
      <c r="AB299" s="795">
        <v>0.23078170263810233</v>
      </c>
      <c r="AC299" s="765">
        <v>1821.95</v>
      </c>
      <c r="AD299" s="798">
        <v>61917.71</v>
      </c>
      <c r="AE299" s="795">
        <v>0.23422248658744002</v>
      </c>
      <c r="AF299" s="765">
        <v>14502.52</v>
      </c>
      <c r="AG299" s="798">
        <v>65502.26</v>
      </c>
      <c r="AH299" s="795">
        <v>0.23487235402259402</v>
      </c>
      <c r="AI299" s="765">
        <v>15384.67</v>
      </c>
      <c r="AJ299" s="798">
        <v>79245.39</v>
      </c>
      <c r="AK299" s="795">
        <v>0.23140828759881174</v>
      </c>
      <c r="AL299" s="765">
        <v>18338.04</v>
      </c>
      <c r="AM299" s="798">
        <v>61512.25</v>
      </c>
      <c r="AN299" s="795">
        <v>0.2327794870127495</v>
      </c>
      <c r="AO299" s="765">
        <v>14318.79</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798">
        <v>1034204.6900000002</v>
      </c>
      <c r="D300" s="795">
        <v>0.23300102226378366</v>
      </c>
      <c r="E300" s="765">
        <v>240970.74999999953</v>
      </c>
      <c r="F300" s="798">
        <v>93363.8</v>
      </c>
      <c r="G300" s="795">
        <v>0.2310724285001253</v>
      </c>
      <c r="H300" s="765">
        <v>21573.8</v>
      </c>
      <c r="I300" s="798">
        <v>81364.36</v>
      </c>
      <c r="J300" s="795">
        <v>0.23102350955627257</v>
      </c>
      <c r="K300" s="765">
        <v>18797.080000000002</v>
      </c>
      <c r="L300" s="798">
        <v>136018.10999999999</v>
      </c>
      <c r="M300" s="795">
        <v>0.23098468284848175</v>
      </c>
      <c r="N300" s="765">
        <v>31418.0999999999</v>
      </c>
      <c r="O300" s="798">
        <v>49369.33</v>
      </c>
      <c r="P300" s="795">
        <v>0.24429944664025213</v>
      </c>
      <c r="Q300" s="765">
        <v>12060.9</v>
      </c>
      <c r="R300" s="798">
        <v>85718.31</v>
      </c>
      <c r="S300" s="795">
        <v>0.2366525891609389</v>
      </c>
      <c r="T300" s="765">
        <v>20285.46</v>
      </c>
      <c r="U300" s="798">
        <v>73741.789999999994</v>
      </c>
      <c r="V300" s="795">
        <v>0.23132961649018696</v>
      </c>
      <c r="W300" s="765">
        <v>17058.659999999902</v>
      </c>
      <c r="X300" s="798">
        <v>95506.71</v>
      </c>
      <c r="Y300" s="795">
        <v>0.23560993777295858</v>
      </c>
      <c r="Z300" s="765">
        <v>22502.33</v>
      </c>
      <c r="AA300" s="798">
        <v>101671.38</v>
      </c>
      <c r="AB300" s="795">
        <v>0.23110790863662811</v>
      </c>
      <c r="AC300" s="765">
        <v>23497.059999999899</v>
      </c>
      <c r="AD300" s="798">
        <v>97642.15</v>
      </c>
      <c r="AE300" s="795">
        <v>0.23087375687651185</v>
      </c>
      <c r="AF300" s="765">
        <v>22543.0099999999</v>
      </c>
      <c r="AG300" s="798">
        <v>95605.78</v>
      </c>
      <c r="AH300" s="795">
        <v>0.23241199433757978</v>
      </c>
      <c r="AI300" s="765">
        <v>22219.929999999898</v>
      </c>
      <c r="AJ300" s="798">
        <v>17813.3</v>
      </c>
      <c r="AK300" s="795">
        <v>0.23083426428567419</v>
      </c>
      <c r="AL300" s="765">
        <v>4111.92</v>
      </c>
      <c r="AM300" s="798">
        <v>106389.67</v>
      </c>
      <c r="AN300" s="795">
        <v>0.23406877754203018</v>
      </c>
      <c r="AO300" s="765">
        <v>24902.5</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798">
        <v>777694.79999999993</v>
      </c>
      <c r="D301" s="795">
        <v>0.28146415534731545</v>
      </c>
      <c r="E301" s="765">
        <v>218893.20999999941</v>
      </c>
      <c r="F301" s="798">
        <v>80439.509999999995</v>
      </c>
      <c r="G301" s="795">
        <v>0.26709399398380101</v>
      </c>
      <c r="H301" s="765">
        <v>21484.909999999902</v>
      </c>
      <c r="I301" s="798">
        <v>63496.06</v>
      </c>
      <c r="J301" s="795">
        <v>0.25951720468955081</v>
      </c>
      <c r="K301" s="765">
        <v>16478.32</v>
      </c>
      <c r="L301" s="798">
        <v>47434.68</v>
      </c>
      <c r="M301" s="795">
        <v>0.278487385178945</v>
      </c>
      <c r="N301" s="765">
        <v>13209.96</v>
      </c>
      <c r="O301" s="798">
        <v>51699.32</v>
      </c>
      <c r="P301" s="795">
        <v>0.32751823428238519</v>
      </c>
      <c r="Q301" s="765">
        <v>16932.47</v>
      </c>
      <c r="R301" s="798">
        <v>56839.72</v>
      </c>
      <c r="S301" s="795">
        <v>0.28767435870549679</v>
      </c>
      <c r="T301" s="765">
        <v>16351.33</v>
      </c>
      <c r="U301" s="798">
        <v>66243.42</v>
      </c>
      <c r="V301" s="795">
        <v>0.28202242577451314</v>
      </c>
      <c r="W301" s="765">
        <v>18682.129999999899</v>
      </c>
      <c r="X301" s="798">
        <v>73676.91</v>
      </c>
      <c r="Y301" s="795">
        <v>0.28959995743578282</v>
      </c>
      <c r="Z301" s="765">
        <v>21336.83</v>
      </c>
      <c r="AA301" s="798">
        <v>70514.59</v>
      </c>
      <c r="AB301" s="795">
        <v>0.29256314189729954</v>
      </c>
      <c r="AC301" s="765">
        <v>20629.969999999899</v>
      </c>
      <c r="AD301" s="798">
        <v>82005.509999999995</v>
      </c>
      <c r="AE301" s="795">
        <v>0.28171643588339251</v>
      </c>
      <c r="AF301" s="765">
        <v>23102.299999999901</v>
      </c>
      <c r="AG301" s="798">
        <v>47768.99</v>
      </c>
      <c r="AH301" s="795">
        <v>0.27434157598893971</v>
      </c>
      <c r="AI301" s="765">
        <v>13105.0199999999</v>
      </c>
      <c r="AJ301" s="798">
        <v>71056.259999999995</v>
      </c>
      <c r="AK301" s="795">
        <v>0.24788048231077603</v>
      </c>
      <c r="AL301" s="765">
        <v>17613.459999999901</v>
      </c>
      <c r="AM301" s="798">
        <v>66519.83</v>
      </c>
      <c r="AN301" s="795">
        <v>0.30015876468716168</v>
      </c>
      <c r="AO301" s="765">
        <v>19966.509999999998</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798">
        <v>221768.57</v>
      </c>
      <c r="D302" s="795">
        <v>0.28474386609427987</v>
      </c>
      <c r="E302" s="765">
        <v>63147.23999999994</v>
      </c>
      <c r="F302" s="798">
        <v>11490.9</v>
      </c>
      <c r="G302" s="795">
        <v>0.34181569763900044</v>
      </c>
      <c r="H302" s="765">
        <v>3927.76999999999</v>
      </c>
      <c r="I302" s="798">
        <v>19021.86</v>
      </c>
      <c r="J302" s="795">
        <v>0.28937180696314663</v>
      </c>
      <c r="K302" s="765">
        <v>5504.39</v>
      </c>
      <c r="L302" s="798">
        <v>13465.41</v>
      </c>
      <c r="M302" s="795">
        <v>0.33371356683532105</v>
      </c>
      <c r="N302" s="765">
        <v>4493.59</v>
      </c>
      <c r="O302" s="798">
        <v>18999.689999999999</v>
      </c>
      <c r="P302" s="795">
        <v>0.26101741659995453</v>
      </c>
      <c r="Q302" s="765">
        <v>4959.24999999999</v>
      </c>
      <c r="R302" s="798">
        <v>22502.2</v>
      </c>
      <c r="S302" s="795">
        <v>0.24628525210868227</v>
      </c>
      <c r="T302" s="765">
        <v>5541.95999999999</v>
      </c>
      <c r="U302" s="798">
        <v>18169.66</v>
      </c>
      <c r="V302" s="795">
        <v>0.29129438855762796</v>
      </c>
      <c r="W302" s="765">
        <v>5292.7199999999903</v>
      </c>
      <c r="X302" s="798">
        <v>15743.02</v>
      </c>
      <c r="Y302" s="795">
        <v>0.29404713962124163</v>
      </c>
      <c r="Z302" s="765">
        <v>4629.1899999999996</v>
      </c>
      <c r="AA302" s="798">
        <v>14854.09</v>
      </c>
      <c r="AB302" s="795">
        <v>0.31747081106954378</v>
      </c>
      <c r="AC302" s="765">
        <v>4715.74</v>
      </c>
      <c r="AD302" s="798">
        <v>25579.81</v>
      </c>
      <c r="AE302" s="795">
        <v>0.29575669248520609</v>
      </c>
      <c r="AF302" s="765">
        <v>7565.4</v>
      </c>
      <c r="AG302" s="798">
        <v>21253.360000000001</v>
      </c>
      <c r="AH302" s="795">
        <v>0.24759708582548831</v>
      </c>
      <c r="AI302" s="765">
        <v>5262.27</v>
      </c>
      <c r="AJ302" s="798">
        <v>28107.19</v>
      </c>
      <c r="AK302" s="795">
        <v>0.26250756479036114</v>
      </c>
      <c r="AL302" s="765">
        <v>7378.3499999999904</v>
      </c>
      <c r="AM302" s="798">
        <v>12581.38</v>
      </c>
      <c r="AN302" s="795">
        <v>0.3081227973401956</v>
      </c>
      <c r="AO302" s="765">
        <v>3876.6099999999901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798">
        <v>2334098.1999999997</v>
      </c>
      <c r="D303" s="795">
        <v>0.13910266071924443</v>
      </c>
      <c r="E303" s="765">
        <v>324679.26999999909</v>
      </c>
      <c r="F303" s="798">
        <v>197836.52</v>
      </c>
      <c r="G303" s="795">
        <v>0.12331332961174156</v>
      </c>
      <c r="H303" s="765">
        <v>24395.879999999899</v>
      </c>
      <c r="I303" s="798">
        <v>198781.86</v>
      </c>
      <c r="J303" s="795">
        <v>0.12800126731885847</v>
      </c>
      <c r="K303" s="765">
        <v>25444.3299999999</v>
      </c>
      <c r="L303" s="798">
        <v>219537.13</v>
      </c>
      <c r="M303" s="795">
        <v>0.15792066699605664</v>
      </c>
      <c r="N303" s="765">
        <v>34669.449999999997</v>
      </c>
      <c r="O303" s="798">
        <v>185450.93</v>
      </c>
      <c r="P303" s="795">
        <v>0.1377988236564783</v>
      </c>
      <c r="Q303" s="765">
        <v>25554.9199999999</v>
      </c>
      <c r="R303" s="798">
        <v>196342.46</v>
      </c>
      <c r="S303" s="795">
        <v>0.13329399051025387</v>
      </c>
      <c r="T303" s="765">
        <v>26171.269999999899</v>
      </c>
      <c r="U303" s="798">
        <v>164152.71</v>
      </c>
      <c r="V303" s="795">
        <v>0.13230771517570378</v>
      </c>
      <c r="W303" s="765">
        <v>21718.6699999999</v>
      </c>
      <c r="X303" s="798">
        <v>186492.61</v>
      </c>
      <c r="Y303" s="795">
        <v>0.13094845956630616</v>
      </c>
      <c r="Z303" s="765">
        <v>24420.9199999999</v>
      </c>
      <c r="AA303" s="798">
        <v>199492.56</v>
      </c>
      <c r="AB303" s="795">
        <v>0.14976428193612784</v>
      </c>
      <c r="AC303" s="765">
        <v>29876.859999999899</v>
      </c>
      <c r="AD303" s="798">
        <v>193165.16</v>
      </c>
      <c r="AE303" s="795">
        <v>0.12674071245560017</v>
      </c>
      <c r="AF303" s="765">
        <v>24481.89</v>
      </c>
      <c r="AG303" s="798">
        <v>228136.25</v>
      </c>
      <c r="AH303" s="795">
        <v>0.17792555983540495</v>
      </c>
      <c r="AI303" s="765">
        <v>40591.269999999902</v>
      </c>
      <c r="AJ303" s="798">
        <v>193330.53</v>
      </c>
      <c r="AK303" s="795">
        <v>0.11165168791499148</v>
      </c>
      <c r="AL303" s="765">
        <v>21585.679999999898</v>
      </c>
      <c r="AM303" s="798">
        <v>171379.48</v>
      </c>
      <c r="AN303" s="795">
        <v>0.15035714894221874</v>
      </c>
      <c r="AO303" s="765">
        <v>25768.13</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798"/>
      <c r="D304" s="795"/>
      <c r="E304" s="765"/>
      <c r="F304" s="798"/>
      <c r="G304" s="795"/>
      <c r="H304" s="765"/>
      <c r="I304" s="798"/>
      <c r="J304" s="795"/>
      <c r="K304" s="765"/>
      <c r="L304" s="798"/>
      <c r="M304" s="795"/>
      <c r="N304" s="765"/>
      <c r="O304" s="798"/>
      <c r="P304" s="795"/>
      <c r="Q304" s="765"/>
      <c r="R304" s="798"/>
      <c r="S304" s="795"/>
      <c r="T304" s="765"/>
      <c r="U304" s="798"/>
      <c r="V304" s="795"/>
      <c r="W304" s="765"/>
      <c r="X304" s="798"/>
      <c r="Y304" s="795"/>
      <c r="Z304" s="765"/>
      <c r="AA304" s="798"/>
      <c r="AB304" s="795"/>
      <c r="AC304" s="765"/>
      <c r="AD304" s="798"/>
      <c r="AE304" s="795"/>
      <c r="AF304" s="765"/>
      <c r="AG304" s="798"/>
      <c r="AH304" s="795"/>
      <c r="AI304" s="765"/>
      <c r="AJ304" s="798"/>
      <c r="AK304" s="795"/>
      <c r="AL304" s="765"/>
      <c r="AM304" s="798"/>
      <c r="AN304" s="795"/>
      <c r="AO304" s="765"/>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798">
        <v>0</v>
      </c>
      <c r="D305" s="795">
        <v>0</v>
      </c>
      <c r="E305" s="765">
        <v>221717.48999999996</v>
      </c>
      <c r="F305" s="798">
        <v>0</v>
      </c>
      <c r="G305" s="795">
        <v>0</v>
      </c>
      <c r="H305" s="765">
        <v>6625.76</v>
      </c>
      <c r="I305" s="798">
        <v>0</v>
      </c>
      <c r="J305" s="795">
        <v>0</v>
      </c>
      <c r="K305" s="765">
        <v>5644.3099999999904</v>
      </c>
      <c r="L305" s="798">
        <v>0</v>
      </c>
      <c r="M305" s="795">
        <v>0</v>
      </c>
      <c r="N305" s="765">
        <v>4948.08</v>
      </c>
      <c r="O305" s="798">
        <v>0</v>
      </c>
      <c r="P305" s="795">
        <v>0</v>
      </c>
      <c r="Q305" s="765">
        <v>8155.1299999999901</v>
      </c>
      <c r="R305" s="798">
        <v>0</v>
      </c>
      <c r="S305" s="795">
        <v>0</v>
      </c>
      <c r="T305" s="765">
        <v>22987.82</v>
      </c>
      <c r="U305" s="798">
        <v>0</v>
      </c>
      <c r="V305" s="795">
        <v>0</v>
      </c>
      <c r="W305" s="765">
        <v>5450.69</v>
      </c>
      <c r="X305" s="798">
        <v>0</v>
      </c>
      <c r="Y305" s="795">
        <v>0</v>
      </c>
      <c r="Z305" s="765">
        <v>4672.6899999999996</v>
      </c>
      <c r="AA305" s="798">
        <v>0</v>
      </c>
      <c r="AB305" s="795">
        <v>0</v>
      </c>
      <c r="AC305" s="765">
        <v>75917.240000000005</v>
      </c>
      <c r="AD305" s="798">
        <v>0</v>
      </c>
      <c r="AE305" s="795">
        <v>0</v>
      </c>
      <c r="AF305" s="765">
        <v>6967.79</v>
      </c>
      <c r="AG305" s="798">
        <v>0</v>
      </c>
      <c r="AH305" s="795">
        <v>0</v>
      </c>
      <c r="AI305" s="765">
        <v>12626.59</v>
      </c>
      <c r="AJ305" s="798">
        <v>0</v>
      </c>
      <c r="AK305" s="795">
        <v>0</v>
      </c>
      <c r="AL305" s="765">
        <v>34531.65</v>
      </c>
      <c r="AM305" s="798">
        <v>0</v>
      </c>
      <c r="AN305" s="795">
        <v>0</v>
      </c>
      <c r="AO305" s="765">
        <v>33189.74</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798">
        <v>0</v>
      </c>
      <c r="D306" s="795">
        <v>0</v>
      </c>
      <c r="E306" s="765">
        <v>59190.97</v>
      </c>
      <c r="F306" s="798">
        <v>0</v>
      </c>
      <c r="G306" s="795">
        <v>0</v>
      </c>
      <c r="H306" s="765">
        <v>0</v>
      </c>
      <c r="I306" s="798">
        <v>0</v>
      </c>
      <c r="J306" s="795">
        <v>0</v>
      </c>
      <c r="K306" s="765">
        <v>0</v>
      </c>
      <c r="L306" s="798">
        <v>0</v>
      </c>
      <c r="M306" s="795">
        <v>0</v>
      </c>
      <c r="N306" s="765">
        <v>0</v>
      </c>
      <c r="O306" s="798">
        <v>0</v>
      </c>
      <c r="P306" s="795">
        <v>0</v>
      </c>
      <c r="Q306" s="765">
        <v>0</v>
      </c>
      <c r="R306" s="798">
        <v>0</v>
      </c>
      <c r="S306" s="795">
        <v>0</v>
      </c>
      <c r="T306" s="765">
        <v>0</v>
      </c>
      <c r="U306" s="798">
        <v>0</v>
      </c>
      <c r="V306" s="795">
        <v>0</v>
      </c>
      <c r="W306" s="765">
        <v>0</v>
      </c>
      <c r="X306" s="798">
        <v>0</v>
      </c>
      <c r="Y306" s="795">
        <v>0</v>
      </c>
      <c r="Z306" s="765">
        <v>0</v>
      </c>
      <c r="AA306" s="798">
        <v>0</v>
      </c>
      <c r="AB306" s="795">
        <v>0</v>
      </c>
      <c r="AC306" s="765">
        <v>0</v>
      </c>
      <c r="AD306" s="798">
        <v>0</v>
      </c>
      <c r="AE306" s="795">
        <v>0</v>
      </c>
      <c r="AF306" s="765">
        <v>0</v>
      </c>
      <c r="AG306" s="798">
        <v>0</v>
      </c>
      <c r="AH306" s="795">
        <v>0</v>
      </c>
      <c r="AI306" s="765">
        <v>0</v>
      </c>
      <c r="AJ306" s="798">
        <v>0</v>
      </c>
      <c r="AK306" s="795">
        <v>0</v>
      </c>
      <c r="AL306" s="765">
        <v>0</v>
      </c>
      <c r="AM306" s="798">
        <v>0</v>
      </c>
      <c r="AN306" s="795">
        <v>0</v>
      </c>
      <c r="AO306" s="765">
        <v>59190.97</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1199">
        <v>5762600.6299999999</v>
      </c>
      <c r="D307" s="1200">
        <v>0.27260636661541426</v>
      </c>
      <c r="E307" s="1201">
        <v>1570921.6199999973</v>
      </c>
      <c r="F307" s="1199">
        <v>452555.05</v>
      </c>
      <c r="G307" s="1200">
        <v>0.22191835004382293</v>
      </c>
      <c r="H307" s="1201">
        <v>100430.26999999979</v>
      </c>
      <c r="I307" s="1199">
        <v>434207.58999999997</v>
      </c>
      <c r="J307" s="1200">
        <v>0.21091211233778734</v>
      </c>
      <c r="K307" s="1201">
        <v>91579.639999999898</v>
      </c>
      <c r="L307" s="1199">
        <v>498001.61999999994</v>
      </c>
      <c r="M307" s="1200">
        <v>0.22684068778732047</v>
      </c>
      <c r="N307" s="1201">
        <v>112967.0299999998</v>
      </c>
      <c r="O307" s="1199">
        <v>390522.06</v>
      </c>
      <c r="P307" s="1200">
        <v>0.24476921995136403</v>
      </c>
      <c r="Q307" s="1201">
        <v>95587.779999999781</v>
      </c>
      <c r="R307" s="1199">
        <v>480803.73</v>
      </c>
      <c r="S307" s="1200">
        <v>0.26870409262423939</v>
      </c>
      <c r="T307" s="1201">
        <v>129193.92999999979</v>
      </c>
      <c r="U307" s="1199">
        <v>414656.36</v>
      </c>
      <c r="V307" s="1200">
        <v>0.23840678580210298</v>
      </c>
      <c r="W307" s="1201">
        <v>98856.889999999694</v>
      </c>
      <c r="X307" s="1199">
        <v>477364.30000000005</v>
      </c>
      <c r="Y307" s="1200">
        <v>0.23494088267597682</v>
      </c>
      <c r="Z307" s="1201">
        <v>112152.38999999981</v>
      </c>
      <c r="AA307" s="1199">
        <v>481221.60999999993</v>
      </c>
      <c r="AB307" s="1200">
        <v>0.39286949312188957</v>
      </c>
      <c r="AC307" s="1201">
        <v>189057.2899999996</v>
      </c>
      <c r="AD307" s="1199">
        <v>546586.39</v>
      </c>
      <c r="AE307" s="1200">
        <v>0.24262570826178054</v>
      </c>
      <c r="AF307" s="1201">
        <v>132615.9099999998</v>
      </c>
      <c r="AG307" s="1199">
        <v>571992.03</v>
      </c>
      <c r="AH307" s="1200">
        <v>0.25720753486722481</v>
      </c>
      <c r="AI307" s="1201">
        <v>147120.65999999971</v>
      </c>
      <c r="AJ307" s="1199">
        <v>519946.65</v>
      </c>
      <c r="AK307" s="1200">
        <v>0.2925453409498836</v>
      </c>
      <c r="AL307" s="1201">
        <v>152107.9699999998</v>
      </c>
      <c r="AM307" s="1199">
        <v>494743.24</v>
      </c>
      <c r="AN307" s="1200">
        <v>0.42295041767523694</v>
      </c>
      <c r="AO307" s="1201">
        <v>209251.86</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4"/>
      <c r="D308" s="751"/>
      <c r="E308" s="745"/>
      <c r="F308" s="744"/>
      <c r="G308" s="751"/>
      <c r="H308" s="745"/>
      <c r="I308" s="744"/>
      <c r="J308" s="751"/>
      <c r="K308" s="745"/>
      <c r="L308" s="744"/>
      <c r="M308" s="751"/>
      <c r="N308" s="745"/>
      <c r="O308" s="744"/>
      <c r="P308" s="751"/>
      <c r="Q308" s="745"/>
      <c r="R308" s="744"/>
      <c r="S308" s="751"/>
      <c r="T308" s="745"/>
      <c r="U308" s="744"/>
      <c r="V308" s="751"/>
      <c r="W308" s="745"/>
      <c r="X308" s="744"/>
      <c r="Y308" s="751"/>
      <c r="Z308" s="745"/>
      <c r="AA308" s="744"/>
      <c r="AB308" s="751"/>
      <c r="AC308" s="745"/>
      <c r="AD308" s="744"/>
      <c r="AE308" s="751"/>
      <c r="AF308" s="745"/>
      <c r="AG308" s="744"/>
      <c r="AH308" s="751"/>
      <c r="AI308" s="745"/>
      <c r="AJ308" s="744"/>
      <c r="AK308" s="751"/>
      <c r="AL308" s="745"/>
      <c r="AM308" s="744"/>
      <c r="AN308" s="751"/>
      <c r="AO308" s="745"/>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0"/>
      <c r="D309" s="771"/>
      <c r="E309" s="821"/>
      <c r="F309" s="770">
        <v>0</v>
      </c>
      <c r="G309" s="771">
        <v>0</v>
      </c>
      <c r="H309" s="821">
        <v>0</v>
      </c>
      <c r="I309" s="770">
        <v>0</v>
      </c>
      <c r="J309" s="771">
        <v>0</v>
      </c>
      <c r="K309" s="821">
        <v>0</v>
      </c>
      <c r="L309" s="770">
        <v>0</v>
      </c>
      <c r="M309" s="771">
        <v>0</v>
      </c>
      <c r="N309" s="821">
        <v>0</v>
      </c>
      <c r="O309" s="770">
        <v>0</v>
      </c>
      <c r="P309" s="771">
        <v>0</v>
      </c>
      <c r="Q309" s="821">
        <v>0</v>
      </c>
      <c r="R309" s="770">
        <v>0</v>
      </c>
      <c r="S309" s="771">
        <v>0</v>
      </c>
      <c r="T309" s="821">
        <v>0</v>
      </c>
      <c r="U309" s="770">
        <v>0</v>
      </c>
      <c r="V309" s="771">
        <v>0</v>
      </c>
      <c r="W309" s="821">
        <v>0</v>
      </c>
      <c r="X309" s="770">
        <v>0</v>
      </c>
      <c r="Y309" s="771">
        <v>0</v>
      </c>
      <c r="Z309" s="821">
        <v>0</v>
      </c>
      <c r="AA309" s="770">
        <v>0</v>
      </c>
      <c r="AB309" s="771">
        <v>0</v>
      </c>
      <c r="AC309" s="821">
        <v>0</v>
      </c>
      <c r="AD309" s="770">
        <v>0</v>
      </c>
      <c r="AE309" s="771">
        <v>0</v>
      </c>
      <c r="AF309" s="821">
        <v>0</v>
      </c>
      <c r="AG309" s="770">
        <v>0</v>
      </c>
      <c r="AH309" s="771">
        <v>0</v>
      </c>
      <c r="AI309" s="821">
        <v>0</v>
      </c>
      <c r="AJ309" s="770">
        <v>0</v>
      </c>
      <c r="AK309" s="771">
        <v>0</v>
      </c>
      <c r="AL309" s="821">
        <v>0</v>
      </c>
      <c r="AM309" s="770">
        <v>0</v>
      </c>
      <c r="AN309" s="771">
        <v>0</v>
      </c>
      <c r="AO309" s="821">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798">
        <v>630398.0299999998</v>
      </c>
      <c r="D310" s="795">
        <v>0.17757660188119559</v>
      </c>
      <c r="E310" s="765">
        <v>111943.93999999996</v>
      </c>
      <c r="F310" s="798">
        <v>53714.22</v>
      </c>
      <c r="G310" s="795">
        <v>0.14131881650706274</v>
      </c>
      <c r="H310" s="765">
        <v>7590.83</v>
      </c>
      <c r="I310" s="798">
        <v>49338.75</v>
      </c>
      <c r="J310" s="795">
        <v>0.17106047477895145</v>
      </c>
      <c r="K310" s="765">
        <v>8439.9099999999908</v>
      </c>
      <c r="L310" s="798">
        <v>28787.21</v>
      </c>
      <c r="M310" s="795">
        <v>0.16886874414019248</v>
      </c>
      <c r="N310" s="765">
        <v>4861.2599999999902</v>
      </c>
      <c r="O310" s="798">
        <v>42082.239999999998</v>
      </c>
      <c r="P310" s="795">
        <v>0.16357636855832769</v>
      </c>
      <c r="Q310" s="765">
        <v>6883.66</v>
      </c>
      <c r="R310" s="798">
        <v>41058.479999999901</v>
      </c>
      <c r="S310" s="795">
        <v>0.16683398898351828</v>
      </c>
      <c r="T310" s="765">
        <v>6849.9499999999898</v>
      </c>
      <c r="U310" s="798">
        <v>28187.74</v>
      </c>
      <c r="V310" s="795">
        <v>0.16461199088681816</v>
      </c>
      <c r="W310" s="765">
        <v>4640.04</v>
      </c>
      <c r="X310" s="798">
        <v>32612.16</v>
      </c>
      <c r="Y310" s="795">
        <v>0.17193372042820837</v>
      </c>
      <c r="Z310" s="765">
        <v>5607.13</v>
      </c>
      <c r="AA310" s="798">
        <v>24174.58</v>
      </c>
      <c r="AB310" s="795">
        <v>0.19221595576841458</v>
      </c>
      <c r="AC310" s="765">
        <v>4646.74</v>
      </c>
      <c r="AD310" s="798">
        <v>40681.85</v>
      </c>
      <c r="AE310" s="795">
        <v>0.1991182800192221</v>
      </c>
      <c r="AF310" s="765">
        <v>8100.49999999999</v>
      </c>
      <c r="AG310" s="798">
        <v>68380.94</v>
      </c>
      <c r="AH310" s="795">
        <v>0.18902898965705939</v>
      </c>
      <c r="AI310" s="765">
        <v>12925.98</v>
      </c>
      <c r="AJ310" s="798">
        <v>144545.14000000001</v>
      </c>
      <c r="AK310" s="795">
        <v>0.18635908478140459</v>
      </c>
      <c r="AL310" s="765">
        <v>26937.3</v>
      </c>
      <c r="AM310" s="798">
        <v>76834.720000000001</v>
      </c>
      <c r="AN310" s="795">
        <v>0.18820449921597943</v>
      </c>
      <c r="AO310" s="765">
        <v>14460.64</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798">
        <v>281617.26999999996</v>
      </c>
      <c r="D311" s="795">
        <v>0.27555934335987237</v>
      </c>
      <c r="E311" s="765">
        <v>77602.269999999873</v>
      </c>
      <c r="F311" s="798">
        <v>16409.46</v>
      </c>
      <c r="G311" s="795">
        <v>0.24421644587938848</v>
      </c>
      <c r="H311" s="765">
        <v>4007.45999999999</v>
      </c>
      <c r="I311" s="798">
        <v>16154.19</v>
      </c>
      <c r="J311" s="795">
        <v>0.25065199802651816</v>
      </c>
      <c r="K311" s="765">
        <v>4049.08</v>
      </c>
      <c r="L311" s="798">
        <v>16784.47</v>
      </c>
      <c r="M311" s="795">
        <v>0.26567058715586489</v>
      </c>
      <c r="N311" s="765">
        <v>4459.1400000000003</v>
      </c>
      <c r="O311" s="798">
        <v>27375.41</v>
      </c>
      <c r="P311" s="795">
        <v>0.26588460227627642</v>
      </c>
      <c r="Q311" s="765">
        <v>7278.7</v>
      </c>
      <c r="R311" s="798">
        <v>30042.26</v>
      </c>
      <c r="S311" s="795">
        <v>0.26962452225631461</v>
      </c>
      <c r="T311" s="765">
        <v>8100.1299999999901</v>
      </c>
      <c r="U311" s="798">
        <v>21272.07</v>
      </c>
      <c r="V311" s="795">
        <v>0.27779854052755565</v>
      </c>
      <c r="W311" s="765">
        <v>5909.35</v>
      </c>
      <c r="X311" s="798">
        <v>25642.9</v>
      </c>
      <c r="Y311" s="795">
        <v>0.28574459207031966</v>
      </c>
      <c r="Z311" s="765">
        <v>7327.32</v>
      </c>
      <c r="AA311" s="798">
        <v>22150.16</v>
      </c>
      <c r="AB311" s="795">
        <v>0.28566069048711162</v>
      </c>
      <c r="AC311" s="765">
        <v>6327.43</v>
      </c>
      <c r="AD311" s="798">
        <v>23823.07</v>
      </c>
      <c r="AE311" s="795">
        <v>0.2876854242547241</v>
      </c>
      <c r="AF311" s="765">
        <v>6853.5499999999902</v>
      </c>
      <c r="AG311" s="798">
        <v>28019.52</v>
      </c>
      <c r="AH311" s="795">
        <v>0.27804152248147007</v>
      </c>
      <c r="AI311" s="765">
        <v>7790.59</v>
      </c>
      <c r="AJ311" s="798">
        <v>37460.559999999998</v>
      </c>
      <c r="AK311" s="795">
        <v>0.28788437759606106</v>
      </c>
      <c r="AL311" s="765">
        <v>10784.309999999899</v>
      </c>
      <c r="AM311" s="798">
        <v>16483.2</v>
      </c>
      <c r="AN311" s="795">
        <v>0.28606156571539504</v>
      </c>
      <c r="AO311" s="765">
        <v>4715.21</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1199">
        <v>6674615.9299999997</v>
      </c>
      <c r="D312" s="1200">
        <v>0.26375567500256109</v>
      </c>
      <c r="E312" s="1201">
        <v>1760467.829999997</v>
      </c>
      <c r="F312" s="1199">
        <v>522678.73000000004</v>
      </c>
      <c r="G312" s="1200">
        <v>0.21433541020504082</v>
      </c>
      <c r="H312" s="1201">
        <v>112028.55999999978</v>
      </c>
      <c r="I312" s="1199">
        <v>499700.52999999997</v>
      </c>
      <c r="J312" s="1200">
        <v>0.20826199644014765</v>
      </c>
      <c r="K312" s="1201">
        <v>104068.62999999989</v>
      </c>
      <c r="L312" s="1199">
        <v>543573.29999999993</v>
      </c>
      <c r="M312" s="1200">
        <v>0.22496953032829206</v>
      </c>
      <c r="N312" s="1201">
        <v>122287.42999999979</v>
      </c>
      <c r="O312" s="1199">
        <v>459979.70999999996</v>
      </c>
      <c r="P312" s="1200">
        <v>0.23859778510665131</v>
      </c>
      <c r="Q312" s="1201">
        <v>109750.13999999978</v>
      </c>
      <c r="R312" s="1199">
        <v>551904.46999999986</v>
      </c>
      <c r="S312" s="1200">
        <v>0.26117565237331708</v>
      </c>
      <c r="T312" s="1201">
        <v>144144.00999999978</v>
      </c>
      <c r="U312" s="1199">
        <v>464116.17</v>
      </c>
      <c r="V312" s="1200">
        <v>0.23573037759059268</v>
      </c>
      <c r="W312" s="1201">
        <v>109406.27999999969</v>
      </c>
      <c r="X312" s="1199">
        <v>535619.36</v>
      </c>
      <c r="Y312" s="1200">
        <v>0.23353681614495755</v>
      </c>
      <c r="Z312" s="1201">
        <v>125086.83999999982</v>
      </c>
      <c r="AA312" s="1199">
        <v>527546.35</v>
      </c>
      <c r="AB312" s="1200">
        <v>0.3791732423132102</v>
      </c>
      <c r="AC312" s="1201">
        <v>200031.45999999958</v>
      </c>
      <c r="AD312" s="1199">
        <v>611091.30999999994</v>
      </c>
      <c r="AE312" s="1200">
        <v>0.24148594094718809</v>
      </c>
      <c r="AF312" s="1201">
        <v>147569.95999999979</v>
      </c>
      <c r="AG312" s="1199">
        <v>668392.49</v>
      </c>
      <c r="AH312" s="1200">
        <v>0.25110579863038218</v>
      </c>
      <c r="AI312" s="1201">
        <v>167837.22999999972</v>
      </c>
      <c r="AJ312" s="1199">
        <v>701952.35000000009</v>
      </c>
      <c r="AK312" s="1200">
        <v>0.27043086329150356</v>
      </c>
      <c r="AL312" s="1201">
        <v>189829.5799999997</v>
      </c>
      <c r="AM312" s="1199">
        <v>588061.15999999992</v>
      </c>
      <c r="AN312" s="1200">
        <v>0.38844209673701291</v>
      </c>
      <c r="AO312" s="1201">
        <v>228427.71</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4"/>
      <c r="D313" s="751"/>
      <c r="E313" s="745"/>
      <c r="F313" s="744"/>
      <c r="G313" s="751"/>
      <c r="H313" s="745"/>
      <c r="I313" s="744"/>
      <c r="J313" s="751"/>
      <c r="K313" s="745"/>
      <c r="L313" s="744"/>
      <c r="M313" s="751"/>
      <c r="N313" s="745"/>
      <c r="O313" s="744"/>
      <c r="P313" s="751"/>
      <c r="Q313" s="745"/>
      <c r="R313" s="744"/>
      <c r="S313" s="751"/>
      <c r="T313" s="745"/>
      <c r="U313" s="744"/>
      <c r="V313" s="751"/>
      <c r="W313" s="745"/>
      <c r="X313" s="744"/>
      <c r="Y313" s="751"/>
      <c r="Z313" s="745"/>
      <c r="AA313" s="744"/>
      <c r="AB313" s="751"/>
      <c r="AC313" s="745"/>
      <c r="AD313" s="744"/>
      <c r="AE313" s="751"/>
      <c r="AF313" s="745"/>
      <c r="AG313" s="744"/>
      <c r="AH313" s="751"/>
      <c r="AI313" s="745"/>
      <c r="AJ313" s="744"/>
      <c r="AK313" s="751"/>
      <c r="AL313" s="745"/>
      <c r="AM313" s="744"/>
      <c r="AN313" s="751"/>
      <c r="AO313" s="745"/>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3859</v>
      </c>
      <c r="C314" s="744">
        <v>0</v>
      </c>
      <c r="D314" s="822">
        <v>0</v>
      </c>
      <c r="E314" s="745">
        <v>0</v>
      </c>
      <c r="F314" s="744"/>
      <c r="G314" s="822"/>
      <c r="H314" s="745"/>
      <c r="I314" s="744"/>
      <c r="J314" s="822"/>
      <c r="K314" s="745"/>
      <c r="L314" s="744"/>
      <c r="M314" s="822"/>
      <c r="N314" s="745"/>
      <c r="O314" s="744"/>
      <c r="P314" s="822"/>
      <c r="Q314" s="745"/>
      <c r="R314" s="744"/>
      <c r="S314" s="822"/>
      <c r="T314" s="745"/>
      <c r="U314" s="744"/>
      <c r="V314" s="822"/>
      <c r="W314" s="745"/>
      <c r="X314" s="744"/>
      <c r="Y314" s="822"/>
      <c r="Z314" s="745"/>
      <c r="AA314" s="744"/>
      <c r="AB314" s="822"/>
      <c r="AC314" s="745"/>
      <c r="AD314" s="744"/>
      <c r="AE314" s="822"/>
      <c r="AF314" s="745"/>
      <c r="AG314" s="744"/>
      <c r="AH314" s="795"/>
      <c r="AI314" s="745"/>
      <c r="AJ314" s="744"/>
      <c r="AK314" s="795"/>
      <c r="AL314" s="745"/>
      <c r="AM314" s="744"/>
      <c r="AN314" s="795"/>
      <c r="AO314" s="745"/>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24">
        <v>0</v>
      </c>
      <c r="D315" s="823">
        <v>0</v>
      </c>
      <c r="E315" s="775">
        <v>0</v>
      </c>
      <c r="F315" s="824">
        <v>0</v>
      </c>
      <c r="G315" s="823">
        <v>0</v>
      </c>
      <c r="H315" s="775">
        <v>0</v>
      </c>
      <c r="I315" s="824">
        <v>0</v>
      </c>
      <c r="J315" s="823">
        <v>0</v>
      </c>
      <c r="K315" s="775">
        <v>0</v>
      </c>
      <c r="L315" s="824">
        <v>0</v>
      </c>
      <c r="M315" s="823">
        <v>0</v>
      </c>
      <c r="N315" s="775">
        <v>0</v>
      </c>
      <c r="O315" s="824">
        <v>0</v>
      </c>
      <c r="P315" s="823">
        <v>0</v>
      </c>
      <c r="Q315" s="775">
        <v>0</v>
      </c>
      <c r="R315" s="824">
        <v>0</v>
      </c>
      <c r="S315" s="823">
        <v>0</v>
      </c>
      <c r="T315" s="775">
        <v>0</v>
      </c>
      <c r="U315" s="824">
        <v>0</v>
      </c>
      <c r="V315" s="823">
        <v>0</v>
      </c>
      <c r="W315" s="775">
        <v>0</v>
      </c>
      <c r="X315" s="824">
        <v>0</v>
      </c>
      <c r="Y315" s="823">
        <v>0</v>
      </c>
      <c r="Z315" s="775">
        <v>0</v>
      </c>
      <c r="AA315" s="824">
        <v>0</v>
      </c>
      <c r="AB315" s="823">
        <v>0</v>
      </c>
      <c r="AC315" s="775">
        <v>0</v>
      </c>
      <c r="AD315" s="824">
        <v>0</v>
      </c>
      <c r="AE315" s="823">
        <v>0</v>
      </c>
      <c r="AF315" s="775">
        <v>0</v>
      </c>
      <c r="AG315" s="824">
        <v>0</v>
      </c>
      <c r="AH315" s="823">
        <v>0</v>
      </c>
      <c r="AI315" s="775">
        <v>0</v>
      </c>
      <c r="AJ315" s="824">
        <v>0</v>
      </c>
      <c r="AK315" s="823">
        <v>0</v>
      </c>
      <c r="AL315" s="775">
        <v>0</v>
      </c>
      <c r="AM315" s="824">
        <v>0</v>
      </c>
      <c r="AN315" s="823">
        <v>0</v>
      </c>
      <c r="AO315" s="775">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797"/>
      <c r="D316" s="795"/>
      <c r="E316" s="752"/>
      <c r="F316" s="797"/>
      <c r="G316" s="795"/>
      <c r="H316" s="752"/>
      <c r="I316" s="797"/>
      <c r="J316" s="795"/>
      <c r="K316" s="752"/>
      <c r="L316" s="797"/>
      <c r="M316" s="795"/>
      <c r="N316" s="752"/>
      <c r="O316" s="797"/>
      <c r="P316" s="795"/>
      <c r="Q316" s="752"/>
      <c r="R316" s="797"/>
      <c r="S316" s="795"/>
      <c r="T316" s="752"/>
      <c r="U316" s="797"/>
      <c r="V316" s="795"/>
      <c r="W316" s="752"/>
      <c r="X316" s="797"/>
      <c r="Y316" s="795"/>
      <c r="Z316" s="752"/>
      <c r="AA316" s="797"/>
      <c r="AB316" s="795"/>
      <c r="AC316" s="752"/>
      <c r="AD316" s="797"/>
      <c r="AE316" s="795"/>
      <c r="AF316" s="752"/>
      <c r="AG316" s="797"/>
      <c r="AH316" s="795"/>
      <c r="AI316" s="752"/>
      <c r="AJ316" s="797"/>
      <c r="AK316" s="795"/>
      <c r="AL316" s="752"/>
      <c r="AM316" s="797"/>
      <c r="AN316" s="795"/>
      <c r="AO316" s="752"/>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3">
        <v>6674615.9299999997</v>
      </c>
      <c r="D317" s="825">
        <v>0.26375567500256109</v>
      </c>
      <c r="E317" s="755">
        <v>1760467.829999997</v>
      </c>
      <c r="F317" s="753">
        <v>522678.73000000004</v>
      </c>
      <c r="G317" s="825">
        <v>0.21433541020504082</v>
      </c>
      <c r="H317" s="755">
        <v>112028.55999999978</v>
      </c>
      <c r="I317" s="753">
        <v>499700.52999999997</v>
      </c>
      <c r="J317" s="825">
        <v>0.20826199644014765</v>
      </c>
      <c r="K317" s="755">
        <v>104068.62999999989</v>
      </c>
      <c r="L317" s="753">
        <v>543573.29999999993</v>
      </c>
      <c r="M317" s="825">
        <v>0.22496953032829206</v>
      </c>
      <c r="N317" s="755">
        <v>122287.42999999979</v>
      </c>
      <c r="O317" s="753">
        <v>459979.70999999996</v>
      </c>
      <c r="P317" s="825">
        <v>0.23859778510665131</v>
      </c>
      <c r="Q317" s="755">
        <v>109750.13999999978</v>
      </c>
      <c r="R317" s="753">
        <v>551904.46999999986</v>
      </c>
      <c r="S317" s="825">
        <v>0.26117565237331708</v>
      </c>
      <c r="T317" s="755">
        <v>144144.00999999978</v>
      </c>
      <c r="U317" s="753">
        <v>464116.17</v>
      </c>
      <c r="V317" s="825">
        <v>0.23573037759059268</v>
      </c>
      <c r="W317" s="1238">
        <v>109406.27999999969</v>
      </c>
      <c r="X317" s="753">
        <v>535619.36</v>
      </c>
      <c r="Y317" s="825">
        <v>0.23353681614495755</v>
      </c>
      <c r="Z317" s="1238">
        <v>125086.83999999982</v>
      </c>
      <c r="AA317" s="753">
        <v>527546.35</v>
      </c>
      <c r="AB317" s="825">
        <v>0.3791732423132102</v>
      </c>
      <c r="AC317" s="1238">
        <v>200031.45999999958</v>
      </c>
      <c r="AD317" s="753">
        <v>611091.30999999994</v>
      </c>
      <c r="AE317" s="825">
        <v>0.24148594094718809</v>
      </c>
      <c r="AF317" s="1238">
        <v>147569.95999999979</v>
      </c>
      <c r="AG317" s="753">
        <v>668392.49</v>
      </c>
      <c r="AH317" s="825">
        <v>0.25110579863038218</v>
      </c>
      <c r="AI317" s="755">
        <v>167837.22999999972</v>
      </c>
      <c r="AJ317" s="753">
        <v>701952.35000000009</v>
      </c>
      <c r="AK317" s="825">
        <v>0.27043086329150356</v>
      </c>
      <c r="AL317" s="755">
        <v>189829.5799999997</v>
      </c>
      <c r="AM317" s="753">
        <v>588061.15999999992</v>
      </c>
      <c r="AN317" s="825">
        <v>0.38844209673701291</v>
      </c>
      <c r="AO317" s="755">
        <v>228427.71</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1203"/>
      <c r="D318" s="1204"/>
      <c r="E318" s="1205"/>
      <c r="F318" s="1203"/>
      <c r="G318" s="1204"/>
      <c r="H318" s="1205"/>
      <c r="I318" s="1203"/>
      <c r="J318" s="1204"/>
      <c r="K318" s="1205"/>
      <c r="L318" s="1203"/>
      <c r="M318" s="1204"/>
      <c r="N318" s="1205"/>
      <c r="O318" s="1203"/>
      <c r="P318" s="1204"/>
      <c r="Q318" s="1205"/>
      <c r="R318" s="1203"/>
      <c r="S318" s="1204"/>
      <c r="T318" s="1205"/>
      <c r="U318" s="1203"/>
      <c r="V318" s="1204"/>
      <c r="W318" s="1260"/>
      <c r="X318" s="1203"/>
      <c r="Y318" s="1204"/>
      <c r="Z318" s="1260"/>
      <c r="AA318" s="1203"/>
      <c r="AB318" s="1204"/>
      <c r="AC318" s="1260"/>
      <c r="AD318" s="1203"/>
      <c r="AE318" s="1204"/>
      <c r="AF318" s="1260"/>
      <c r="AG318" s="1203"/>
      <c r="AH318" s="1204"/>
      <c r="AI318" s="1205"/>
      <c r="AJ318" s="1203"/>
      <c r="AK318" s="1204"/>
      <c r="AL318" s="1205"/>
      <c r="AM318" s="1203"/>
      <c r="AN318" s="1204"/>
      <c r="AO318" s="1205"/>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26"/>
      <c r="D319" s="827"/>
      <c r="E319" s="780"/>
      <c r="F319" s="826"/>
      <c r="G319" s="827"/>
      <c r="H319" s="780"/>
      <c r="I319" s="826"/>
      <c r="J319" s="827"/>
      <c r="K319" s="780"/>
      <c r="L319" s="826"/>
      <c r="M319" s="827"/>
      <c r="N319" s="780"/>
      <c r="O319" s="826"/>
      <c r="P319" s="827"/>
      <c r="Q319" s="780"/>
      <c r="R319" s="826"/>
      <c r="S319" s="827"/>
      <c r="T319" s="780"/>
      <c r="U319" s="826"/>
      <c r="V319" s="827"/>
      <c r="W319" s="1247"/>
      <c r="X319" s="826"/>
      <c r="Y319" s="827"/>
      <c r="Z319" s="1247"/>
      <c r="AA319" s="826"/>
      <c r="AB319" s="827"/>
      <c r="AC319" s="1247"/>
      <c r="AD319" s="826"/>
      <c r="AE319" s="827"/>
      <c r="AF319" s="1247"/>
      <c r="AG319" s="826"/>
      <c r="AH319" s="827"/>
      <c r="AI319" s="780"/>
      <c r="AJ319" s="826"/>
      <c r="AK319" s="827"/>
      <c r="AL319" s="780"/>
      <c r="AM319" s="826"/>
      <c r="AN319" s="827"/>
      <c r="AO319" s="780"/>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4"/>
      <c r="D320" s="751"/>
      <c r="E320" s="745"/>
      <c r="F320" s="744"/>
      <c r="G320" s="751"/>
      <c r="H320" s="1261"/>
      <c r="I320" s="744"/>
      <c r="J320" s="751"/>
      <c r="K320" s="1261"/>
      <c r="L320" s="744"/>
      <c r="M320" s="751"/>
      <c r="N320" s="745"/>
      <c r="O320" s="744"/>
      <c r="P320" s="751"/>
      <c r="Q320" s="745"/>
      <c r="R320" s="744"/>
      <c r="S320" s="751"/>
      <c r="T320" s="745"/>
      <c r="U320" s="744"/>
      <c r="V320" s="751"/>
      <c r="W320" s="745"/>
      <c r="X320" s="744"/>
      <c r="Y320" s="751"/>
      <c r="Z320" s="745"/>
      <c r="AA320" s="744"/>
      <c r="AB320" s="751"/>
      <c r="AC320" s="745"/>
      <c r="AD320" s="744"/>
      <c r="AE320" s="751"/>
      <c r="AF320" s="745"/>
      <c r="AG320" s="744"/>
      <c r="AH320" s="751"/>
      <c r="AI320" s="745"/>
      <c r="AJ320" s="744"/>
      <c r="AK320" s="751"/>
      <c r="AL320" s="745"/>
      <c r="AM320" s="744"/>
      <c r="AN320" s="751"/>
      <c r="AO320" s="745"/>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4"/>
      <c r="D321" s="751"/>
      <c r="E321" s="765">
        <v>109729.98</v>
      </c>
      <c r="F321" s="744"/>
      <c r="G321" s="751"/>
      <c r="H321" s="765">
        <v>9997.7199999999993</v>
      </c>
      <c r="I321" s="744"/>
      <c r="J321" s="751"/>
      <c r="K321" s="765">
        <v>8533.68</v>
      </c>
      <c r="L321" s="744"/>
      <c r="M321" s="751"/>
      <c r="N321" s="765">
        <v>10126.49</v>
      </c>
      <c r="O321" s="744"/>
      <c r="P321" s="751"/>
      <c r="Q321" s="765">
        <v>7994.18</v>
      </c>
      <c r="R321" s="744"/>
      <c r="S321" s="751"/>
      <c r="T321" s="765">
        <v>9851.89</v>
      </c>
      <c r="U321" s="744"/>
      <c r="V321" s="751"/>
      <c r="W321" s="765">
        <v>9334.2999999999993</v>
      </c>
      <c r="X321" s="744"/>
      <c r="Y321" s="751"/>
      <c r="Z321" s="765">
        <v>8530.26</v>
      </c>
      <c r="AA321" s="744"/>
      <c r="AB321" s="751"/>
      <c r="AC321" s="765">
        <v>8454.76</v>
      </c>
      <c r="AD321" s="744"/>
      <c r="AE321" s="751"/>
      <c r="AF321" s="765">
        <v>10042.18</v>
      </c>
      <c r="AG321" s="744"/>
      <c r="AH321" s="751"/>
      <c r="AI321" s="765">
        <v>9901.6</v>
      </c>
      <c r="AJ321" s="744"/>
      <c r="AK321" s="751"/>
      <c r="AL321" s="765">
        <v>7300.68</v>
      </c>
      <c r="AM321" s="744"/>
      <c r="AN321" s="751"/>
      <c r="AO321" s="1240">
        <v>9662.24</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4"/>
      <c r="D322" s="751"/>
      <c r="E322" s="765">
        <v>303846.52999999997</v>
      </c>
      <c r="F322" s="744"/>
      <c r="G322" s="751"/>
      <c r="H322" s="765">
        <v>27924.71</v>
      </c>
      <c r="I322" s="744"/>
      <c r="J322" s="751"/>
      <c r="K322" s="765">
        <v>25401.96</v>
      </c>
      <c r="L322" s="744"/>
      <c r="M322" s="751"/>
      <c r="N322" s="765">
        <v>25203.67</v>
      </c>
      <c r="O322" s="744"/>
      <c r="P322" s="751"/>
      <c r="Q322" s="765">
        <v>24736.400000000001</v>
      </c>
      <c r="R322" s="744"/>
      <c r="S322" s="751"/>
      <c r="T322" s="765">
        <v>30722.14</v>
      </c>
      <c r="U322" s="744"/>
      <c r="V322" s="751"/>
      <c r="W322" s="765">
        <v>23696.7</v>
      </c>
      <c r="X322" s="744"/>
      <c r="Y322" s="751"/>
      <c r="Z322" s="765">
        <v>22650.76</v>
      </c>
      <c r="AA322" s="744"/>
      <c r="AB322" s="751"/>
      <c r="AC322" s="765">
        <v>24603.3</v>
      </c>
      <c r="AD322" s="744"/>
      <c r="AE322" s="751"/>
      <c r="AF322" s="765">
        <v>25984.86</v>
      </c>
      <c r="AG322" s="744"/>
      <c r="AH322" s="751"/>
      <c r="AI322" s="765">
        <v>28079.91</v>
      </c>
      <c r="AJ322" s="744"/>
      <c r="AK322" s="751"/>
      <c r="AL322" s="765">
        <v>22449.58</v>
      </c>
      <c r="AM322" s="744"/>
      <c r="AN322" s="751"/>
      <c r="AO322" s="1240">
        <v>22392.54</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1142"/>
      <c r="D323" s="1160"/>
      <c r="E323" s="1162">
        <v>1367.0400000000002</v>
      </c>
      <c r="F323" s="1142"/>
      <c r="G323" s="1160"/>
      <c r="H323" s="1162">
        <v>113.92</v>
      </c>
      <c r="I323" s="1142"/>
      <c r="J323" s="1160"/>
      <c r="K323" s="1162">
        <v>113.92</v>
      </c>
      <c r="L323" s="1142"/>
      <c r="M323" s="1160"/>
      <c r="N323" s="1162">
        <v>113.92</v>
      </c>
      <c r="O323" s="1142"/>
      <c r="P323" s="1160"/>
      <c r="Q323" s="1162">
        <v>113.92</v>
      </c>
      <c r="R323" s="1142"/>
      <c r="S323" s="1160"/>
      <c r="T323" s="1162">
        <v>113.92</v>
      </c>
      <c r="U323" s="1142"/>
      <c r="V323" s="1160"/>
      <c r="W323" s="1162">
        <v>113.92</v>
      </c>
      <c r="X323" s="1142"/>
      <c r="Y323" s="1160"/>
      <c r="Z323" s="1162">
        <v>113.92</v>
      </c>
      <c r="AA323" s="1142"/>
      <c r="AB323" s="1160"/>
      <c r="AC323" s="1162">
        <v>113.92</v>
      </c>
      <c r="AD323" s="1142"/>
      <c r="AE323" s="1160"/>
      <c r="AF323" s="1162">
        <v>113.92</v>
      </c>
      <c r="AG323" s="1142"/>
      <c r="AH323" s="1160"/>
      <c r="AI323" s="1162">
        <v>113.92</v>
      </c>
      <c r="AJ323" s="1142"/>
      <c r="AK323" s="1160"/>
      <c r="AL323" s="1162">
        <v>113.92</v>
      </c>
      <c r="AM323" s="1142"/>
      <c r="AN323" s="1160"/>
      <c r="AO323" s="124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4"/>
      <c r="D324" s="751"/>
      <c r="E324" s="765">
        <v>0</v>
      </c>
      <c r="F324" s="744"/>
      <c r="G324" s="751"/>
      <c r="H324" s="765">
        <v>0</v>
      </c>
      <c r="I324" s="744"/>
      <c r="J324" s="751"/>
      <c r="K324" s="765">
        <v>0</v>
      </c>
      <c r="L324" s="744"/>
      <c r="M324" s="751"/>
      <c r="N324" s="765">
        <v>0</v>
      </c>
      <c r="O324" s="744"/>
      <c r="P324" s="751"/>
      <c r="Q324" s="765">
        <v>0</v>
      </c>
      <c r="R324" s="744"/>
      <c r="S324" s="751"/>
      <c r="T324" s="765">
        <v>0</v>
      </c>
      <c r="U324" s="744"/>
      <c r="V324" s="751"/>
      <c r="W324" s="765">
        <v>0</v>
      </c>
      <c r="X324" s="744"/>
      <c r="Y324" s="751"/>
      <c r="Z324" s="765">
        <v>0</v>
      </c>
      <c r="AA324" s="744"/>
      <c r="AB324" s="751"/>
      <c r="AC324" s="765">
        <v>0</v>
      </c>
      <c r="AD324" s="744"/>
      <c r="AE324" s="751"/>
      <c r="AF324" s="765">
        <v>0</v>
      </c>
      <c r="AG324" s="744"/>
      <c r="AH324" s="751"/>
      <c r="AI324" s="765">
        <v>0</v>
      </c>
      <c r="AJ324" s="744"/>
      <c r="AK324" s="751"/>
      <c r="AL324" s="765">
        <v>0</v>
      </c>
      <c r="AM324" s="744"/>
      <c r="AN324" s="751"/>
      <c r="AO324" s="1240">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4"/>
      <c r="D325" s="751"/>
      <c r="E325" s="765"/>
      <c r="F325" s="744"/>
      <c r="G325" s="751"/>
      <c r="H325" s="765"/>
      <c r="I325" s="744"/>
      <c r="J325" s="751"/>
      <c r="K325" s="765"/>
      <c r="L325" s="744"/>
      <c r="M325" s="751"/>
      <c r="N325" s="765"/>
      <c r="O325" s="744"/>
      <c r="P325" s="751"/>
      <c r="Q325" s="765"/>
      <c r="R325" s="744"/>
      <c r="S325" s="751"/>
      <c r="T325" s="765"/>
      <c r="U325" s="744"/>
      <c r="V325" s="751"/>
      <c r="W325" s="765"/>
      <c r="X325" s="744"/>
      <c r="Y325" s="751"/>
      <c r="Z325" s="765"/>
      <c r="AA325" s="744"/>
      <c r="AB325" s="751"/>
      <c r="AC325" s="765"/>
      <c r="AD325" s="744"/>
      <c r="AE325" s="751"/>
      <c r="AF325" s="765"/>
      <c r="AG325" s="744"/>
      <c r="AH325" s="751"/>
      <c r="AI325" s="765"/>
      <c r="AJ325" s="744"/>
      <c r="AK325" s="751"/>
      <c r="AL325" s="765"/>
      <c r="AM325" s="744"/>
      <c r="AN325" s="751"/>
      <c r="AO325" s="1240"/>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4"/>
      <c r="D326" s="751"/>
      <c r="E326" s="765"/>
      <c r="F326" s="744"/>
      <c r="G326" s="751"/>
      <c r="H326" s="765"/>
      <c r="I326" s="744"/>
      <c r="J326" s="751"/>
      <c r="K326" s="765"/>
      <c r="L326" s="744"/>
      <c r="M326" s="751"/>
      <c r="N326" s="765"/>
      <c r="O326" s="744"/>
      <c r="P326" s="751"/>
      <c r="Q326" s="765"/>
      <c r="R326" s="744"/>
      <c r="S326" s="751"/>
      <c r="T326" s="765"/>
      <c r="U326" s="744"/>
      <c r="V326" s="751"/>
      <c r="W326" s="765"/>
      <c r="X326" s="744"/>
      <c r="Y326" s="751"/>
      <c r="Z326" s="765"/>
      <c r="AA326" s="744"/>
      <c r="AB326" s="751"/>
      <c r="AC326" s="765"/>
      <c r="AD326" s="744"/>
      <c r="AE326" s="751"/>
      <c r="AF326" s="765"/>
      <c r="AG326" s="744"/>
      <c r="AH326" s="751"/>
      <c r="AI326" s="765"/>
      <c r="AJ326" s="744"/>
      <c r="AK326" s="751"/>
      <c r="AL326" s="765"/>
      <c r="AM326" s="744"/>
      <c r="AN326" s="751"/>
      <c r="AO326" s="1240"/>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4"/>
      <c r="D327" s="751"/>
      <c r="E327" s="765"/>
      <c r="F327" s="744"/>
      <c r="G327" s="751"/>
      <c r="H327" s="765"/>
      <c r="I327" s="744"/>
      <c r="J327" s="751"/>
      <c r="K327" s="765"/>
      <c r="L327" s="744"/>
      <c r="M327" s="751"/>
      <c r="N327" s="765"/>
      <c r="O327" s="744"/>
      <c r="P327" s="751"/>
      <c r="Q327" s="765"/>
      <c r="R327" s="744"/>
      <c r="S327" s="751"/>
      <c r="T327" s="765"/>
      <c r="U327" s="744"/>
      <c r="V327" s="751"/>
      <c r="W327" s="765"/>
      <c r="X327" s="744"/>
      <c r="Y327" s="751"/>
      <c r="Z327" s="765"/>
      <c r="AA327" s="744"/>
      <c r="AB327" s="751"/>
      <c r="AC327" s="765"/>
      <c r="AD327" s="744"/>
      <c r="AE327" s="751"/>
      <c r="AF327" s="765"/>
      <c r="AG327" s="744"/>
      <c r="AH327" s="751"/>
      <c r="AI327" s="765"/>
      <c r="AJ327" s="744"/>
      <c r="AK327" s="751"/>
      <c r="AL327" s="765"/>
      <c r="AM327" s="744"/>
      <c r="AN327" s="751"/>
      <c r="AO327" s="1240"/>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4"/>
      <c r="D328" s="751"/>
      <c r="E328" s="765">
        <v>43969.920000000006</v>
      </c>
      <c r="F328" s="744"/>
      <c r="G328" s="751"/>
      <c r="H328" s="765">
        <v>5295.44</v>
      </c>
      <c r="I328" s="744"/>
      <c r="J328" s="751"/>
      <c r="K328" s="765">
        <v>3031.99</v>
      </c>
      <c r="L328" s="744"/>
      <c r="M328" s="751"/>
      <c r="N328" s="765">
        <v>3793.81</v>
      </c>
      <c r="O328" s="744"/>
      <c r="P328" s="751"/>
      <c r="Q328" s="765">
        <v>4453.74</v>
      </c>
      <c r="R328" s="744"/>
      <c r="S328" s="751"/>
      <c r="T328" s="765">
        <v>4518.67</v>
      </c>
      <c r="U328" s="744"/>
      <c r="V328" s="751"/>
      <c r="W328" s="765">
        <v>3502.47</v>
      </c>
      <c r="X328" s="744"/>
      <c r="Y328" s="751"/>
      <c r="Z328" s="765">
        <v>3917.79</v>
      </c>
      <c r="AA328" s="744"/>
      <c r="AB328" s="751"/>
      <c r="AC328" s="765">
        <v>3562.92</v>
      </c>
      <c r="AD328" s="744"/>
      <c r="AE328" s="751"/>
      <c r="AF328" s="765">
        <v>1519.03</v>
      </c>
      <c r="AG328" s="744"/>
      <c r="AH328" s="751"/>
      <c r="AI328" s="765">
        <v>3850.07</v>
      </c>
      <c r="AJ328" s="744"/>
      <c r="AK328" s="751"/>
      <c r="AL328" s="765">
        <v>3229.19</v>
      </c>
      <c r="AM328" s="744"/>
      <c r="AN328" s="751"/>
      <c r="AO328" s="1240">
        <v>3294.8</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1142"/>
      <c r="D329" s="1160"/>
      <c r="E329" s="1162">
        <v>70618.63</v>
      </c>
      <c r="F329" s="1142"/>
      <c r="G329" s="1160"/>
      <c r="H329" s="1162">
        <v>9261.6</v>
      </c>
      <c r="I329" s="1142"/>
      <c r="J329" s="1160"/>
      <c r="K329" s="1162">
        <v>8266.7199999999993</v>
      </c>
      <c r="L329" s="1142"/>
      <c r="M329" s="1160"/>
      <c r="N329" s="1162">
        <v>4791.7</v>
      </c>
      <c r="O329" s="1142"/>
      <c r="P329" s="1160"/>
      <c r="Q329" s="1162">
        <v>4954.4799999999996</v>
      </c>
      <c r="R329" s="1142"/>
      <c r="S329" s="1160"/>
      <c r="T329" s="1262">
        <v>6165.28</v>
      </c>
      <c r="U329" s="1142"/>
      <c r="V329" s="1160"/>
      <c r="W329" s="1162">
        <v>8011.01</v>
      </c>
      <c r="X329" s="1142"/>
      <c r="Y329" s="1160"/>
      <c r="Z329" s="1162">
        <v>6835.35</v>
      </c>
      <c r="AA329" s="1142"/>
      <c r="AB329" s="1160"/>
      <c r="AC329" s="1162">
        <v>4964.9399999999996</v>
      </c>
      <c r="AD329" s="1142"/>
      <c r="AE329" s="1160"/>
      <c r="AF329" s="1162">
        <v>301.86</v>
      </c>
      <c r="AG329" s="1142"/>
      <c r="AH329" s="1160"/>
      <c r="AI329" s="1162">
        <v>6057.79</v>
      </c>
      <c r="AJ329" s="1142"/>
      <c r="AK329" s="1160"/>
      <c r="AL329" s="1162">
        <v>5788.36</v>
      </c>
      <c r="AM329" s="1142"/>
      <c r="AN329" s="1160"/>
      <c r="AO329" s="1243">
        <v>5219.54</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4"/>
      <c r="D330" s="751"/>
      <c r="E330" s="765">
        <v>16317.810000000001</v>
      </c>
      <c r="F330" s="744"/>
      <c r="G330" s="751"/>
      <c r="H330" s="765">
        <v>2134.81</v>
      </c>
      <c r="I330" s="744"/>
      <c r="J330" s="751"/>
      <c r="K330" s="765">
        <v>1589.14</v>
      </c>
      <c r="L330" s="744"/>
      <c r="M330" s="751"/>
      <c r="N330" s="765">
        <v>1593.34</v>
      </c>
      <c r="O330" s="744"/>
      <c r="P330" s="751"/>
      <c r="Q330" s="765">
        <v>1601.67</v>
      </c>
      <c r="R330" s="744"/>
      <c r="S330" s="751"/>
      <c r="T330" s="765">
        <v>1705.62</v>
      </c>
      <c r="U330" s="744"/>
      <c r="V330" s="751"/>
      <c r="W330" s="765">
        <v>-1280.45</v>
      </c>
      <c r="X330" s="744"/>
      <c r="Y330" s="751"/>
      <c r="Z330" s="765">
        <v>756.55</v>
      </c>
      <c r="AA330" s="744"/>
      <c r="AB330" s="751"/>
      <c r="AC330" s="765">
        <v>1812.95</v>
      </c>
      <c r="AD330" s="744"/>
      <c r="AE330" s="751"/>
      <c r="AF330" s="765">
        <v>1554.18</v>
      </c>
      <c r="AG330" s="744"/>
      <c r="AH330" s="751"/>
      <c r="AI330" s="765">
        <v>1816.9</v>
      </c>
      <c r="AJ330" s="744"/>
      <c r="AK330" s="751"/>
      <c r="AL330" s="765">
        <v>1424.57</v>
      </c>
      <c r="AM330" s="744"/>
      <c r="AN330" s="751"/>
      <c r="AO330" s="1240">
        <v>1608.53</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4"/>
      <c r="D331" s="751"/>
      <c r="E331" s="765">
        <v>13142.74</v>
      </c>
      <c r="F331" s="744"/>
      <c r="G331" s="751"/>
      <c r="H331" s="765">
        <v>1160.49</v>
      </c>
      <c r="I331" s="744"/>
      <c r="J331" s="751"/>
      <c r="K331" s="765">
        <v>1613.73</v>
      </c>
      <c r="L331" s="744"/>
      <c r="M331" s="751"/>
      <c r="N331" s="765">
        <v>1136.6600000000001</v>
      </c>
      <c r="O331" s="744"/>
      <c r="P331" s="751"/>
      <c r="Q331" s="765">
        <v>1626.85</v>
      </c>
      <c r="R331" s="744"/>
      <c r="S331" s="751"/>
      <c r="T331" s="1256">
        <v>1138</v>
      </c>
      <c r="U331" s="744"/>
      <c r="V331" s="751"/>
      <c r="W331" s="765">
        <v>839.5</v>
      </c>
      <c r="X331" s="744"/>
      <c r="Y331" s="751"/>
      <c r="Z331" s="765">
        <v>1425.7</v>
      </c>
      <c r="AA331" s="744"/>
      <c r="AB331" s="751"/>
      <c r="AC331" s="765">
        <v>833.81</v>
      </c>
      <c r="AD331" s="744"/>
      <c r="AE331" s="751"/>
      <c r="AF331" s="765">
        <v>695.16</v>
      </c>
      <c r="AG331" s="744"/>
      <c r="AH331" s="751"/>
      <c r="AI331" s="765">
        <v>1401.04</v>
      </c>
      <c r="AJ331" s="744"/>
      <c r="AK331" s="751"/>
      <c r="AL331" s="765">
        <v>620.52</v>
      </c>
      <c r="AM331" s="744"/>
      <c r="AN331" s="751"/>
      <c r="AO331" s="1240">
        <v>651.28</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0"/>
      <c r="D332" s="771"/>
      <c r="E332" s="768"/>
      <c r="F332" s="770"/>
      <c r="G332" s="771"/>
      <c r="H332" s="768"/>
      <c r="I332" s="770"/>
      <c r="J332" s="771"/>
      <c r="K332" s="768"/>
      <c r="L332" s="770"/>
      <c r="M332" s="771"/>
      <c r="N332" s="768"/>
      <c r="O332" s="770"/>
      <c r="P332" s="771"/>
      <c r="Q332" s="768"/>
      <c r="R332" s="770"/>
      <c r="S332" s="771"/>
      <c r="T332" s="768"/>
      <c r="U332" s="770"/>
      <c r="V332" s="771"/>
      <c r="W332" s="768"/>
      <c r="X332" s="770"/>
      <c r="Y332" s="771"/>
      <c r="Z332" s="768"/>
      <c r="AA332" s="770"/>
      <c r="AB332" s="771"/>
      <c r="AC332" s="768"/>
      <c r="AD332" s="770"/>
      <c r="AE332" s="771"/>
      <c r="AF332" s="768"/>
      <c r="AG332" s="770"/>
      <c r="AH332" s="771"/>
      <c r="AI332" s="768"/>
      <c r="AJ332" s="770"/>
      <c r="AK332" s="771"/>
      <c r="AL332" s="768"/>
      <c r="AM332" s="770"/>
      <c r="AN332" s="771"/>
      <c r="AO332" s="1263"/>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1155" t="s">
        <v>119</v>
      </c>
      <c r="D333" s="1156">
        <v>0.3175250580977676</v>
      </c>
      <c r="E333" s="1157">
        <v>558992.64999999991</v>
      </c>
      <c r="F333" s="1155"/>
      <c r="G333" s="1156"/>
      <c r="H333" s="1157">
        <v>55888.6899999999</v>
      </c>
      <c r="I333" s="1155"/>
      <c r="J333" s="1156"/>
      <c r="K333" s="1157">
        <v>48551.14</v>
      </c>
      <c r="L333" s="1155"/>
      <c r="M333" s="1156"/>
      <c r="N333" s="1157">
        <v>46759.589999999902</v>
      </c>
      <c r="O333" s="1155"/>
      <c r="P333" s="1156"/>
      <c r="Q333" s="1157">
        <v>45481.24</v>
      </c>
      <c r="R333" s="1155"/>
      <c r="S333" s="1156"/>
      <c r="T333" s="1157">
        <v>54215.519999999997</v>
      </c>
      <c r="U333" s="1155"/>
      <c r="V333" s="1156"/>
      <c r="W333" s="1242">
        <v>44217.45</v>
      </c>
      <c r="X333" s="1155"/>
      <c r="Y333" s="1156"/>
      <c r="Z333" s="1242">
        <v>44230.3299999999</v>
      </c>
      <c r="AA333" s="1155"/>
      <c r="AB333" s="1156"/>
      <c r="AC333" s="1242">
        <v>44346.599999999897</v>
      </c>
      <c r="AD333" s="1155"/>
      <c r="AE333" s="1156"/>
      <c r="AF333" s="1242">
        <v>40211.19</v>
      </c>
      <c r="AG333" s="1155"/>
      <c r="AH333" s="1156"/>
      <c r="AI333" s="1157">
        <v>51221.23</v>
      </c>
      <c r="AJ333" s="1155"/>
      <c r="AK333" s="1156"/>
      <c r="AL333" s="1157">
        <v>40926.82</v>
      </c>
      <c r="AM333" s="1155"/>
      <c r="AN333" s="1156"/>
      <c r="AO333" s="1157">
        <v>42942.85</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4"/>
      <c r="D334" s="751"/>
      <c r="E334" s="765">
        <v>59265.64</v>
      </c>
      <c r="F334" s="744"/>
      <c r="G334" s="751"/>
      <c r="H334" s="765">
        <v>7036.21</v>
      </c>
      <c r="I334" s="744"/>
      <c r="J334" s="751"/>
      <c r="K334" s="765">
        <v>2753.47</v>
      </c>
      <c r="L334" s="744"/>
      <c r="M334" s="751"/>
      <c r="N334" s="765">
        <v>5459.85</v>
      </c>
      <c r="O334" s="744"/>
      <c r="P334" s="751"/>
      <c r="Q334" s="765">
        <v>12743.83</v>
      </c>
      <c r="R334" s="744"/>
      <c r="S334" s="751"/>
      <c r="T334" s="765">
        <v>7263.68</v>
      </c>
      <c r="U334" s="744"/>
      <c r="V334" s="751"/>
      <c r="W334" s="765">
        <v>1697.62</v>
      </c>
      <c r="X334" s="744"/>
      <c r="Y334" s="751"/>
      <c r="Z334" s="765">
        <v>2995.28</v>
      </c>
      <c r="AA334" s="744"/>
      <c r="AB334" s="751"/>
      <c r="AC334" s="765">
        <v>5154.0600000000004</v>
      </c>
      <c r="AD334" s="744"/>
      <c r="AE334" s="751"/>
      <c r="AF334" s="765">
        <v>784.84</v>
      </c>
      <c r="AG334" s="744"/>
      <c r="AH334" s="751"/>
      <c r="AI334" s="765">
        <v>3851.62</v>
      </c>
      <c r="AJ334" s="744"/>
      <c r="AK334" s="751"/>
      <c r="AL334" s="765">
        <v>8642.44</v>
      </c>
      <c r="AM334" s="744"/>
      <c r="AN334" s="751"/>
      <c r="AO334" s="1240">
        <v>882.74</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4"/>
      <c r="D335" s="751"/>
      <c r="E335" s="765">
        <v>12407.42</v>
      </c>
      <c r="F335" s="744"/>
      <c r="G335" s="751"/>
      <c r="H335" s="765">
        <v>269.95</v>
      </c>
      <c r="I335" s="744"/>
      <c r="J335" s="751"/>
      <c r="K335" s="765">
        <v>6048.78</v>
      </c>
      <c r="L335" s="744"/>
      <c r="M335" s="751"/>
      <c r="N335" s="765">
        <v>271.33</v>
      </c>
      <c r="O335" s="744"/>
      <c r="P335" s="751"/>
      <c r="Q335" s="765">
        <v>669.47</v>
      </c>
      <c r="R335" s="744"/>
      <c r="S335" s="751"/>
      <c r="T335" s="765">
        <v>522.87</v>
      </c>
      <c r="U335" s="744"/>
      <c r="V335" s="751"/>
      <c r="W335" s="765">
        <v>4182.3</v>
      </c>
      <c r="X335" s="744"/>
      <c r="Y335" s="751"/>
      <c r="Z335" s="765">
        <v>517.6</v>
      </c>
      <c r="AA335" s="744"/>
      <c r="AB335" s="751"/>
      <c r="AC335" s="765">
        <v>-54.59</v>
      </c>
      <c r="AD335" s="744"/>
      <c r="AE335" s="751"/>
      <c r="AF335" s="765">
        <v>-678.09</v>
      </c>
      <c r="AG335" s="744"/>
      <c r="AH335" s="751"/>
      <c r="AI335" s="765">
        <v>25.22</v>
      </c>
      <c r="AJ335" s="744"/>
      <c r="AK335" s="751"/>
      <c r="AL335" s="765">
        <v>571.02</v>
      </c>
      <c r="AM335" s="744"/>
      <c r="AN335" s="751"/>
      <c r="AO335" s="1240">
        <v>61.56</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0"/>
      <c r="D336" s="771"/>
      <c r="E336" s="769">
        <v>14609.640000000001</v>
      </c>
      <c r="F336" s="770"/>
      <c r="G336" s="771"/>
      <c r="H336" s="769">
        <v>1353.63</v>
      </c>
      <c r="I336" s="770"/>
      <c r="J336" s="771"/>
      <c r="K336" s="769">
        <v>1170.8399999999999</v>
      </c>
      <c r="L336" s="770"/>
      <c r="M336" s="771"/>
      <c r="N336" s="769">
        <v>1170.8399999999999</v>
      </c>
      <c r="O336" s="770"/>
      <c r="P336" s="771"/>
      <c r="Q336" s="769">
        <v>1170.8399999999999</v>
      </c>
      <c r="R336" s="770"/>
      <c r="S336" s="771"/>
      <c r="T336" s="769">
        <v>1353.63</v>
      </c>
      <c r="U336" s="770"/>
      <c r="V336" s="771"/>
      <c r="W336" s="769">
        <v>1142.53</v>
      </c>
      <c r="X336" s="770"/>
      <c r="Y336" s="771"/>
      <c r="Z336" s="769">
        <v>1088.69</v>
      </c>
      <c r="AA336" s="770"/>
      <c r="AB336" s="771"/>
      <c r="AC336" s="769">
        <v>1271.48</v>
      </c>
      <c r="AD336" s="770"/>
      <c r="AE336" s="771"/>
      <c r="AF336" s="769">
        <v>1142.53</v>
      </c>
      <c r="AG336" s="770"/>
      <c r="AH336" s="771"/>
      <c r="AI336" s="769">
        <v>1325.32</v>
      </c>
      <c r="AJ336" s="770"/>
      <c r="AK336" s="771"/>
      <c r="AL336" s="769">
        <v>1142.53</v>
      </c>
      <c r="AM336" s="770"/>
      <c r="AN336" s="771"/>
      <c r="AO336" s="1241">
        <v>1276.78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4"/>
      <c r="D337" s="751"/>
      <c r="E337" s="765">
        <v>75299.23</v>
      </c>
      <c r="F337" s="744"/>
      <c r="G337" s="751"/>
      <c r="H337" s="765">
        <v>4192.93</v>
      </c>
      <c r="I337" s="744"/>
      <c r="J337" s="751"/>
      <c r="K337" s="765">
        <v>9396.99</v>
      </c>
      <c r="L337" s="744"/>
      <c r="M337" s="751"/>
      <c r="N337" s="765">
        <v>6976.03</v>
      </c>
      <c r="O337" s="744"/>
      <c r="P337" s="751"/>
      <c r="Q337" s="765">
        <v>5543.45</v>
      </c>
      <c r="R337" s="744"/>
      <c r="S337" s="751"/>
      <c r="T337" s="765">
        <v>7804.67</v>
      </c>
      <c r="U337" s="744"/>
      <c r="V337" s="751"/>
      <c r="W337" s="765">
        <v>5549.46</v>
      </c>
      <c r="X337" s="744"/>
      <c r="Y337" s="751"/>
      <c r="Z337" s="765">
        <v>5753.09</v>
      </c>
      <c r="AA337" s="744"/>
      <c r="AB337" s="751"/>
      <c r="AC337" s="765">
        <v>6163.09</v>
      </c>
      <c r="AD337" s="744"/>
      <c r="AE337" s="751"/>
      <c r="AF337" s="765">
        <v>5607.23</v>
      </c>
      <c r="AG337" s="744"/>
      <c r="AH337" s="751"/>
      <c r="AI337" s="765">
        <v>5937.37</v>
      </c>
      <c r="AJ337" s="744"/>
      <c r="AK337" s="751"/>
      <c r="AL337" s="765">
        <v>5547.26</v>
      </c>
      <c r="AM337" s="744"/>
      <c r="AN337" s="751"/>
      <c r="AO337" s="1240">
        <v>6827.66</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4"/>
      <c r="D338" s="751"/>
      <c r="E338" s="765">
        <v>12085.989999999998</v>
      </c>
      <c r="F338" s="744"/>
      <c r="G338" s="751"/>
      <c r="H338" s="765">
        <v>1043.31</v>
      </c>
      <c r="I338" s="744"/>
      <c r="J338" s="751"/>
      <c r="K338" s="765">
        <v>728.54</v>
      </c>
      <c r="L338" s="744"/>
      <c r="M338" s="751"/>
      <c r="N338" s="765">
        <v>684.84</v>
      </c>
      <c r="O338" s="744"/>
      <c r="P338" s="751"/>
      <c r="Q338" s="765">
        <v>1020.62</v>
      </c>
      <c r="R338" s="744"/>
      <c r="S338" s="751"/>
      <c r="T338" s="765">
        <v>945.81</v>
      </c>
      <c r="U338" s="744"/>
      <c r="V338" s="751"/>
      <c r="W338" s="765">
        <v>1557.1</v>
      </c>
      <c r="X338" s="744"/>
      <c r="Y338" s="751"/>
      <c r="Z338" s="765">
        <v>641.58000000000004</v>
      </c>
      <c r="AA338" s="744"/>
      <c r="AB338" s="751"/>
      <c r="AC338" s="765">
        <v>597.73</v>
      </c>
      <c r="AD338" s="744"/>
      <c r="AE338" s="751"/>
      <c r="AF338" s="765">
        <v>665.2</v>
      </c>
      <c r="AG338" s="744"/>
      <c r="AH338" s="751"/>
      <c r="AI338" s="765">
        <v>1721.87</v>
      </c>
      <c r="AJ338" s="744"/>
      <c r="AK338" s="751"/>
      <c r="AL338" s="765">
        <v>1303.1600000000001</v>
      </c>
      <c r="AM338" s="744"/>
      <c r="AN338" s="751"/>
      <c r="AO338" s="1240">
        <v>1176.23</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0"/>
      <c r="D339" s="771"/>
      <c r="E339" s="769">
        <v>168014.43000000002</v>
      </c>
      <c r="F339" s="770"/>
      <c r="G339" s="771"/>
      <c r="H339" s="769">
        <v>14123.46</v>
      </c>
      <c r="I339" s="770"/>
      <c r="J339" s="771"/>
      <c r="K339" s="769">
        <v>13220.71</v>
      </c>
      <c r="L339" s="770"/>
      <c r="M339" s="771"/>
      <c r="N339" s="769">
        <v>15726.58</v>
      </c>
      <c r="O339" s="770"/>
      <c r="P339" s="771"/>
      <c r="Q339" s="769">
        <v>13547.66</v>
      </c>
      <c r="R339" s="770"/>
      <c r="S339" s="771"/>
      <c r="T339" s="769">
        <v>14454.17</v>
      </c>
      <c r="U339" s="770"/>
      <c r="V339" s="771"/>
      <c r="W339" s="769">
        <v>12748.85</v>
      </c>
      <c r="X339" s="770"/>
      <c r="Y339" s="771"/>
      <c r="Z339" s="769">
        <v>15111.77</v>
      </c>
      <c r="AA339" s="770"/>
      <c r="AB339" s="771"/>
      <c r="AC339" s="769">
        <v>13928.11</v>
      </c>
      <c r="AD339" s="770"/>
      <c r="AE339" s="771"/>
      <c r="AF339" s="769">
        <v>16512.89</v>
      </c>
      <c r="AG339" s="770"/>
      <c r="AH339" s="771"/>
      <c r="AI339" s="769">
        <v>15918.21</v>
      </c>
      <c r="AJ339" s="770"/>
      <c r="AK339" s="771"/>
      <c r="AL339" s="769">
        <v>15196.04</v>
      </c>
      <c r="AM339" s="770"/>
      <c r="AN339" s="771"/>
      <c r="AO339" s="1241">
        <v>7525.98</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4"/>
      <c r="D340" s="751"/>
      <c r="E340" s="765">
        <v>0</v>
      </c>
      <c r="F340" s="744"/>
      <c r="G340" s="751"/>
      <c r="H340" s="765">
        <v>0</v>
      </c>
      <c r="I340" s="744"/>
      <c r="J340" s="751"/>
      <c r="K340" s="765">
        <v>0</v>
      </c>
      <c r="L340" s="744"/>
      <c r="M340" s="751"/>
      <c r="N340" s="765">
        <v>0</v>
      </c>
      <c r="O340" s="744"/>
      <c r="P340" s="751"/>
      <c r="Q340" s="765">
        <v>0</v>
      </c>
      <c r="R340" s="744"/>
      <c r="S340" s="751"/>
      <c r="T340" s="765">
        <v>0</v>
      </c>
      <c r="U340" s="744"/>
      <c r="V340" s="751"/>
      <c r="W340" s="765">
        <v>0</v>
      </c>
      <c r="X340" s="744"/>
      <c r="Y340" s="751"/>
      <c r="Z340" s="765">
        <v>0</v>
      </c>
      <c r="AA340" s="744"/>
      <c r="AB340" s="751"/>
      <c r="AC340" s="765">
        <v>0</v>
      </c>
      <c r="AD340" s="744"/>
      <c r="AE340" s="751"/>
      <c r="AF340" s="765">
        <v>0</v>
      </c>
      <c r="AG340" s="744"/>
      <c r="AH340" s="751"/>
      <c r="AI340" s="765">
        <v>0</v>
      </c>
      <c r="AJ340" s="744"/>
      <c r="AK340" s="751"/>
      <c r="AL340" s="765">
        <v>0</v>
      </c>
      <c r="AM340" s="744"/>
      <c r="AN340" s="751"/>
      <c r="AO340" s="1240">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4"/>
      <c r="D341" s="751"/>
      <c r="E341" s="765">
        <v>516.1</v>
      </c>
      <c r="F341" s="744"/>
      <c r="G341" s="751"/>
      <c r="H341" s="765">
        <v>0</v>
      </c>
      <c r="I341" s="744"/>
      <c r="J341" s="751"/>
      <c r="K341" s="765">
        <v>0</v>
      </c>
      <c r="L341" s="744"/>
      <c r="M341" s="751"/>
      <c r="N341" s="765">
        <v>0</v>
      </c>
      <c r="O341" s="744"/>
      <c r="P341" s="751"/>
      <c r="Q341" s="765">
        <v>0</v>
      </c>
      <c r="R341" s="744"/>
      <c r="S341" s="751"/>
      <c r="T341" s="765">
        <v>0</v>
      </c>
      <c r="U341" s="744"/>
      <c r="V341" s="751"/>
      <c r="W341" s="765">
        <v>114.94</v>
      </c>
      <c r="X341" s="744"/>
      <c r="Y341" s="751"/>
      <c r="Z341" s="765">
        <v>0</v>
      </c>
      <c r="AA341" s="744"/>
      <c r="AB341" s="751"/>
      <c r="AC341" s="765">
        <v>16.38</v>
      </c>
      <c r="AD341" s="744"/>
      <c r="AE341" s="751"/>
      <c r="AF341" s="765">
        <v>20.04</v>
      </c>
      <c r="AG341" s="744"/>
      <c r="AH341" s="751"/>
      <c r="AI341" s="765">
        <v>0</v>
      </c>
      <c r="AJ341" s="744"/>
      <c r="AK341" s="751"/>
      <c r="AL341" s="765">
        <v>364.74</v>
      </c>
      <c r="AM341" s="744"/>
      <c r="AN341" s="751"/>
      <c r="AO341" s="1240">
        <v>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4"/>
      <c r="D342" s="751"/>
      <c r="E342" s="765">
        <v>361.45</v>
      </c>
      <c r="F342" s="744"/>
      <c r="G342" s="751"/>
      <c r="H342" s="765">
        <v>0</v>
      </c>
      <c r="I342" s="744"/>
      <c r="J342" s="751"/>
      <c r="K342" s="765">
        <v>361.45</v>
      </c>
      <c r="L342" s="744"/>
      <c r="M342" s="751"/>
      <c r="N342" s="765">
        <v>0</v>
      </c>
      <c r="O342" s="744"/>
      <c r="P342" s="751"/>
      <c r="Q342" s="765">
        <v>0</v>
      </c>
      <c r="R342" s="744"/>
      <c r="S342" s="751"/>
      <c r="T342" s="765">
        <v>0</v>
      </c>
      <c r="U342" s="744"/>
      <c r="V342" s="751"/>
      <c r="W342" s="765">
        <v>0</v>
      </c>
      <c r="X342" s="744"/>
      <c r="Y342" s="751"/>
      <c r="Z342" s="765">
        <v>0</v>
      </c>
      <c r="AA342" s="744"/>
      <c r="AB342" s="751"/>
      <c r="AC342" s="765">
        <v>0</v>
      </c>
      <c r="AD342" s="744"/>
      <c r="AE342" s="751"/>
      <c r="AF342" s="765">
        <v>0</v>
      </c>
      <c r="AG342" s="744"/>
      <c r="AH342" s="751"/>
      <c r="AI342" s="765">
        <v>0</v>
      </c>
      <c r="AJ342" s="744"/>
      <c r="AK342" s="751"/>
      <c r="AL342" s="765">
        <v>0</v>
      </c>
      <c r="AM342" s="744"/>
      <c r="AN342" s="751"/>
      <c r="AO342" s="1240">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4"/>
      <c r="D343" s="751"/>
      <c r="E343" s="765">
        <v>5929.73</v>
      </c>
      <c r="F343" s="744"/>
      <c r="G343" s="751"/>
      <c r="H343" s="765">
        <v>126.35</v>
      </c>
      <c r="I343" s="744"/>
      <c r="J343" s="751"/>
      <c r="K343" s="765">
        <v>814</v>
      </c>
      <c r="L343" s="744"/>
      <c r="M343" s="751"/>
      <c r="N343" s="765">
        <v>424.2</v>
      </c>
      <c r="O343" s="744"/>
      <c r="P343" s="751"/>
      <c r="Q343" s="765">
        <v>45.41</v>
      </c>
      <c r="R343" s="744"/>
      <c r="S343" s="751"/>
      <c r="T343" s="765">
        <v>818.22</v>
      </c>
      <c r="U343" s="744"/>
      <c r="V343" s="751"/>
      <c r="W343" s="765">
        <v>319.17</v>
      </c>
      <c r="X343" s="744"/>
      <c r="Y343" s="751"/>
      <c r="Z343" s="765">
        <v>799.65</v>
      </c>
      <c r="AA343" s="744"/>
      <c r="AB343" s="751"/>
      <c r="AC343" s="765">
        <v>614.75</v>
      </c>
      <c r="AD343" s="744"/>
      <c r="AE343" s="751"/>
      <c r="AF343" s="765">
        <v>234.02</v>
      </c>
      <c r="AG343" s="744"/>
      <c r="AH343" s="751"/>
      <c r="AI343" s="765">
        <v>46.04</v>
      </c>
      <c r="AJ343" s="744"/>
      <c r="AK343" s="751"/>
      <c r="AL343" s="765">
        <v>1481.6</v>
      </c>
      <c r="AM343" s="744"/>
      <c r="AN343" s="751"/>
      <c r="AO343" s="1240">
        <v>206.32</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4"/>
      <c r="D344" s="751"/>
      <c r="E344" s="765">
        <v>1199.06</v>
      </c>
      <c r="F344" s="744"/>
      <c r="G344" s="751"/>
      <c r="H344" s="765">
        <v>130.26</v>
      </c>
      <c r="I344" s="744"/>
      <c r="J344" s="751"/>
      <c r="K344" s="765">
        <v>120.99</v>
      </c>
      <c r="L344" s="744"/>
      <c r="M344" s="751"/>
      <c r="N344" s="765">
        <v>87.49</v>
      </c>
      <c r="O344" s="744"/>
      <c r="P344" s="751"/>
      <c r="Q344" s="765">
        <v>94.67</v>
      </c>
      <c r="R344" s="744"/>
      <c r="S344" s="751"/>
      <c r="T344" s="765">
        <v>88.45</v>
      </c>
      <c r="U344" s="744"/>
      <c r="V344" s="751"/>
      <c r="W344" s="765">
        <v>81.89</v>
      </c>
      <c r="X344" s="744"/>
      <c r="Y344" s="751"/>
      <c r="Z344" s="765">
        <v>62.25</v>
      </c>
      <c r="AA344" s="744"/>
      <c r="AB344" s="751"/>
      <c r="AC344" s="765">
        <v>128.25</v>
      </c>
      <c r="AD344" s="744"/>
      <c r="AE344" s="751"/>
      <c r="AF344" s="765">
        <v>94.15</v>
      </c>
      <c r="AG344" s="744"/>
      <c r="AH344" s="751"/>
      <c r="AI344" s="765">
        <v>98.98</v>
      </c>
      <c r="AJ344" s="744"/>
      <c r="AK344" s="751"/>
      <c r="AL344" s="765">
        <v>117.83</v>
      </c>
      <c r="AM344" s="744"/>
      <c r="AN344" s="751"/>
      <c r="AO344" s="1240">
        <v>93.85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4"/>
      <c r="D345" s="751"/>
      <c r="E345" s="765">
        <v>-7840.2800000000007</v>
      </c>
      <c r="F345" s="744"/>
      <c r="G345" s="751"/>
      <c r="H345" s="765">
        <v>-581.91999999999996</v>
      </c>
      <c r="I345" s="744"/>
      <c r="J345" s="751"/>
      <c r="K345" s="765">
        <v>144.59</v>
      </c>
      <c r="L345" s="744"/>
      <c r="M345" s="751"/>
      <c r="N345" s="765">
        <v>31.58</v>
      </c>
      <c r="O345" s="744"/>
      <c r="P345" s="751"/>
      <c r="Q345" s="765">
        <v>-558.02</v>
      </c>
      <c r="R345" s="744"/>
      <c r="S345" s="751"/>
      <c r="T345" s="765">
        <v>-151.96</v>
      </c>
      <c r="U345" s="744"/>
      <c r="V345" s="751"/>
      <c r="W345" s="765">
        <v>-997.2</v>
      </c>
      <c r="X345" s="744"/>
      <c r="Y345" s="751"/>
      <c r="Z345" s="765">
        <v>-335.96</v>
      </c>
      <c r="AA345" s="744"/>
      <c r="AB345" s="751"/>
      <c r="AC345" s="765">
        <v>108.91</v>
      </c>
      <c r="AD345" s="744"/>
      <c r="AE345" s="751"/>
      <c r="AF345" s="765">
        <v>-2231.29</v>
      </c>
      <c r="AG345" s="744"/>
      <c r="AH345" s="751"/>
      <c r="AI345" s="765">
        <v>-1258.1199999999999</v>
      </c>
      <c r="AJ345" s="744"/>
      <c r="AK345" s="751"/>
      <c r="AL345" s="765">
        <v>-564.29999999999995</v>
      </c>
      <c r="AM345" s="744"/>
      <c r="AN345" s="751"/>
      <c r="AO345" s="1240">
        <v>-1446.59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4"/>
      <c r="D346" s="751"/>
      <c r="E346" s="765">
        <v>1559.52</v>
      </c>
      <c r="F346" s="744"/>
      <c r="G346" s="751"/>
      <c r="H346" s="765">
        <v>69.86</v>
      </c>
      <c r="I346" s="744"/>
      <c r="J346" s="751"/>
      <c r="K346" s="765">
        <v>55.63</v>
      </c>
      <c r="L346" s="744"/>
      <c r="M346" s="751"/>
      <c r="N346" s="765">
        <v>55.63</v>
      </c>
      <c r="O346" s="744"/>
      <c r="P346" s="751"/>
      <c r="Q346" s="765">
        <v>94.59</v>
      </c>
      <c r="R346" s="744"/>
      <c r="S346" s="751"/>
      <c r="T346" s="765">
        <v>87.25</v>
      </c>
      <c r="U346" s="744"/>
      <c r="V346" s="751"/>
      <c r="W346" s="765">
        <v>49</v>
      </c>
      <c r="X346" s="744"/>
      <c r="Y346" s="751"/>
      <c r="Z346" s="765">
        <v>49</v>
      </c>
      <c r="AA346" s="744"/>
      <c r="AB346" s="751"/>
      <c r="AC346" s="765">
        <v>49</v>
      </c>
      <c r="AD346" s="744"/>
      <c r="AE346" s="751"/>
      <c r="AF346" s="765">
        <v>105.25</v>
      </c>
      <c r="AG346" s="744"/>
      <c r="AH346" s="751"/>
      <c r="AI346" s="765">
        <v>49</v>
      </c>
      <c r="AJ346" s="744"/>
      <c r="AK346" s="751"/>
      <c r="AL346" s="765">
        <v>320.62</v>
      </c>
      <c r="AM346" s="744"/>
      <c r="AN346" s="751"/>
      <c r="AO346" s="1240">
        <v>574.69000000000005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4"/>
      <c r="D347" s="751"/>
      <c r="E347" s="765">
        <v>3103.06</v>
      </c>
      <c r="F347" s="744"/>
      <c r="G347" s="751"/>
      <c r="H347" s="765">
        <v>79.75</v>
      </c>
      <c r="I347" s="744"/>
      <c r="J347" s="751"/>
      <c r="K347" s="765">
        <v>237.81</v>
      </c>
      <c r="L347" s="744"/>
      <c r="M347" s="751"/>
      <c r="N347" s="765">
        <v>531.23</v>
      </c>
      <c r="O347" s="744"/>
      <c r="P347" s="751"/>
      <c r="Q347" s="765">
        <v>79.75</v>
      </c>
      <c r="R347" s="744"/>
      <c r="S347" s="751"/>
      <c r="T347" s="765">
        <v>-34.119999999999997</v>
      </c>
      <c r="U347" s="744"/>
      <c r="V347" s="751"/>
      <c r="W347" s="765">
        <v>79.75</v>
      </c>
      <c r="X347" s="744"/>
      <c r="Y347" s="751"/>
      <c r="Z347" s="765">
        <v>471.28</v>
      </c>
      <c r="AA347" s="744"/>
      <c r="AB347" s="751"/>
      <c r="AC347" s="765">
        <v>328.38</v>
      </c>
      <c r="AD347" s="744"/>
      <c r="AE347" s="751"/>
      <c r="AF347" s="765">
        <v>323.68</v>
      </c>
      <c r="AG347" s="744"/>
      <c r="AH347" s="751"/>
      <c r="AI347" s="765">
        <v>477.55</v>
      </c>
      <c r="AJ347" s="744"/>
      <c r="AK347" s="751"/>
      <c r="AL347" s="765">
        <v>448.25</v>
      </c>
      <c r="AM347" s="744"/>
      <c r="AN347" s="751"/>
      <c r="AO347" s="1240">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4"/>
      <c r="D348" s="751"/>
      <c r="E348" s="765">
        <v>21412.67</v>
      </c>
      <c r="F348" s="744"/>
      <c r="G348" s="751"/>
      <c r="H348" s="765">
        <v>1255.17</v>
      </c>
      <c r="I348" s="744"/>
      <c r="J348" s="751"/>
      <c r="K348" s="765">
        <v>962.38</v>
      </c>
      <c r="L348" s="744"/>
      <c r="M348" s="751"/>
      <c r="N348" s="765">
        <v>1654.17</v>
      </c>
      <c r="O348" s="744"/>
      <c r="P348" s="751"/>
      <c r="Q348" s="765">
        <v>2048.8200000000002</v>
      </c>
      <c r="R348" s="744"/>
      <c r="S348" s="751"/>
      <c r="T348" s="765">
        <v>2026.49</v>
      </c>
      <c r="U348" s="744"/>
      <c r="V348" s="751"/>
      <c r="W348" s="765">
        <v>1568.94</v>
      </c>
      <c r="X348" s="744"/>
      <c r="Y348" s="751"/>
      <c r="Z348" s="765">
        <v>1733.14</v>
      </c>
      <c r="AA348" s="744"/>
      <c r="AB348" s="751"/>
      <c r="AC348" s="765">
        <v>1687.46</v>
      </c>
      <c r="AD348" s="744"/>
      <c r="AE348" s="751"/>
      <c r="AF348" s="765">
        <v>1785.08</v>
      </c>
      <c r="AG348" s="744"/>
      <c r="AH348" s="751"/>
      <c r="AI348" s="765">
        <v>2064.63</v>
      </c>
      <c r="AJ348" s="744"/>
      <c r="AK348" s="751"/>
      <c r="AL348" s="765">
        <v>2836.47</v>
      </c>
      <c r="AM348" s="744"/>
      <c r="AN348" s="751"/>
      <c r="AO348" s="1240">
        <v>1789.92</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4"/>
      <c r="D349" s="751"/>
      <c r="E349" s="752"/>
      <c r="F349" s="744"/>
      <c r="G349" s="751"/>
      <c r="H349" s="752"/>
      <c r="I349" s="744"/>
      <c r="J349" s="751"/>
      <c r="K349" s="752"/>
      <c r="L349" s="744"/>
      <c r="M349" s="751"/>
      <c r="N349" s="752"/>
      <c r="O349" s="744"/>
      <c r="P349" s="751"/>
      <c r="Q349" s="752"/>
      <c r="R349" s="744"/>
      <c r="S349" s="751"/>
      <c r="T349" s="752"/>
      <c r="U349" s="744"/>
      <c r="V349" s="751"/>
      <c r="W349" s="752"/>
      <c r="X349" s="744"/>
      <c r="Y349" s="751"/>
      <c r="Z349" s="752"/>
      <c r="AA349" s="744"/>
      <c r="AB349" s="751"/>
      <c r="AC349" s="752"/>
      <c r="AD349" s="744"/>
      <c r="AE349" s="751"/>
      <c r="AF349" s="752"/>
      <c r="AG349" s="744"/>
      <c r="AH349" s="751"/>
      <c r="AI349" s="752"/>
      <c r="AJ349" s="744"/>
      <c r="AK349" s="751"/>
      <c r="AL349" s="752"/>
      <c r="AM349" s="744"/>
      <c r="AN349" s="751"/>
      <c r="AO349" s="752"/>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4"/>
      <c r="D350" s="751"/>
      <c r="E350" s="752"/>
      <c r="F350" s="744"/>
      <c r="G350" s="751"/>
      <c r="H350" s="752"/>
      <c r="I350" s="744"/>
      <c r="J350" s="751"/>
      <c r="K350" s="752"/>
      <c r="L350" s="744"/>
      <c r="M350" s="751"/>
      <c r="N350" s="752"/>
      <c r="O350" s="744"/>
      <c r="P350" s="751"/>
      <c r="Q350" s="752"/>
      <c r="R350" s="744"/>
      <c r="S350" s="751"/>
      <c r="T350" s="752"/>
      <c r="U350" s="744"/>
      <c r="V350" s="751"/>
      <c r="W350" s="752"/>
      <c r="X350" s="744"/>
      <c r="Y350" s="751"/>
      <c r="Z350" s="752"/>
      <c r="AA350" s="744"/>
      <c r="AB350" s="751"/>
      <c r="AC350" s="752"/>
      <c r="AD350" s="744"/>
      <c r="AE350" s="751"/>
      <c r="AF350" s="752"/>
      <c r="AG350" s="744"/>
      <c r="AH350" s="751"/>
      <c r="AI350" s="752"/>
      <c r="AJ350" s="744"/>
      <c r="AK350" s="751"/>
      <c r="AL350" s="752"/>
      <c r="AM350" s="744"/>
      <c r="AN350" s="751"/>
      <c r="AO350" s="752"/>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4"/>
      <c r="D351" s="751"/>
      <c r="E351" s="752"/>
      <c r="F351" s="744"/>
      <c r="G351" s="751"/>
      <c r="H351" s="752"/>
      <c r="I351" s="744"/>
      <c r="J351" s="751"/>
      <c r="K351" s="752"/>
      <c r="L351" s="744"/>
      <c r="M351" s="751"/>
      <c r="N351" s="752"/>
      <c r="O351" s="744"/>
      <c r="P351" s="751"/>
      <c r="Q351" s="752"/>
      <c r="R351" s="744"/>
      <c r="S351" s="751"/>
      <c r="T351" s="752"/>
      <c r="U351" s="744"/>
      <c r="V351" s="751"/>
      <c r="W351" s="752"/>
      <c r="X351" s="744"/>
      <c r="Y351" s="751"/>
      <c r="Z351" s="752"/>
      <c r="AA351" s="744"/>
      <c r="AB351" s="751"/>
      <c r="AC351" s="752"/>
      <c r="AD351" s="744"/>
      <c r="AE351" s="751"/>
      <c r="AF351" s="752"/>
      <c r="AG351" s="744"/>
      <c r="AH351" s="751"/>
      <c r="AI351" s="752"/>
      <c r="AJ351" s="744"/>
      <c r="AK351" s="751"/>
      <c r="AL351" s="752"/>
      <c r="AM351" s="744"/>
      <c r="AN351" s="751"/>
      <c r="AO351" s="752"/>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1155" t="s">
        <v>119</v>
      </c>
      <c r="D352" s="1156">
        <v>0.2089919814098509</v>
      </c>
      <c r="E352" s="1157">
        <v>367923.65999999992</v>
      </c>
      <c r="F352" s="1155" t="s">
        <v>119</v>
      </c>
      <c r="G352" s="1156">
        <v>0.25974590765069244</v>
      </c>
      <c r="H352" s="1157">
        <v>29098.959999999999</v>
      </c>
      <c r="I352" s="1155" t="s">
        <v>119</v>
      </c>
      <c r="J352" s="1156">
        <v>0.34608104286565533</v>
      </c>
      <c r="K352" s="1157">
        <v>36016.179999999986</v>
      </c>
      <c r="L352" s="1155" t="s">
        <v>119</v>
      </c>
      <c r="M352" s="1156">
        <v>0.27045927778513346</v>
      </c>
      <c r="N352" s="1157">
        <v>33073.770000000004</v>
      </c>
      <c r="O352" s="1155" t="s">
        <v>119</v>
      </c>
      <c r="P352" s="1156">
        <v>0.33258353930118056</v>
      </c>
      <c r="Q352" s="1157">
        <v>36501.089999999997</v>
      </c>
      <c r="R352" s="1155" t="s">
        <v>119</v>
      </c>
      <c r="S352" s="1156">
        <v>0.24405564962428927</v>
      </c>
      <c r="T352" s="1157">
        <v>35179.159999999996</v>
      </c>
      <c r="U352" s="1155" t="s">
        <v>119</v>
      </c>
      <c r="V352" s="1156">
        <v>0.25678918979788062</v>
      </c>
      <c r="W352" s="1242">
        <v>28094.349999999995</v>
      </c>
      <c r="X352" s="1155" t="s">
        <v>119</v>
      </c>
      <c r="Y352" s="1156">
        <v>0.23093852238972576</v>
      </c>
      <c r="Z352" s="1242">
        <v>28887.370000000003</v>
      </c>
      <c r="AA352" s="1155" t="s">
        <v>119</v>
      </c>
      <c r="AB352" s="1156">
        <v>0.14994146420768045</v>
      </c>
      <c r="AC352" s="1242">
        <v>29993.010000000002</v>
      </c>
      <c r="AD352" s="1155" t="s">
        <v>119</v>
      </c>
      <c r="AE352" s="1156">
        <v>0.16511172056968798</v>
      </c>
      <c r="AF352" s="1242">
        <v>24365.53</v>
      </c>
      <c r="AG352" s="1155" t="s">
        <v>119</v>
      </c>
      <c r="AH352" s="1156">
        <v>0.18027996529733034</v>
      </c>
      <c r="AI352" s="1157">
        <v>30257.69</v>
      </c>
      <c r="AJ352" s="1155" t="s">
        <v>119</v>
      </c>
      <c r="AK352" s="1156">
        <v>0.19705917275906143</v>
      </c>
      <c r="AL352" s="1157">
        <v>37407.660000000011</v>
      </c>
      <c r="AM352" s="1155" t="s">
        <v>119</v>
      </c>
      <c r="AN352" s="1156">
        <v>8.3391327610822671E-2</v>
      </c>
      <c r="AO352" s="1157">
        <v>19048.889999999992</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0"/>
      <c r="D353" s="771"/>
      <c r="E353" s="768"/>
      <c r="F353" s="770"/>
      <c r="G353" s="771"/>
      <c r="H353" s="768"/>
      <c r="I353" s="770"/>
      <c r="J353" s="771"/>
      <c r="K353" s="768"/>
      <c r="L353" s="770"/>
      <c r="M353" s="771"/>
      <c r="N353" s="768"/>
      <c r="O353" s="770"/>
      <c r="P353" s="771"/>
      <c r="Q353" s="768"/>
      <c r="R353" s="770"/>
      <c r="S353" s="771"/>
      <c r="T353" s="768"/>
      <c r="U353" s="770"/>
      <c r="V353" s="771"/>
      <c r="W353" s="768"/>
      <c r="X353" s="770"/>
      <c r="Y353" s="771"/>
      <c r="Z353" s="768"/>
      <c r="AA353" s="770"/>
      <c r="AB353" s="771"/>
      <c r="AC353" s="768"/>
      <c r="AD353" s="770"/>
      <c r="AE353" s="771"/>
      <c r="AF353" s="768"/>
      <c r="AG353" s="770"/>
      <c r="AH353" s="771"/>
      <c r="AI353" s="768"/>
      <c r="AJ353" s="770"/>
      <c r="AK353" s="771"/>
      <c r="AL353" s="768"/>
      <c r="AM353" s="770"/>
      <c r="AN353" s="771"/>
      <c r="AO353" s="768"/>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1155" t="s">
        <v>119</v>
      </c>
      <c r="D354" s="1177">
        <v>0.52651703950761852</v>
      </c>
      <c r="E354" s="1165">
        <v>926916.30999999982</v>
      </c>
      <c r="F354" s="1155" t="s">
        <v>119</v>
      </c>
      <c r="G354" s="1177">
        <v>0.75862485423359971</v>
      </c>
      <c r="H354" s="1165">
        <v>84987.649999999907</v>
      </c>
      <c r="I354" s="1155" t="s">
        <v>119</v>
      </c>
      <c r="J354" s="1177">
        <v>0.81261106252671977</v>
      </c>
      <c r="K354" s="1165">
        <v>84567.319999999978</v>
      </c>
      <c r="L354" s="1155" t="s">
        <v>119</v>
      </c>
      <c r="M354" s="1177">
        <v>0.65283373769487207</v>
      </c>
      <c r="N354" s="1165">
        <v>79833.359999999899</v>
      </c>
      <c r="O354" s="1155" t="s">
        <v>119</v>
      </c>
      <c r="P354" s="1177">
        <v>0.74699066443104445</v>
      </c>
      <c r="Q354" s="1165">
        <v>81982.329999999987</v>
      </c>
      <c r="R354" s="1155" t="s">
        <v>119</v>
      </c>
      <c r="S354" s="1177">
        <v>0.62017616965144884</v>
      </c>
      <c r="T354" s="1165">
        <v>89394.68</v>
      </c>
      <c r="U354" s="1155" t="s">
        <v>119</v>
      </c>
      <c r="V354" s="1177">
        <v>0.66094743373049691</v>
      </c>
      <c r="W354" s="1245">
        <v>72311.799999999988</v>
      </c>
      <c r="X354" s="1155" t="s">
        <v>119</v>
      </c>
      <c r="Y354" s="1177">
        <v>0.58453551148945804</v>
      </c>
      <c r="Z354" s="1245">
        <v>73117.699999999895</v>
      </c>
      <c r="AA354" s="1155" t="s">
        <v>119</v>
      </c>
      <c r="AB354" s="1177">
        <v>0.37163959109232142</v>
      </c>
      <c r="AC354" s="1245">
        <v>74339.609999999899</v>
      </c>
      <c r="AD354" s="1155" t="s">
        <v>119</v>
      </c>
      <c r="AE354" s="1177">
        <v>0.43760071494225583</v>
      </c>
      <c r="AF354" s="1245">
        <v>64576.72</v>
      </c>
      <c r="AG354" s="1155" t="s">
        <v>119</v>
      </c>
      <c r="AH354" s="1177">
        <v>0.48546392239671815</v>
      </c>
      <c r="AI354" s="1165">
        <v>81478.92</v>
      </c>
      <c r="AJ354" s="1155" t="s">
        <v>119</v>
      </c>
      <c r="AK354" s="1177">
        <v>0.41265686833421922</v>
      </c>
      <c r="AL354" s="1165">
        <v>78334.48000000001</v>
      </c>
      <c r="AM354" s="1155" t="s">
        <v>119</v>
      </c>
      <c r="AN354" s="1177">
        <v>0.27138450059320735</v>
      </c>
      <c r="AO354" s="1165">
        <v>61991.739999999991</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4"/>
      <c r="D355" s="751"/>
      <c r="E355" s="752"/>
      <c r="F355" s="744"/>
      <c r="G355" s="751"/>
      <c r="H355" s="752"/>
      <c r="I355" s="744"/>
      <c r="J355" s="751"/>
      <c r="K355" s="752"/>
      <c r="L355" s="744"/>
      <c r="M355" s="751"/>
      <c r="N355" s="752"/>
      <c r="O355" s="744"/>
      <c r="P355" s="751"/>
      <c r="Q355" s="752"/>
      <c r="R355" s="744"/>
      <c r="S355" s="751"/>
      <c r="T355" s="752"/>
      <c r="U355" s="744"/>
      <c r="V355" s="751"/>
      <c r="W355" s="752"/>
      <c r="X355" s="744"/>
      <c r="Y355" s="751"/>
      <c r="Z355" s="752"/>
      <c r="AA355" s="744"/>
      <c r="AB355" s="751"/>
      <c r="AC355" s="752"/>
      <c r="AD355" s="744"/>
      <c r="AE355" s="751"/>
      <c r="AF355" s="752"/>
      <c r="AG355" s="744"/>
      <c r="AH355" s="751"/>
      <c r="AI355" s="752"/>
      <c r="AJ355" s="744"/>
      <c r="AK355" s="751"/>
      <c r="AL355" s="752"/>
      <c r="AM355" s="744"/>
      <c r="AN355" s="751"/>
      <c r="AO355" s="752"/>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1168"/>
      <c r="D356" s="1179"/>
      <c r="E356" s="1171">
        <v>833551.51999999722</v>
      </c>
      <c r="F356" s="1168"/>
      <c r="G356" s="1179"/>
      <c r="H356" s="1171">
        <v>27040.909999999873</v>
      </c>
      <c r="I356" s="1168"/>
      <c r="J356" s="1179"/>
      <c r="K356" s="1171">
        <v>19501.30999999991</v>
      </c>
      <c r="L356" s="1168"/>
      <c r="M356" s="1179"/>
      <c r="N356" s="1171">
        <v>42454.069999999891</v>
      </c>
      <c r="O356" s="1168"/>
      <c r="P356" s="1179"/>
      <c r="Q356" s="1171">
        <v>27767.809999999794</v>
      </c>
      <c r="R356" s="1168"/>
      <c r="S356" s="1179"/>
      <c r="T356" s="1171">
        <v>54749.329999999783</v>
      </c>
      <c r="U356" s="1168"/>
      <c r="V356" s="1179"/>
      <c r="W356" s="1248">
        <v>37094.479999999705</v>
      </c>
      <c r="X356" s="1168"/>
      <c r="Y356" s="1179"/>
      <c r="Z356" s="1248">
        <v>51969.139999999927</v>
      </c>
      <c r="AA356" s="1168"/>
      <c r="AB356" s="1179"/>
      <c r="AC356" s="1248">
        <v>125691.84999999969</v>
      </c>
      <c r="AD356" s="1168"/>
      <c r="AE356" s="1179"/>
      <c r="AF356" s="1248">
        <v>82993.239999999787</v>
      </c>
      <c r="AG356" s="1168"/>
      <c r="AH356" s="1179"/>
      <c r="AI356" s="1171">
        <v>86358.309999999721</v>
      </c>
      <c r="AJ356" s="1168"/>
      <c r="AK356" s="1179"/>
      <c r="AL356" s="1171">
        <v>111495.09999999969</v>
      </c>
      <c r="AM356" s="1168"/>
      <c r="AN356" s="1179"/>
      <c r="AO356" s="1171">
        <v>166435.97</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792"/>
      <c r="D357" s="792"/>
      <c r="E357" s="828">
        <v>833551.51999999769</v>
      </c>
      <c r="F357" s="792"/>
      <c r="G357" s="792"/>
      <c r="H357" s="828"/>
      <c r="I357" s="792"/>
      <c r="J357" s="792"/>
      <c r="K357" s="828"/>
      <c r="L357" s="792"/>
      <c r="M357" s="792"/>
      <c r="N357" s="828"/>
      <c r="O357" s="792"/>
      <c r="P357" s="792"/>
      <c r="Q357" s="828"/>
      <c r="R357" s="792"/>
      <c r="S357" s="792"/>
      <c r="T357" s="828"/>
      <c r="U357" s="792"/>
      <c r="V357" s="792"/>
      <c r="W357" s="828"/>
      <c r="X357" s="792"/>
      <c r="Y357" s="792"/>
      <c r="Z357" s="828"/>
      <c r="AA357" s="792"/>
      <c r="AB357" s="792"/>
      <c r="AC357" s="828"/>
      <c r="AD357" s="792"/>
      <c r="AE357" s="792"/>
      <c r="AF357" s="828"/>
      <c r="AG357" s="792"/>
      <c r="AH357" s="792"/>
      <c r="AI357" s="828"/>
      <c r="AJ357" s="792"/>
      <c r="AK357" s="792"/>
      <c r="AL357" s="828"/>
      <c r="AM357" s="792"/>
      <c r="AN357" s="792"/>
      <c r="AO357" s="828"/>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792"/>
      <c r="D358" s="792"/>
      <c r="E358" s="828"/>
      <c r="F358" s="792"/>
      <c r="G358" s="792"/>
      <c r="H358" s="828"/>
      <c r="I358" s="792"/>
      <c r="J358" s="792"/>
      <c r="K358" s="828"/>
      <c r="L358" s="792"/>
      <c r="M358" s="792"/>
      <c r="N358" s="828"/>
      <c r="O358" s="792"/>
      <c r="P358" s="792"/>
      <c r="Q358" s="828"/>
      <c r="R358" s="792"/>
      <c r="S358" s="792"/>
      <c r="T358" s="828"/>
      <c r="U358" s="792"/>
      <c r="V358" s="792"/>
      <c r="W358" s="828"/>
      <c r="X358" s="792"/>
      <c r="Y358" s="792"/>
      <c r="Z358" s="828"/>
      <c r="AA358" s="792"/>
      <c r="AB358" s="792"/>
      <c r="AC358" s="828"/>
      <c r="AD358" s="792"/>
      <c r="AE358" s="792"/>
      <c r="AF358" s="828"/>
      <c r="AG358" s="792"/>
      <c r="AH358" s="792"/>
      <c r="AI358" s="828"/>
      <c r="AJ358" s="792"/>
      <c r="AK358" s="792"/>
      <c r="AL358" s="828"/>
      <c r="AM358" s="792"/>
      <c r="AN358" s="792"/>
      <c r="AO358" s="828"/>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3934</v>
      </c>
      <c r="C359" s="784" t="s">
        <v>196</v>
      </c>
      <c r="D359" s="784"/>
      <c r="E359" s="784"/>
      <c r="F359" s="784"/>
      <c r="G359" s="784"/>
      <c r="H359" s="784"/>
      <c r="I359" s="784"/>
      <c r="J359" s="784"/>
      <c r="K359" s="784"/>
      <c r="L359" s="784"/>
      <c r="M359" s="784"/>
      <c r="N359" s="784"/>
      <c r="O359" s="784"/>
      <c r="P359" s="784"/>
      <c r="Q359" s="784"/>
      <c r="R359" s="784"/>
      <c r="S359" s="784"/>
      <c r="T359" s="784"/>
      <c r="U359" s="784"/>
      <c r="V359" s="784"/>
      <c r="W359" s="784"/>
      <c r="X359" s="784"/>
      <c r="Y359" s="784"/>
      <c r="Z359" s="784"/>
      <c r="AA359" s="784"/>
      <c r="AB359" s="784"/>
      <c r="AC359" s="784"/>
      <c r="AD359" s="784"/>
      <c r="AE359" s="784"/>
      <c r="AF359" s="784"/>
      <c r="AG359" s="784"/>
      <c r="AH359" s="784"/>
      <c r="AI359" s="784"/>
      <c r="AJ359" s="784"/>
      <c r="AK359" s="784"/>
      <c r="AL359" s="784"/>
      <c r="AM359" s="784"/>
      <c r="AN359" s="784"/>
      <c r="AO359" s="784"/>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783"/>
      <c r="D360" s="783"/>
      <c r="E360" s="783"/>
      <c r="F360" s="783"/>
      <c r="G360" s="783"/>
      <c r="H360" s="783"/>
      <c r="I360" s="783"/>
      <c r="J360" s="783"/>
      <c r="K360" s="783"/>
      <c r="L360" s="783"/>
      <c r="M360" s="783"/>
      <c r="N360" s="783"/>
      <c r="O360" s="783"/>
      <c r="P360" s="783"/>
      <c r="Q360" s="783"/>
      <c r="R360" s="783"/>
      <c r="S360" s="783"/>
      <c r="T360" s="783"/>
      <c r="U360" s="783"/>
      <c r="V360" s="783"/>
      <c r="W360" s="783"/>
      <c r="X360" s="783"/>
      <c r="Y360" s="783"/>
      <c r="Z360" s="783"/>
      <c r="AA360" s="783"/>
      <c r="AB360" s="783"/>
      <c r="AC360" s="783"/>
      <c r="AD360" s="783"/>
      <c r="AE360" s="783"/>
      <c r="AF360" s="783"/>
      <c r="AG360" s="783"/>
      <c r="AH360" s="783"/>
      <c r="AI360" s="783"/>
      <c r="AJ360" s="783"/>
      <c r="AK360" s="783"/>
      <c r="AL360" s="783"/>
      <c r="AM360" s="783"/>
      <c r="AN360" s="783"/>
      <c r="AO360" s="783"/>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729">
        <v>2025</v>
      </c>
      <c r="D361" s="730"/>
      <c r="E361" s="73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785" t="s">
        <v>163</v>
      </c>
      <c r="D362" s="762" t="s">
        <v>181</v>
      </c>
      <c r="E362" s="786" t="s">
        <v>95</v>
      </c>
      <c r="F362" s="785" t="s">
        <v>163</v>
      </c>
      <c r="G362" s="762" t="s">
        <v>181</v>
      </c>
      <c r="H362" s="786" t="s">
        <v>95</v>
      </c>
      <c r="I362" s="785" t="s">
        <v>163</v>
      </c>
      <c r="J362" s="762" t="s">
        <v>181</v>
      </c>
      <c r="K362" s="786" t="s">
        <v>95</v>
      </c>
      <c r="L362" s="785" t="s">
        <v>163</v>
      </c>
      <c r="M362" s="762" t="s">
        <v>181</v>
      </c>
      <c r="N362" s="786" t="s">
        <v>95</v>
      </c>
      <c r="O362" s="785" t="s">
        <v>163</v>
      </c>
      <c r="P362" s="762" t="s">
        <v>181</v>
      </c>
      <c r="Q362" s="786" t="s">
        <v>95</v>
      </c>
      <c r="R362" s="785" t="s">
        <v>163</v>
      </c>
      <c r="S362" s="762" t="s">
        <v>181</v>
      </c>
      <c r="T362" s="786" t="s">
        <v>95</v>
      </c>
      <c r="U362" s="785" t="s">
        <v>163</v>
      </c>
      <c r="V362" s="762" t="s">
        <v>181</v>
      </c>
      <c r="W362" s="786" t="s">
        <v>95</v>
      </c>
      <c r="X362" s="785" t="s">
        <v>163</v>
      </c>
      <c r="Y362" s="762" t="s">
        <v>181</v>
      </c>
      <c r="Z362" s="786" t="s">
        <v>95</v>
      </c>
      <c r="AA362" s="785" t="s">
        <v>163</v>
      </c>
      <c r="AB362" s="762" t="s">
        <v>181</v>
      </c>
      <c r="AC362" s="786" t="s">
        <v>95</v>
      </c>
      <c r="AD362" s="785" t="s">
        <v>163</v>
      </c>
      <c r="AE362" s="762" t="s">
        <v>181</v>
      </c>
      <c r="AF362" s="786" t="s">
        <v>95</v>
      </c>
      <c r="AG362" s="785" t="s">
        <v>163</v>
      </c>
      <c r="AH362" s="762" t="s">
        <v>181</v>
      </c>
      <c r="AI362" s="786" t="s">
        <v>95</v>
      </c>
      <c r="AJ362" s="785" t="s">
        <v>163</v>
      </c>
      <c r="AK362" s="762" t="s">
        <v>181</v>
      </c>
      <c r="AL362" s="786" t="s">
        <v>95</v>
      </c>
      <c r="AM362" s="785" t="s">
        <v>163</v>
      </c>
      <c r="AN362" s="762" t="s">
        <v>181</v>
      </c>
      <c r="AO362" s="786"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3">
        <v>0</v>
      </c>
      <c r="D363" s="825">
        <v>0</v>
      </c>
      <c r="E363" s="755">
        <v>0</v>
      </c>
      <c r="F363" s="753">
        <v>0</v>
      </c>
      <c r="G363" s="825">
        <v>0</v>
      </c>
      <c r="H363" s="755">
        <v>0</v>
      </c>
      <c r="I363" s="753">
        <v>0</v>
      </c>
      <c r="J363" s="825">
        <v>0</v>
      </c>
      <c r="K363" s="755">
        <v>0</v>
      </c>
      <c r="L363" s="753">
        <v>0</v>
      </c>
      <c r="M363" s="825">
        <v>0</v>
      </c>
      <c r="N363" s="755">
        <v>0</v>
      </c>
      <c r="O363" s="753">
        <v>0</v>
      </c>
      <c r="P363" s="825">
        <v>0</v>
      </c>
      <c r="Q363" s="755">
        <v>0</v>
      </c>
      <c r="R363" s="753">
        <v>0</v>
      </c>
      <c r="S363" s="825">
        <v>0</v>
      </c>
      <c r="T363" s="755">
        <v>0</v>
      </c>
      <c r="U363" s="753">
        <v>0</v>
      </c>
      <c r="V363" s="825">
        <v>0</v>
      </c>
      <c r="W363" s="1238">
        <v>0</v>
      </c>
      <c r="X363" s="753">
        <v>0</v>
      </c>
      <c r="Y363" s="825">
        <v>0</v>
      </c>
      <c r="Z363" s="1238">
        <v>0</v>
      </c>
      <c r="AA363" s="753">
        <v>0</v>
      </c>
      <c r="AB363" s="825">
        <v>0</v>
      </c>
      <c r="AC363" s="1238">
        <v>0</v>
      </c>
      <c r="AD363" s="753">
        <v>0</v>
      </c>
      <c r="AE363" s="825">
        <v>0</v>
      </c>
      <c r="AF363" s="1238">
        <v>0</v>
      </c>
      <c r="AG363" s="753">
        <v>0</v>
      </c>
      <c r="AH363" s="825">
        <v>0</v>
      </c>
      <c r="AI363" s="755">
        <v>0</v>
      </c>
      <c r="AJ363" s="753">
        <v>0</v>
      </c>
      <c r="AK363" s="825">
        <v>0</v>
      </c>
      <c r="AL363" s="755">
        <v>0</v>
      </c>
      <c r="AM363" s="753">
        <v>0</v>
      </c>
      <c r="AN363" s="825">
        <v>0</v>
      </c>
      <c r="AO363" s="755">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1203"/>
      <c r="D364" s="1204"/>
      <c r="E364" s="1205"/>
      <c r="F364" s="1203"/>
      <c r="G364" s="1204"/>
      <c r="H364" s="1205"/>
      <c r="I364" s="1203"/>
      <c r="J364" s="1204"/>
      <c r="K364" s="1205"/>
      <c r="L364" s="1203"/>
      <c r="M364" s="1204"/>
      <c r="N364" s="1205"/>
      <c r="O364" s="1203"/>
      <c r="P364" s="1204"/>
      <c r="Q364" s="1205"/>
      <c r="R364" s="1203"/>
      <c r="S364" s="1204"/>
      <c r="T364" s="1205"/>
      <c r="U364" s="1203"/>
      <c r="V364" s="1204"/>
      <c r="W364" s="1260"/>
      <c r="X364" s="1203"/>
      <c r="Y364" s="1204"/>
      <c r="Z364" s="1260"/>
      <c r="AA364" s="1203"/>
      <c r="AB364" s="1204"/>
      <c r="AC364" s="1260"/>
      <c r="AD364" s="1203"/>
      <c r="AE364" s="1204"/>
      <c r="AF364" s="1260"/>
      <c r="AG364" s="1203"/>
      <c r="AH364" s="1204"/>
      <c r="AI364" s="1205"/>
      <c r="AJ364" s="1203"/>
      <c r="AK364" s="1204"/>
      <c r="AL364" s="1205"/>
      <c r="AM364" s="1203"/>
      <c r="AN364" s="1204"/>
      <c r="AO364" s="1205"/>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26">
        <v>0</v>
      </c>
      <c r="D365" s="827">
        <v>0</v>
      </c>
      <c r="E365" s="780">
        <v>0</v>
      </c>
      <c r="F365" s="826">
        <v>0</v>
      </c>
      <c r="G365" s="827">
        <v>0</v>
      </c>
      <c r="H365" s="780">
        <v>0</v>
      </c>
      <c r="I365" s="826">
        <v>0</v>
      </c>
      <c r="J365" s="827">
        <v>0</v>
      </c>
      <c r="K365" s="780">
        <v>0</v>
      </c>
      <c r="L365" s="826">
        <v>0</v>
      </c>
      <c r="M365" s="827">
        <v>0</v>
      </c>
      <c r="N365" s="780">
        <v>0</v>
      </c>
      <c r="O365" s="826">
        <v>0</v>
      </c>
      <c r="P365" s="827">
        <v>0</v>
      </c>
      <c r="Q365" s="780">
        <v>0</v>
      </c>
      <c r="R365" s="826">
        <v>0</v>
      </c>
      <c r="S365" s="827">
        <v>0</v>
      </c>
      <c r="T365" s="780">
        <v>0</v>
      </c>
      <c r="U365" s="826">
        <v>0</v>
      </c>
      <c r="V365" s="827">
        <v>0</v>
      </c>
      <c r="W365" s="1247">
        <v>0</v>
      </c>
      <c r="X365" s="826">
        <v>0</v>
      </c>
      <c r="Y365" s="827">
        <v>0</v>
      </c>
      <c r="Z365" s="1247">
        <v>0</v>
      </c>
      <c r="AA365" s="826">
        <v>0</v>
      </c>
      <c r="AB365" s="827">
        <v>0</v>
      </c>
      <c r="AC365" s="1247">
        <v>0</v>
      </c>
      <c r="AD365" s="826">
        <v>0</v>
      </c>
      <c r="AE365" s="827">
        <v>0</v>
      </c>
      <c r="AF365" s="1247">
        <v>0</v>
      </c>
      <c r="AG365" s="826">
        <v>0</v>
      </c>
      <c r="AH365" s="827">
        <v>0</v>
      </c>
      <c r="AI365" s="780">
        <v>0</v>
      </c>
      <c r="AJ365" s="826">
        <v>0</v>
      </c>
      <c r="AK365" s="827">
        <v>0</v>
      </c>
      <c r="AL365" s="780">
        <v>0</v>
      </c>
      <c r="AM365" s="826">
        <v>0</v>
      </c>
      <c r="AN365" s="827">
        <v>0</v>
      </c>
      <c r="AO365" s="780">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4"/>
      <c r="D366" s="751"/>
      <c r="E366" s="745"/>
      <c r="F366" s="744"/>
      <c r="G366" s="751"/>
      <c r="H366" s="745"/>
      <c r="I366" s="744"/>
      <c r="J366" s="751"/>
      <c r="K366" s="745"/>
      <c r="L366" s="744"/>
      <c r="M366" s="751"/>
      <c r="N366" s="745"/>
      <c r="O366" s="744"/>
      <c r="P366" s="751"/>
      <c r="Q366" s="745"/>
      <c r="R366" s="744"/>
      <c r="S366" s="751"/>
      <c r="T366" s="745"/>
      <c r="U366" s="744"/>
      <c r="V366" s="751"/>
      <c r="W366" s="745"/>
      <c r="X366" s="744"/>
      <c r="Y366" s="751"/>
      <c r="Z366" s="745"/>
      <c r="AA366" s="744"/>
      <c r="AB366" s="751"/>
      <c r="AC366" s="745"/>
      <c r="AD366" s="744"/>
      <c r="AE366" s="751"/>
      <c r="AF366" s="745"/>
      <c r="AG366" s="744"/>
      <c r="AH366" s="751"/>
      <c r="AI366" s="745"/>
      <c r="AJ366" s="744"/>
      <c r="AK366" s="751"/>
      <c r="AL366" s="745"/>
      <c r="AM366" s="744"/>
      <c r="AN366" s="751"/>
      <c r="AO366" s="745"/>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4"/>
      <c r="D367" s="751"/>
      <c r="E367" s="745"/>
      <c r="F367" s="744"/>
      <c r="G367" s="751"/>
      <c r="H367" s="745"/>
      <c r="I367" s="744"/>
      <c r="J367" s="751"/>
      <c r="K367" s="745"/>
      <c r="L367" s="744"/>
      <c r="M367" s="751"/>
      <c r="N367" s="745"/>
      <c r="O367" s="744"/>
      <c r="P367" s="751"/>
      <c r="Q367" s="745"/>
      <c r="R367" s="744"/>
      <c r="S367" s="751"/>
      <c r="T367" s="745"/>
      <c r="U367" s="744"/>
      <c r="V367" s="751"/>
      <c r="W367" s="745"/>
      <c r="X367" s="744"/>
      <c r="Y367" s="751"/>
      <c r="Z367" s="745"/>
      <c r="AA367" s="744"/>
      <c r="AB367" s="751"/>
      <c r="AC367" s="745"/>
      <c r="AD367" s="744"/>
      <c r="AE367" s="751"/>
      <c r="AF367" s="745"/>
      <c r="AG367" s="744"/>
      <c r="AH367" s="751"/>
      <c r="AI367" s="745"/>
      <c r="AJ367" s="744"/>
      <c r="AK367" s="751"/>
      <c r="AL367" s="745"/>
      <c r="AM367" s="744"/>
      <c r="AN367" s="751"/>
      <c r="AO367" s="745"/>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4"/>
      <c r="D368" s="751"/>
      <c r="E368" s="765">
        <v>0</v>
      </c>
      <c r="F368" s="744"/>
      <c r="G368" s="751"/>
      <c r="H368" s="765">
        <v>0</v>
      </c>
      <c r="I368" s="744"/>
      <c r="J368" s="751"/>
      <c r="K368" s="765">
        <v>0</v>
      </c>
      <c r="L368" s="744"/>
      <c r="M368" s="751"/>
      <c r="N368" s="765">
        <v>0</v>
      </c>
      <c r="O368" s="744"/>
      <c r="P368" s="751"/>
      <c r="Q368" s="765">
        <v>0</v>
      </c>
      <c r="R368" s="744"/>
      <c r="S368" s="751"/>
      <c r="T368" s="765">
        <v>0</v>
      </c>
      <c r="U368" s="744"/>
      <c r="V368" s="751"/>
      <c r="W368" s="765">
        <v>0</v>
      </c>
      <c r="X368" s="744"/>
      <c r="Y368" s="751"/>
      <c r="Z368" s="765">
        <v>0</v>
      </c>
      <c r="AA368" s="744"/>
      <c r="AB368" s="751"/>
      <c r="AC368" s="765">
        <v>0</v>
      </c>
      <c r="AD368" s="744"/>
      <c r="AE368" s="751"/>
      <c r="AF368" s="765">
        <v>0</v>
      </c>
      <c r="AG368" s="744"/>
      <c r="AH368" s="751"/>
      <c r="AI368" s="765">
        <v>0</v>
      </c>
      <c r="AJ368" s="744"/>
      <c r="AK368" s="751"/>
      <c r="AL368" s="765">
        <v>0</v>
      </c>
      <c r="AM368" s="744"/>
      <c r="AN368" s="751"/>
      <c r="AO368" s="1240">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4"/>
      <c r="D369" s="751"/>
      <c r="E369" s="765">
        <v>0</v>
      </c>
      <c r="F369" s="744"/>
      <c r="G369" s="751"/>
      <c r="H369" s="765">
        <v>0</v>
      </c>
      <c r="I369" s="744"/>
      <c r="J369" s="751"/>
      <c r="K369" s="765">
        <v>0</v>
      </c>
      <c r="L369" s="744"/>
      <c r="M369" s="751"/>
      <c r="N369" s="765">
        <v>0</v>
      </c>
      <c r="O369" s="744"/>
      <c r="P369" s="751"/>
      <c r="Q369" s="765">
        <v>0</v>
      </c>
      <c r="R369" s="744"/>
      <c r="S369" s="751"/>
      <c r="T369" s="765">
        <v>0</v>
      </c>
      <c r="U369" s="744"/>
      <c r="V369" s="751"/>
      <c r="W369" s="765">
        <v>0</v>
      </c>
      <c r="X369" s="744"/>
      <c r="Y369" s="751"/>
      <c r="Z369" s="765">
        <v>0</v>
      </c>
      <c r="AA369" s="744"/>
      <c r="AB369" s="751"/>
      <c r="AC369" s="765">
        <v>0</v>
      </c>
      <c r="AD369" s="744"/>
      <c r="AE369" s="751"/>
      <c r="AF369" s="765">
        <v>0</v>
      </c>
      <c r="AG369" s="744"/>
      <c r="AH369" s="751"/>
      <c r="AI369" s="765">
        <v>0</v>
      </c>
      <c r="AJ369" s="744"/>
      <c r="AK369" s="751"/>
      <c r="AL369" s="765">
        <v>0</v>
      </c>
      <c r="AM369" s="744"/>
      <c r="AN369" s="751"/>
      <c r="AO369" s="1240">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1142"/>
      <c r="D370" s="1160"/>
      <c r="E370" s="1162">
        <v>0</v>
      </c>
      <c r="F370" s="1142"/>
      <c r="G370" s="1160"/>
      <c r="H370" s="1162">
        <v>0</v>
      </c>
      <c r="I370" s="1142"/>
      <c r="J370" s="1160"/>
      <c r="K370" s="1162">
        <v>0</v>
      </c>
      <c r="L370" s="1142"/>
      <c r="M370" s="1160"/>
      <c r="N370" s="1162">
        <v>0</v>
      </c>
      <c r="O370" s="1142"/>
      <c r="P370" s="1160"/>
      <c r="Q370" s="1162">
        <v>0</v>
      </c>
      <c r="R370" s="1142"/>
      <c r="S370" s="1160"/>
      <c r="T370" s="1162">
        <v>0</v>
      </c>
      <c r="U370" s="1142"/>
      <c r="V370" s="1160"/>
      <c r="W370" s="1162">
        <v>0</v>
      </c>
      <c r="X370" s="1142"/>
      <c r="Y370" s="1160"/>
      <c r="Z370" s="1162">
        <v>0</v>
      </c>
      <c r="AA370" s="1142"/>
      <c r="AB370" s="1160"/>
      <c r="AC370" s="1162">
        <v>0</v>
      </c>
      <c r="AD370" s="1142"/>
      <c r="AE370" s="1160"/>
      <c r="AF370" s="1162">
        <v>0</v>
      </c>
      <c r="AG370" s="1142"/>
      <c r="AH370" s="1160"/>
      <c r="AI370" s="1162">
        <v>0</v>
      </c>
      <c r="AJ370" s="1142"/>
      <c r="AK370" s="1160"/>
      <c r="AL370" s="1162">
        <v>0</v>
      </c>
      <c r="AM370" s="1142"/>
      <c r="AN370" s="1160"/>
      <c r="AO370" s="124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4"/>
      <c r="D371" s="751"/>
      <c r="E371" s="765">
        <v>0</v>
      </c>
      <c r="F371" s="744"/>
      <c r="G371" s="751"/>
      <c r="H371" s="765">
        <v>0</v>
      </c>
      <c r="I371" s="744"/>
      <c r="J371" s="751"/>
      <c r="K371" s="765">
        <v>0</v>
      </c>
      <c r="L371" s="744"/>
      <c r="M371" s="751"/>
      <c r="N371" s="765">
        <v>0</v>
      </c>
      <c r="O371" s="744"/>
      <c r="P371" s="751"/>
      <c r="Q371" s="765">
        <v>0</v>
      </c>
      <c r="R371" s="744"/>
      <c r="S371" s="751"/>
      <c r="T371" s="765">
        <v>0</v>
      </c>
      <c r="U371" s="744"/>
      <c r="V371" s="751"/>
      <c r="W371" s="765">
        <v>0</v>
      </c>
      <c r="X371" s="744"/>
      <c r="Y371" s="751"/>
      <c r="Z371" s="765">
        <v>0</v>
      </c>
      <c r="AA371" s="744"/>
      <c r="AB371" s="751"/>
      <c r="AC371" s="765">
        <v>0</v>
      </c>
      <c r="AD371" s="744"/>
      <c r="AE371" s="751"/>
      <c r="AF371" s="765">
        <v>0</v>
      </c>
      <c r="AG371" s="744"/>
      <c r="AH371" s="751"/>
      <c r="AI371" s="765">
        <v>0</v>
      </c>
      <c r="AJ371" s="744"/>
      <c r="AK371" s="751"/>
      <c r="AL371" s="765">
        <v>0</v>
      </c>
      <c r="AM371" s="744"/>
      <c r="AN371" s="751"/>
      <c r="AO371" s="1240">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4"/>
      <c r="D372" s="751"/>
      <c r="E372" s="765"/>
      <c r="F372" s="744"/>
      <c r="G372" s="751"/>
      <c r="H372" s="765"/>
      <c r="I372" s="744"/>
      <c r="J372" s="751"/>
      <c r="K372" s="765"/>
      <c r="L372" s="744"/>
      <c r="M372" s="751"/>
      <c r="N372" s="765"/>
      <c r="O372" s="744"/>
      <c r="P372" s="751"/>
      <c r="Q372" s="765"/>
      <c r="R372" s="744"/>
      <c r="S372" s="751"/>
      <c r="T372" s="765"/>
      <c r="U372" s="744"/>
      <c r="V372" s="751"/>
      <c r="W372" s="765"/>
      <c r="X372" s="744"/>
      <c r="Y372" s="751"/>
      <c r="Z372" s="765"/>
      <c r="AA372" s="744"/>
      <c r="AB372" s="751"/>
      <c r="AC372" s="765"/>
      <c r="AD372" s="744"/>
      <c r="AE372" s="751"/>
      <c r="AF372" s="765"/>
      <c r="AG372" s="744"/>
      <c r="AH372" s="751"/>
      <c r="AI372" s="765"/>
      <c r="AJ372" s="744"/>
      <c r="AK372" s="751"/>
      <c r="AL372" s="765"/>
      <c r="AM372" s="744"/>
      <c r="AN372" s="751"/>
      <c r="AO372" s="1240"/>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4"/>
      <c r="D373" s="751"/>
      <c r="E373" s="765"/>
      <c r="F373" s="744"/>
      <c r="G373" s="751"/>
      <c r="H373" s="765"/>
      <c r="I373" s="744"/>
      <c r="J373" s="751"/>
      <c r="K373" s="765"/>
      <c r="L373" s="744"/>
      <c r="M373" s="751"/>
      <c r="N373" s="765"/>
      <c r="O373" s="744"/>
      <c r="P373" s="751"/>
      <c r="Q373" s="765"/>
      <c r="R373" s="744"/>
      <c r="S373" s="751"/>
      <c r="T373" s="765"/>
      <c r="U373" s="744"/>
      <c r="V373" s="751"/>
      <c r="W373" s="765"/>
      <c r="X373" s="744"/>
      <c r="Y373" s="751"/>
      <c r="Z373" s="765"/>
      <c r="AA373" s="744"/>
      <c r="AB373" s="751"/>
      <c r="AC373" s="765"/>
      <c r="AD373" s="744"/>
      <c r="AE373" s="751"/>
      <c r="AF373" s="765"/>
      <c r="AG373" s="744"/>
      <c r="AH373" s="751"/>
      <c r="AI373" s="765"/>
      <c r="AJ373" s="744"/>
      <c r="AK373" s="751"/>
      <c r="AL373" s="765"/>
      <c r="AM373" s="744"/>
      <c r="AN373" s="751"/>
      <c r="AO373" s="1240"/>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4"/>
      <c r="D374" s="751"/>
      <c r="E374" s="765"/>
      <c r="F374" s="744"/>
      <c r="G374" s="751"/>
      <c r="H374" s="765"/>
      <c r="I374" s="744"/>
      <c r="J374" s="751"/>
      <c r="K374" s="765"/>
      <c r="L374" s="744"/>
      <c r="M374" s="751"/>
      <c r="N374" s="765"/>
      <c r="O374" s="744"/>
      <c r="P374" s="751"/>
      <c r="Q374" s="765"/>
      <c r="R374" s="744"/>
      <c r="S374" s="751"/>
      <c r="T374" s="765"/>
      <c r="U374" s="744"/>
      <c r="V374" s="751"/>
      <c r="W374" s="765"/>
      <c r="X374" s="744"/>
      <c r="Y374" s="751"/>
      <c r="Z374" s="765"/>
      <c r="AA374" s="744"/>
      <c r="AB374" s="751"/>
      <c r="AC374" s="765"/>
      <c r="AD374" s="744"/>
      <c r="AE374" s="751"/>
      <c r="AF374" s="765"/>
      <c r="AG374" s="744"/>
      <c r="AH374" s="751"/>
      <c r="AI374" s="765"/>
      <c r="AJ374" s="744"/>
      <c r="AK374" s="751"/>
      <c r="AL374" s="765"/>
      <c r="AM374" s="744"/>
      <c r="AN374" s="751"/>
      <c r="AO374" s="1240"/>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4"/>
      <c r="D375" s="751"/>
      <c r="E375" s="765">
        <v>0</v>
      </c>
      <c r="F375" s="744"/>
      <c r="G375" s="751"/>
      <c r="H375" s="765">
        <v>0</v>
      </c>
      <c r="I375" s="744"/>
      <c r="J375" s="751"/>
      <c r="K375" s="765">
        <v>0</v>
      </c>
      <c r="L375" s="744"/>
      <c r="M375" s="751"/>
      <c r="N375" s="765">
        <v>0</v>
      </c>
      <c r="O375" s="744"/>
      <c r="P375" s="751"/>
      <c r="Q375" s="765">
        <v>0</v>
      </c>
      <c r="R375" s="744"/>
      <c r="S375" s="751"/>
      <c r="T375" s="765">
        <v>0</v>
      </c>
      <c r="U375" s="744"/>
      <c r="V375" s="751"/>
      <c r="W375" s="765">
        <v>0</v>
      </c>
      <c r="X375" s="744"/>
      <c r="Y375" s="751"/>
      <c r="Z375" s="765">
        <v>0</v>
      </c>
      <c r="AA375" s="744"/>
      <c r="AB375" s="751"/>
      <c r="AC375" s="765">
        <v>0</v>
      </c>
      <c r="AD375" s="744"/>
      <c r="AE375" s="751"/>
      <c r="AF375" s="765">
        <v>0</v>
      </c>
      <c r="AG375" s="744"/>
      <c r="AH375" s="751"/>
      <c r="AI375" s="765">
        <v>0</v>
      </c>
      <c r="AJ375" s="744"/>
      <c r="AK375" s="751"/>
      <c r="AL375" s="765">
        <v>0</v>
      </c>
      <c r="AM375" s="744"/>
      <c r="AN375" s="751"/>
      <c r="AO375" s="1240">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1142"/>
      <c r="D376" s="1160"/>
      <c r="E376" s="1162">
        <v>0</v>
      </c>
      <c r="F376" s="1142"/>
      <c r="G376" s="1160"/>
      <c r="H376" s="1162">
        <v>0</v>
      </c>
      <c r="I376" s="1142"/>
      <c r="J376" s="1160"/>
      <c r="K376" s="1162">
        <v>0</v>
      </c>
      <c r="L376" s="1142"/>
      <c r="M376" s="1160"/>
      <c r="N376" s="1162">
        <v>0</v>
      </c>
      <c r="O376" s="1142"/>
      <c r="P376" s="1160"/>
      <c r="Q376" s="1162">
        <v>0</v>
      </c>
      <c r="R376" s="1142"/>
      <c r="S376" s="1160"/>
      <c r="T376" s="1162">
        <v>0</v>
      </c>
      <c r="U376" s="1142"/>
      <c r="V376" s="1160"/>
      <c r="W376" s="1162">
        <v>0</v>
      </c>
      <c r="X376" s="1142"/>
      <c r="Y376" s="1160"/>
      <c r="Z376" s="1162">
        <v>0</v>
      </c>
      <c r="AA376" s="1142"/>
      <c r="AB376" s="1160"/>
      <c r="AC376" s="1162">
        <v>0</v>
      </c>
      <c r="AD376" s="1142"/>
      <c r="AE376" s="1160"/>
      <c r="AF376" s="1162">
        <v>0</v>
      </c>
      <c r="AG376" s="1142"/>
      <c r="AH376" s="1160"/>
      <c r="AI376" s="1162">
        <v>0</v>
      </c>
      <c r="AJ376" s="1142"/>
      <c r="AK376" s="1160"/>
      <c r="AL376" s="1162">
        <v>0</v>
      </c>
      <c r="AM376" s="1142"/>
      <c r="AN376" s="1160"/>
      <c r="AO376" s="124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4"/>
      <c r="D377" s="751"/>
      <c r="E377" s="765">
        <v>0</v>
      </c>
      <c r="F377" s="744"/>
      <c r="G377" s="751"/>
      <c r="H377" s="765">
        <v>0</v>
      </c>
      <c r="I377" s="744"/>
      <c r="J377" s="751"/>
      <c r="K377" s="765">
        <v>0</v>
      </c>
      <c r="L377" s="744"/>
      <c r="M377" s="751"/>
      <c r="N377" s="765">
        <v>0</v>
      </c>
      <c r="O377" s="744"/>
      <c r="P377" s="751"/>
      <c r="Q377" s="765">
        <v>0</v>
      </c>
      <c r="R377" s="744"/>
      <c r="S377" s="751"/>
      <c r="T377" s="765">
        <v>0</v>
      </c>
      <c r="U377" s="744"/>
      <c r="V377" s="751"/>
      <c r="W377" s="765">
        <v>0</v>
      </c>
      <c r="X377" s="744"/>
      <c r="Y377" s="751"/>
      <c r="Z377" s="765">
        <v>0</v>
      </c>
      <c r="AA377" s="744"/>
      <c r="AB377" s="751"/>
      <c r="AC377" s="765">
        <v>0</v>
      </c>
      <c r="AD377" s="744"/>
      <c r="AE377" s="751"/>
      <c r="AF377" s="765">
        <v>0</v>
      </c>
      <c r="AG377" s="744"/>
      <c r="AH377" s="751"/>
      <c r="AI377" s="765">
        <v>0</v>
      </c>
      <c r="AJ377" s="744"/>
      <c r="AK377" s="751"/>
      <c r="AL377" s="765">
        <v>0</v>
      </c>
      <c r="AM377" s="744"/>
      <c r="AN377" s="751"/>
      <c r="AO377" s="1240">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4"/>
      <c r="D378" s="751"/>
      <c r="E378" s="765">
        <v>0</v>
      </c>
      <c r="F378" s="744"/>
      <c r="G378" s="751"/>
      <c r="H378" s="765">
        <v>0</v>
      </c>
      <c r="I378" s="744"/>
      <c r="J378" s="751"/>
      <c r="K378" s="765">
        <v>0</v>
      </c>
      <c r="L378" s="744"/>
      <c r="M378" s="751"/>
      <c r="N378" s="765">
        <v>0</v>
      </c>
      <c r="O378" s="744"/>
      <c r="P378" s="751"/>
      <c r="Q378" s="765">
        <v>0</v>
      </c>
      <c r="R378" s="744"/>
      <c r="S378" s="751"/>
      <c r="T378" s="765">
        <v>0</v>
      </c>
      <c r="U378" s="744"/>
      <c r="V378" s="751"/>
      <c r="W378" s="765">
        <v>0</v>
      </c>
      <c r="X378" s="744"/>
      <c r="Y378" s="751"/>
      <c r="Z378" s="765">
        <v>0</v>
      </c>
      <c r="AA378" s="744"/>
      <c r="AB378" s="751"/>
      <c r="AC378" s="765">
        <v>0</v>
      </c>
      <c r="AD378" s="744"/>
      <c r="AE378" s="751"/>
      <c r="AF378" s="765">
        <v>0</v>
      </c>
      <c r="AG378" s="744"/>
      <c r="AH378" s="751"/>
      <c r="AI378" s="765">
        <v>0</v>
      </c>
      <c r="AJ378" s="744"/>
      <c r="AK378" s="751"/>
      <c r="AL378" s="765">
        <v>0</v>
      </c>
      <c r="AM378" s="744"/>
      <c r="AN378" s="751"/>
      <c r="AO378" s="1240">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0"/>
      <c r="D379" s="771"/>
      <c r="E379" s="768"/>
      <c r="F379" s="770"/>
      <c r="G379" s="771"/>
      <c r="H379" s="768"/>
      <c r="I379" s="770"/>
      <c r="J379" s="771"/>
      <c r="K379" s="768"/>
      <c r="L379" s="770"/>
      <c r="M379" s="771"/>
      <c r="N379" s="768"/>
      <c r="O379" s="770"/>
      <c r="P379" s="771"/>
      <c r="Q379" s="768"/>
      <c r="R379" s="770"/>
      <c r="S379" s="771"/>
      <c r="T379" s="768"/>
      <c r="U379" s="770"/>
      <c r="V379" s="771"/>
      <c r="W379" s="768"/>
      <c r="X379" s="770"/>
      <c r="Y379" s="771"/>
      <c r="Z379" s="768"/>
      <c r="AA379" s="770"/>
      <c r="AB379" s="771"/>
      <c r="AC379" s="768"/>
      <c r="AD379" s="770"/>
      <c r="AE379" s="771"/>
      <c r="AF379" s="768"/>
      <c r="AG379" s="770"/>
      <c r="AH379" s="771"/>
      <c r="AI379" s="768"/>
      <c r="AJ379" s="770"/>
      <c r="AK379" s="771"/>
      <c r="AL379" s="768"/>
      <c r="AM379" s="770"/>
      <c r="AN379" s="771"/>
      <c r="AO379" s="768"/>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1155" t="s">
        <v>119</v>
      </c>
      <c r="D380" s="1156">
        <v>0</v>
      </c>
      <c r="E380" s="1157">
        <v>0</v>
      </c>
      <c r="F380" s="1155"/>
      <c r="G380" s="1156"/>
      <c r="H380" s="1157">
        <v>0</v>
      </c>
      <c r="I380" s="1155"/>
      <c r="J380" s="1156"/>
      <c r="K380" s="1157">
        <v>0</v>
      </c>
      <c r="L380" s="1155"/>
      <c r="M380" s="1156"/>
      <c r="N380" s="1157">
        <v>0</v>
      </c>
      <c r="O380" s="1155"/>
      <c r="P380" s="1156"/>
      <c r="Q380" s="1157">
        <v>0</v>
      </c>
      <c r="R380" s="1155"/>
      <c r="S380" s="1156"/>
      <c r="T380" s="1157">
        <v>0</v>
      </c>
      <c r="U380" s="1155"/>
      <c r="V380" s="1156"/>
      <c r="W380" s="1242">
        <v>0</v>
      </c>
      <c r="X380" s="1155"/>
      <c r="Y380" s="1156"/>
      <c r="Z380" s="1242">
        <v>0</v>
      </c>
      <c r="AA380" s="1155"/>
      <c r="AB380" s="1156"/>
      <c r="AC380" s="1242">
        <v>0</v>
      </c>
      <c r="AD380" s="1155"/>
      <c r="AE380" s="1156"/>
      <c r="AF380" s="1242">
        <v>0</v>
      </c>
      <c r="AG380" s="1155"/>
      <c r="AH380" s="1156"/>
      <c r="AI380" s="1157">
        <v>0</v>
      </c>
      <c r="AJ380" s="1155"/>
      <c r="AK380" s="1156"/>
      <c r="AL380" s="1157">
        <v>0</v>
      </c>
      <c r="AM380" s="1155"/>
      <c r="AN380" s="1156"/>
      <c r="AO380" s="1157">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4"/>
      <c r="D381" s="751"/>
      <c r="E381" s="765">
        <v>0</v>
      </c>
      <c r="F381" s="744"/>
      <c r="G381" s="751"/>
      <c r="H381" s="765">
        <v>0</v>
      </c>
      <c r="I381" s="744"/>
      <c r="J381" s="751"/>
      <c r="K381" s="765">
        <v>0</v>
      </c>
      <c r="L381" s="744"/>
      <c r="M381" s="751"/>
      <c r="N381" s="765">
        <v>0</v>
      </c>
      <c r="O381" s="744"/>
      <c r="P381" s="751"/>
      <c r="Q381" s="765">
        <v>0</v>
      </c>
      <c r="R381" s="744"/>
      <c r="S381" s="751"/>
      <c r="T381" s="765">
        <v>0</v>
      </c>
      <c r="U381" s="744"/>
      <c r="V381" s="751"/>
      <c r="W381" s="765">
        <v>0</v>
      </c>
      <c r="X381" s="744"/>
      <c r="Y381" s="751"/>
      <c r="Z381" s="765">
        <v>0</v>
      </c>
      <c r="AA381" s="744"/>
      <c r="AB381" s="751"/>
      <c r="AC381" s="765">
        <v>0</v>
      </c>
      <c r="AD381" s="744"/>
      <c r="AE381" s="751"/>
      <c r="AF381" s="765">
        <v>0</v>
      </c>
      <c r="AG381" s="744"/>
      <c r="AH381" s="751"/>
      <c r="AI381" s="765">
        <v>0</v>
      </c>
      <c r="AJ381" s="744"/>
      <c r="AK381" s="751"/>
      <c r="AL381" s="765">
        <v>0</v>
      </c>
      <c r="AM381" s="744"/>
      <c r="AN381" s="751"/>
      <c r="AO381" s="1240">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4"/>
      <c r="D382" s="751"/>
      <c r="E382" s="765">
        <v>0</v>
      </c>
      <c r="F382" s="744"/>
      <c r="G382" s="751"/>
      <c r="H382" s="765">
        <v>0</v>
      </c>
      <c r="I382" s="744"/>
      <c r="J382" s="751"/>
      <c r="K382" s="765">
        <v>0</v>
      </c>
      <c r="L382" s="744"/>
      <c r="M382" s="751"/>
      <c r="N382" s="765">
        <v>0</v>
      </c>
      <c r="O382" s="744"/>
      <c r="P382" s="751"/>
      <c r="Q382" s="765">
        <v>0</v>
      </c>
      <c r="R382" s="744"/>
      <c r="S382" s="751"/>
      <c r="T382" s="765">
        <v>0</v>
      </c>
      <c r="U382" s="744"/>
      <c r="V382" s="751"/>
      <c r="W382" s="765">
        <v>0</v>
      </c>
      <c r="X382" s="744"/>
      <c r="Y382" s="751"/>
      <c r="Z382" s="765">
        <v>0</v>
      </c>
      <c r="AA382" s="744"/>
      <c r="AB382" s="751"/>
      <c r="AC382" s="765">
        <v>0</v>
      </c>
      <c r="AD382" s="744"/>
      <c r="AE382" s="751"/>
      <c r="AF382" s="765">
        <v>0</v>
      </c>
      <c r="AG382" s="744"/>
      <c r="AH382" s="751"/>
      <c r="AI382" s="765">
        <v>0</v>
      </c>
      <c r="AJ382" s="744"/>
      <c r="AK382" s="751"/>
      <c r="AL382" s="765">
        <v>0</v>
      </c>
      <c r="AM382" s="744"/>
      <c r="AN382" s="751"/>
      <c r="AO382" s="1240">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0"/>
      <c r="D383" s="771"/>
      <c r="E383" s="769">
        <v>0</v>
      </c>
      <c r="F383" s="770"/>
      <c r="G383" s="771"/>
      <c r="H383" s="769">
        <v>0</v>
      </c>
      <c r="I383" s="770"/>
      <c r="J383" s="771"/>
      <c r="K383" s="769">
        <v>0</v>
      </c>
      <c r="L383" s="770"/>
      <c r="M383" s="771"/>
      <c r="N383" s="769">
        <v>0</v>
      </c>
      <c r="O383" s="770"/>
      <c r="P383" s="771"/>
      <c r="Q383" s="769">
        <v>0</v>
      </c>
      <c r="R383" s="770"/>
      <c r="S383" s="771"/>
      <c r="T383" s="769">
        <v>0</v>
      </c>
      <c r="U383" s="770"/>
      <c r="V383" s="771"/>
      <c r="W383" s="769">
        <v>0</v>
      </c>
      <c r="X383" s="770"/>
      <c r="Y383" s="771"/>
      <c r="Z383" s="769">
        <v>0</v>
      </c>
      <c r="AA383" s="770"/>
      <c r="AB383" s="771"/>
      <c r="AC383" s="769">
        <v>0</v>
      </c>
      <c r="AD383" s="770"/>
      <c r="AE383" s="771"/>
      <c r="AF383" s="769">
        <v>0</v>
      </c>
      <c r="AG383" s="770"/>
      <c r="AH383" s="771"/>
      <c r="AI383" s="769">
        <v>0</v>
      </c>
      <c r="AJ383" s="770"/>
      <c r="AK383" s="771"/>
      <c r="AL383" s="769">
        <v>0</v>
      </c>
      <c r="AM383" s="770"/>
      <c r="AN383" s="771"/>
      <c r="AO383" s="1241">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4"/>
      <c r="D384" s="751"/>
      <c r="E384" s="765">
        <v>0</v>
      </c>
      <c r="F384" s="744"/>
      <c r="G384" s="751"/>
      <c r="H384" s="765">
        <v>0</v>
      </c>
      <c r="I384" s="744"/>
      <c r="J384" s="751"/>
      <c r="K384" s="765">
        <v>0</v>
      </c>
      <c r="L384" s="744"/>
      <c r="M384" s="751"/>
      <c r="N384" s="765">
        <v>0</v>
      </c>
      <c r="O384" s="744"/>
      <c r="P384" s="751"/>
      <c r="Q384" s="765">
        <v>0</v>
      </c>
      <c r="R384" s="744"/>
      <c r="S384" s="751"/>
      <c r="T384" s="765">
        <v>0</v>
      </c>
      <c r="U384" s="744"/>
      <c r="V384" s="751"/>
      <c r="W384" s="765">
        <v>0</v>
      </c>
      <c r="X384" s="744"/>
      <c r="Y384" s="751"/>
      <c r="Z384" s="765">
        <v>0</v>
      </c>
      <c r="AA384" s="744"/>
      <c r="AB384" s="751"/>
      <c r="AC384" s="765">
        <v>0</v>
      </c>
      <c r="AD384" s="744"/>
      <c r="AE384" s="751"/>
      <c r="AF384" s="765">
        <v>0</v>
      </c>
      <c r="AG384" s="744"/>
      <c r="AH384" s="751"/>
      <c r="AI384" s="765">
        <v>0</v>
      </c>
      <c r="AJ384" s="744"/>
      <c r="AK384" s="751"/>
      <c r="AL384" s="765">
        <v>0</v>
      </c>
      <c r="AM384" s="744"/>
      <c r="AN384" s="751"/>
      <c r="AO384" s="1240">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4"/>
      <c r="D385" s="751"/>
      <c r="E385" s="765">
        <v>0</v>
      </c>
      <c r="F385" s="744"/>
      <c r="G385" s="751"/>
      <c r="H385" s="765">
        <v>0</v>
      </c>
      <c r="I385" s="744"/>
      <c r="J385" s="751"/>
      <c r="K385" s="765">
        <v>0</v>
      </c>
      <c r="L385" s="744"/>
      <c r="M385" s="751"/>
      <c r="N385" s="765">
        <v>0</v>
      </c>
      <c r="O385" s="744"/>
      <c r="P385" s="751"/>
      <c r="Q385" s="765">
        <v>0</v>
      </c>
      <c r="R385" s="744"/>
      <c r="S385" s="751"/>
      <c r="T385" s="765">
        <v>0</v>
      </c>
      <c r="U385" s="744"/>
      <c r="V385" s="751"/>
      <c r="W385" s="765">
        <v>0</v>
      </c>
      <c r="X385" s="744"/>
      <c r="Y385" s="751"/>
      <c r="Z385" s="765">
        <v>0</v>
      </c>
      <c r="AA385" s="744"/>
      <c r="AB385" s="751"/>
      <c r="AC385" s="765">
        <v>0</v>
      </c>
      <c r="AD385" s="744"/>
      <c r="AE385" s="751"/>
      <c r="AF385" s="765">
        <v>0</v>
      </c>
      <c r="AG385" s="744"/>
      <c r="AH385" s="751"/>
      <c r="AI385" s="765">
        <v>0</v>
      </c>
      <c r="AJ385" s="744"/>
      <c r="AK385" s="751"/>
      <c r="AL385" s="765">
        <v>0</v>
      </c>
      <c r="AM385" s="744"/>
      <c r="AN385" s="751"/>
      <c r="AO385" s="1240">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0"/>
      <c r="D386" s="771"/>
      <c r="E386" s="769">
        <v>0</v>
      </c>
      <c r="F386" s="770"/>
      <c r="G386" s="771"/>
      <c r="H386" s="769">
        <v>0</v>
      </c>
      <c r="I386" s="770"/>
      <c r="J386" s="771"/>
      <c r="K386" s="769">
        <v>0</v>
      </c>
      <c r="L386" s="770"/>
      <c r="M386" s="771"/>
      <c r="N386" s="769">
        <v>0</v>
      </c>
      <c r="O386" s="770"/>
      <c r="P386" s="771"/>
      <c r="Q386" s="769">
        <v>0</v>
      </c>
      <c r="R386" s="770"/>
      <c r="S386" s="771"/>
      <c r="T386" s="769">
        <v>0</v>
      </c>
      <c r="U386" s="770"/>
      <c r="V386" s="771"/>
      <c r="W386" s="769">
        <v>0</v>
      </c>
      <c r="X386" s="770"/>
      <c r="Y386" s="771"/>
      <c r="Z386" s="769">
        <v>0</v>
      </c>
      <c r="AA386" s="770"/>
      <c r="AB386" s="771"/>
      <c r="AC386" s="769">
        <v>0</v>
      </c>
      <c r="AD386" s="770"/>
      <c r="AE386" s="771"/>
      <c r="AF386" s="769">
        <v>0</v>
      </c>
      <c r="AG386" s="770"/>
      <c r="AH386" s="771"/>
      <c r="AI386" s="769">
        <v>0</v>
      </c>
      <c r="AJ386" s="770"/>
      <c r="AK386" s="771"/>
      <c r="AL386" s="769">
        <v>0</v>
      </c>
      <c r="AM386" s="770"/>
      <c r="AN386" s="771"/>
      <c r="AO386" s="1241">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4"/>
      <c r="D387" s="751"/>
      <c r="E387" s="765">
        <v>0</v>
      </c>
      <c r="F387" s="744"/>
      <c r="G387" s="751"/>
      <c r="H387" s="765">
        <v>0</v>
      </c>
      <c r="I387" s="744"/>
      <c r="J387" s="751"/>
      <c r="K387" s="765">
        <v>0</v>
      </c>
      <c r="L387" s="744"/>
      <c r="M387" s="751"/>
      <c r="N387" s="765">
        <v>0</v>
      </c>
      <c r="O387" s="744"/>
      <c r="P387" s="751"/>
      <c r="Q387" s="765">
        <v>0</v>
      </c>
      <c r="R387" s="744"/>
      <c r="S387" s="751"/>
      <c r="T387" s="765">
        <v>0</v>
      </c>
      <c r="U387" s="744"/>
      <c r="V387" s="751"/>
      <c r="W387" s="765">
        <v>0</v>
      </c>
      <c r="X387" s="744"/>
      <c r="Y387" s="751"/>
      <c r="Z387" s="765">
        <v>0</v>
      </c>
      <c r="AA387" s="744"/>
      <c r="AB387" s="751"/>
      <c r="AC387" s="765">
        <v>0</v>
      </c>
      <c r="AD387" s="744"/>
      <c r="AE387" s="751"/>
      <c r="AF387" s="765">
        <v>0</v>
      </c>
      <c r="AG387" s="744"/>
      <c r="AH387" s="751"/>
      <c r="AI387" s="765">
        <v>0</v>
      </c>
      <c r="AJ387" s="744"/>
      <c r="AK387" s="751"/>
      <c r="AL387" s="765">
        <v>0</v>
      </c>
      <c r="AM387" s="744"/>
      <c r="AN387" s="751"/>
      <c r="AO387" s="1240">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4"/>
      <c r="D388" s="751"/>
      <c r="E388" s="765">
        <v>0</v>
      </c>
      <c r="F388" s="744"/>
      <c r="G388" s="751"/>
      <c r="H388" s="765">
        <v>0</v>
      </c>
      <c r="I388" s="744"/>
      <c r="J388" s="751"/>
      <c r="K388" s="765">
        <v>0</v>
      </c>
      <c r="L388" s="744"/>
      <c r="M388" s="751"/>
      <c r="N388" s="765">
        <v>0</v>
      </c>
      <c r="O388" s="744"/>
      <c r="P388" s="751"/>
      <c r="Q388" s="765">
        <v>0</v>
      </c>
      <c r="R388" s="744"/>
      <c r="S388" s="751"/>
      <c r="T388" s="765">
        <v>0</v>
      </c>
      <c r="U388" s="744"/>
      <c r="V388" s="751"/>
      <c r="W388" s="765">
        <v>0</v>
      </c>
      <c r="X388" s="744"/>
      <c r="Y388" s="751"/>
      <c r="Z388" s="765">
        <v>0</v>
      </c>
      <c r="AA388" s="744"/>
      <c r="AB388" s="751"/>
      <c r="AC388" s="765">
        <v>0</v>
      </c>
      <c r="AD388" s="744"/>
      <c r="AE388" s="751"/>
      <c r="AF388" s="765">
        <v>0</v>
      </c>
      <c r="AG388" s="744"/>
      <c r="AH388" s="751"/>
      <c r="AI388" s="765">
        <v>0</v>
      </c>
      <c r="AJ388" s="744"/>
      <c r="AK388" s="751"/>
      <c r="AL388" s="765">
        <v>0</v>
      </c>
      <c r="AM388" s="744"/>
      <c r="AN388" s="751"/>
      <c r="AO388" s="1240">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4"/>
      <c r="D389" s="751"/>
      <c r="E389" s="765">
        <v>0</v>
      </c>
      <c r="F389" s="744"/>
      <c r="G389" s="751"/>
      <c r="H389" s="765">
        <v>0</v>
      </c>
      <c r="I389" s="744"/>
      <c r="J389" s="751"/>
      <c r="K389" s="765">
        <v>0</v>
      </c>
      <c r="L389" s="744"/>
      <c r="M389" s="751"/>
      <c r="N389" s="765">
        <v>0</v>
      </c>
      <c r="O389" s="744"/>
      <c r="P389" s="751"/>
      <c r="Q389" s="765">
        <v>0</v>
      </c>
      <c r="R389" s="744"/>
      <c r="S389" s="751"/>
      <c r="T389" s="765">
        <v>0</v>
      </c>
      <c r="U389" s="744"/>
      <c r="V389" s="751"/>
      <c r="W389" s="765">
        <v>0</v>
      </c>
      <c r="X389" s="744"/>
      <c r="Y389" s="751"/>
      <c r="Z389" s="765">
        <v>0</v>
      </c>
      <c r="AA389" s="744"/>
      <c r="AB389" s="751"/>
      <c r="AC389" s="765">
        <v>0</v>
      </c>
      <c r="AD389" s="744"/>
      <c r="AE389" s="751"/>
      <c r="AF389" s="765">
        <v>0</v>
      </c>
      <c r="AG389" s="744"/>
      <c r="AH389" s="751"/>
      <c r="AI389" s="765">
        <v>0</v>
      </c>
      <c r="AJ389" s="744"/>
      <c r="AK389" s="751"/>
      <c r="AL389" s="765">
        <v>0</v>
      </c>
      <c r="AM389" s="744"/>
      <c r="AN389" s="751"/>
      <c r="AO389" s="1240">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4"/>
      <c r="D390" s="751"/>
      <c r="E390" s="765">
        <v>0</v>
      </c>
      <c r="F390" s="744"/>
      <c r="G390" s="751"/>
      <c r="H390" s="765">
        <v>0</v>
      </c>
      <c r="I390" s="744"/>
      <c r="J390" s="751"/>
      <c r="K390" s="765">
        <v>0</v>
      </c>
      <c r="L390" s="744"/>
      <c r="M390" s="751"/>
      <c r="N390" s="765">
        <v>0</v>
      </c>
      <c r="O390" s="744"/>
      <c r="P390" s="751"/>
      <c r="Q390" s="765">
        <v>0</v>
      </c>
      <c r="R390" s="744"/>
      <c r="S390" s="751"/>
      <c r="T390" s="765">
        <v>0</v>
      </c>
      <c r="U390" s="744"/>
      <c r="V390" s="751"/>
      <c r="W390" s="765">
        <v>0</v>
      </c>
      <c r="X390" s="744"/>
      <c r="Y390" s="751"/>
      <c r="Z390" s="765">
        <v>0</v>
      </c>
      <c r="AA390" s="744"/>
      <c r="AB390" s="751"/>
      <c r="AC390" s="765">
        <v>0</v>
      </c>
      <c r="AD390" s="744"/>
      <c r="AE390" s="751"/>
      <c r="AF390" s="765">
        <v>0</v>
      </c>
      <c r="AG390" s="744"/>
      <c r="AH390" s="751"/>
      <c r="AI390" s="765">
        <v>0</v>
      </c>
      <c r="AJ390" s="744"/>
      <c r="AK390" s="751"/>
      <c r="AL390" s="765">
        <v>0</v>
      </c>
      <c r="AM390" s="744"/>
      <c r="AN390" s="751"/>
      <c r="AO390" s="1240">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4"/>
      <c r="D391" s="751"/>
      <c r="E391" s="765">
        <v>0</v>
      </c>
      <c r="F391" s="744"/>
      <c r="G391" s="751"/>
      <c r="H391" s="765">
        <v>0</v>
      </c>
      <c r="I391" s="744"/>
      <c r="J391" s="751"/>
      <c r="K391" s="765">
        <v>0</v>
      </c>
      <c r="L391" s="744"/>
      <c r="M391" s="751"/>
      <c r="N391" s="765">
        <v>0</v>
      </c>
      <c r="O391" s="744"/>
      <c r="P391" s="751"/>
      <c r="Q391" s="765">
        <v>0</v>
      </c>
      <c r="R391" s="744"/>
      <c r="S391" s="751"/>
      <c r="T391" s="765">
        <v>0</v>
      </c>
      <c r="U391" s="744"/>
      <c r="V391" s="751"/>
      <c r="W391" s="765">
        <v>0</v>
      </c>
      <c r="X391" s="744"/>
      <c r="Y391" s="751"/>
      <c r="Z391" s="765">
        <v>0</v>
      </c>
      <c r="AA391" s="744"/>
      <c r="AB391" s="751"/>
      <c r="AC391" s="765">
        <v>0</v>
      </c>
      <c r="AD391" s="744"/>
      <c r="AE391" s="751"/>
      <c r="AF391" s="765">
        <v>0</v>
      </c>
      <c r="AG391" s="744"/>
      <c r="AH391" s="751"/>
      <c r="AI391" s="765">
        <v>0</v>
      </c>
      <c r="AJ391" s="744"/>
      <c r="AK391" s="751"/>
      <c r="AL391" s="765">
        <v>0</v>
      </c>
      <c r="AM391" s="744"/>
      <c r="AN391" s="751"/>
      <c r="AO391" s="1240">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4"/>
      <c r="D392" s="751"/>
      <c r="E392" s="765">
        <v>0</v>
      </c>
      <c r="F392" s="744"/>
      <c r="G392" s="751"/>
      <c r="H392" s="765">
        <v>0</v>
      </c>
      <c r="I392" s="744"/>
      <c r="J392" s="751"/>
      <c r="K392" s="765">
        <v>0</v>
      </c>
      <c r="L392" s="744"/>
      <c r="M392" s="751"/>
      <c r="N392" s="765">
        <v>0</v>
      </c>
      <c r="O392" s="744"/>
      <c r="P392" s="751"/>
      <c r="Q392" s="765">
        <v>0</v>
      </c>
      <c r="R392" s="744"/>
      <c r="S392" s="751"/>
      <c r="T392" s="765">
        <v>0</v>
      </c>
      <c r="U392" s="744"/>
      <c r="V392" s="751"/>
      <c r="W392" s="765">
        <v>0</v>
      </c>
      <c r="X392" s="744"/>
      <c r="Y392" s="751"/>
      <c r="Z392" s="765">
        <v>0</v>
      </c>
      <c r="AA392" s="744"/>
      <c r="AB392" s="751"/>
      <c r="AC392" s="765">
        <v>0</v>
      </c>
      <c r="AD392" s="744"/>
      <c r="AE392" s="751"/>
      <c r="AF392" s="765">
        <v>0</v>
      </c>
      <c r="AG392" s="744"/>
      <c r="AH392" s="751"/>
      <c r="AI392" s="765">
        <v>0</v>
      </c>
      <c r="AJ392" s="744"/>
      <c r="AK392" s="751"/>
      <c r="AL392" s="765">
        <v>0</v>
      </c>
      <c r="AM392" s="744"/>
      <c r="AN392" s="751"/>
      <c r="AO392" s="1240">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4"/>
      <c r="D393" s="751"/>
      <c r="E393" s="765">
        <v>0</v>
      </c>
      <c r="F393" s="744"/>
      <c r="G393" s="751"/>
      <c r="H393" s="765">
        <v>0</v>
      </c>
      <c r="I393" s="744"/>
      <c r="J393" s="751"/>
      <c r="K393" s="765">
        <v>0</v>
      </c>
      <c r="L393" s="744"/>
      <c r="M393" s="751"/>
      <c r="N393" s="765">
        <v>0</v>
      </c>
      <c r="O393" s="744"/>
      <c r="P393" s="751"/>
      <c r="Q393" s="765">
        <v>0</v>
      </c>
      <c r="R393" s="744"/>
      <c r="S393" s="751"/>
      <c r="T393" s="765">
        <v>0</v>
      </c>
      <c r="U393" s="744"/>
      <c r="V393" s="751"/>
      <c r="W393" s="765">
        <v>0</v>
      </c>
      <c r="X393" s="744"/>
      <c r="Y393" s="751"/>
      <c r="Z393" s="765">
        <v>0</v>
      </c>
      <c r="AA393" s="744"/>
      <c r="AB393" s="751"/>
      <c r="AC393" s="765">
        <v>0</v>
      </c>
      <c r="AD393" s="744"/>
      <c r="AE393" s="751"/>
      <c r="AF393" s="765">
        <v>0</v>
      </c>
      <c r="AG393" s="744"/>
      <c r="AH393" s="751"/>
      <c r="AI393" s="765">
        <v>0</v>
      </c>
      <c r="AJ393" s="744"/>
      <c r="AK393" s="751"/>
      <c r="AL393" s="765">
        <v>0</v>
      </c>
      <c r="AM393" s="744"/>
      <c r="AN393" s="751"/>
      <c r="AO393" s="1240">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4"/>
      <c r="D394" s="751"/>
      <c r="E394" s="765">
        <v>0</v>
      </c>
      <c r="F394" s="744"/>
      <c r="G394" s="751"/>
      <c r="H394" s="765"/>
      <c r="I394" s="744"/>
      <c r="J394" s="751"/>
      <c r="K394" s="765"/>
      <c r="L394" s="744"/>
      <c r="M394" s="751"/>
      <c r="N394" s="765"/>
      <c r="O394" s="744"/>
      <c r="P394" s="751"/>
      <c r="Q394" s="765"/>
      <c r="R394" s="744"/>
      <c r="S394" s="751"/>
      <c r="T394" s="765"/>
      <c r="U394" s="744"/>
      <c r="V394" s="751"/>
      <c r="W394" s="765"/>
      <c r="X394" s="744"/>
      <c r="Y394" s="751"/>
      <c r="Z394" s="765"/>
      <c r="AA394" s="744"/>
      <c r="AB394" s="751"/>
      <c r="AC394" s="765"/>
      <c r="AD394" s="744"/>
      <c r="AE394" s="751"/>
      <c r="AF394" s="765"/>
      <c r="AG394" s="744"/>
      <c r="AH394" s="751"/>
      <c r="AI394" s="765"/>
      <c r="AJ394" s="744"/>
      <c r="AK394" s="751"/>
      <c r="AL394" s="765"/>
      <c r="AM394" s="744"/>
      <c r="AN394" s="751"/>
      <c r="AO394" s="1240"/>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4"/>
      <c r="D395" s="751"/>
      <c r="E395" s="752"/>
      <c r="F395" s="744"/>
      <c r="G395" s="751"/>
      <c r="H395" s="752"/>
      <c r="I395" s="744"/>
      <c r="J395" s="751"/>
      <c r="K395" s="752"/>
      <c r="L395" s="744"/>
      <c r="M395" s="751"/>
      <c r="N395" s="752"/>
      <c r="O395" s="744"/>
      <c r="P395" s="751"/>
      <c r="Q395" s="752"/>
      <c r="R395" s="744"/>
      <c r="S395" s="751"/>
      <c r="T395" s="752"/>
      <c r="U395" s="744"/>
      <c r="V395" s="751"/>
      <c r="W395" s="752"/>
      <c r="X395" s="744"/>
      <c r="Y395" s="751"/>
      <c r="Z395" s="752"/>
      <c r="AA395" s="744"/>
      <c r="AB395" s="751"/>
      <c r="AC395" s="752"/>
      <c r="AD395" s="744"/>
      <c r="AE395" s="751"/>
      <c r="AF395" s="752"/>
      <c r="AG395" s="744"/>
      <c r="AH395" s="751"/>
      <c r="AI395" s="752"/>
      <c r="AJ395" s="744"/>
      <c r="AK395" s="751"/>
      <c r="AL395" s="752"/>
      <c r="AM395" s="744"/>
      <c r="AN395" s="751"/>
      <c r="AO395" s="752"/>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4"/>
      <c r="D396" s="751"/>
      <c r="E396" s="752"/>
      <c r="F396" s="744"/>
      <c r="G396" s="751"/>
      <c r="H396" s="752"/>
      <c r="I396" s="744"/>
      <c r="J396" s="751"/>
      <c r="K396" s="752"/>
      <c r="L396" s="744"/>
      <c r="M396" s="751"/>
      <c r="N396" s="752"/>
      <c r="O396" s="744"/>
      <c r="P396" s="751"/>
      <c r="Q396" s="752"/>
      <c r="R396" s="744"/>
      <c r="S396" s="751"/>
      <c r="T396" s="752"/>
      <c r="U396" s="744"/>
      <c r="V396" s="751"/>
      <c r="W396" s="752"/>
      <c r="X396" s="744"/>
      <c r="Y396" s="751"/>
      <c r="Z396" s="752"/>
      <c r="AA396" s="744"/>
      <c r="AB396" s="751"/>
      <c r="AC396" s="752"/>
      <c r="AD396" s="744"/>
      <c r="AE396" s="751"/>
      <c r="AF396" s="752"/>
      <c r="AG396" s="744"/>
      <c r="AH396" s="751"/>
      <c r="AI396" s="752"/>
      <c r="AJ396" s="744"/>
      <c r="AK396" s="751"/>
      <c r="AL396" s="752"/>
      <c r="AM396" s="744"/>
      <c r="AN396" s="751"/>
      <c r="AO396" s="752"/>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0"/>
      <c r="D397" s="771"/>
      <c r="E397" s="752"/>
      <c r="F397" s="770"/>
      <c r="G397" s="771"/>
      <c r="H397" s="752"/>
      <c r="I397" s="770"/>
      <c r="J397" s="771"/>
      <c r="K397" s="752"/>
      <c r="L397" s="770"/>
      <c r="M397" s="771"/>
      <c r="N397" s="752"/>
      <c r="O397" s="770"/>
      <c r="P397" s="771"/>
      <c r="Q397" s="752"/>
      <c r="R397" s="770"/>
      <c r="S397" s="771"/>
      <c r="T397" s="752"/>
      <c r="U397" s="770"/>
      <c r="V397" s="771"/>
      <c r="W397" s="752"/>
      <c r="X397" s="770"/>
      <c r="Y397" s="771"/>
      <c r="Z397" s="752"/>
      <c r="AA397" s="770"/>
      <c r="AB397" s="771"/>
      <c r="AC397" s="752"/>
      <c r="AD397" s="770"/>
      <c r="AE397" s="771"/>
      <c r="AF397" s="752"/>
      <c r="AG397" s="770"/>
      <c r="AH397" s="771"/>
      <c r="AI397" s="752"/>
      <c r="AJ397" s="770"/>
      <c r="AK397" s="771"/>
      <c r="AL397" s="752"/>
      <c r="AM397" s="770"/>
      <c r="AN397" s="771"/>
      <c r="AO397" s="752"/>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1155" t="s">
        <v>119</v>
      </c>
      <c r="D398" s="1156">
        <v>0</v>
      </c>
      <c r="E398" s="1157">
        <v>0</v>
      </c>
      <c r="F398" s="1155" t="s">
        <v>119</v>
      </c>
      <c r="G398" s="1156">
        <v>0</v>
      </c>
      <c r="H398" s="1157">
        <v>0</v>
      </c>
      <c r="I398" s="1155" t="s">
        <v>119</v>
      </c>
      <c r="J398" s="1156">
        <v>0</v>
      </c>
      <c r="K398" s="1157">
        <v>0</v>
      </c>
      <c r="L398" s="1155" t="s">
        <v>119</v>
      </c>
      <c r="M398" s="1156">
        <v>0</v>
      </c>
      <c r="N398" s="1157">
        <v>0</v>
      </c>
      <c r="O398" s="1155" t="s">
        <v>119</v>
      </c>
      <c r="P398" s="1156">
        <v>0</v>
      </c>
      <c r="Q398" s="1157">
        <v>0</v>
      </c>
      <c r="R398" s="1155" t="s">
        <v>119</v>
      </c>
      <c r="S398" s="1156">
        <v>0</v>
      </c>
      <c r="T398" s="1157">
        <v>0</v>
      </c>
      <c r="U398" s="1155" t="s">
        <v>119</v>
      </c>
      <c r="V398" s="1156">
        <v>0</v>
      </c>
      <c r="W398" s="1242">
        <v>0</v>
      </c>
      <c r="X398" s="1155" t="s">
        <v>119</v>
      </c>
      <c r="Y398" s="1156">
        <v>0</v>
      </c>
      <c r="Z398" s="1242">
        <v>0</v>
      </c>
      <c r="AA398" s="1155" t="s">
        <v>119</v>
      </c>
      <c r="AB398" s="1156">
        <v>0</v>
      </c>
      <c r="AC398" s="1242">
        <v>0</v>
      </c>
      <c r="AD398" s="1155" t="s">
        <v>119</v>
      </c>
      <c r="AE398" s="1156">
        <v>0</v>
      </c>
      <c r="AF398" s="1242">
        <v>0</v>
      </c>
      <c r="AG398" s="1155" t="s">
        <v>119</v>
      </c>
      <c r="AH398" s="1156">
        <v>0</v>
      </c>
      <c r="AI398" s="1157">
        <v>0</v>
      </c>
      <c r="AJ398" s="1155" t="s">
        <v>119</v>
      </c>
      <c r="AK398" s="1156">
        <v>0</v>
      </c>
      <c r="AL398" s="1157">
        <v>0</v>
      </c>
      <c r="AM398" s="1155" t="s">
        <v>119</v>
      </c>
      <c r="AN398" s="1156">
        <v>0</v>
      </c>
      <c r="AO398" s="1157">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4"/>
      <c r="D399" s="751"/>
      <c r="E399" s="745"/>
      <c r="F399" s="744"/>
      <c r="G399" s="751"/>
      <c r="H399" s="745"/>
      <c r="I399" s="744"/>
      <c r="J399" s="751"/>
      <c r="K399" s="745"/>
      <c r="L399" s="744"/>
      <c r="M399" s="751"/>
      <c r="N399" s="745"/>
      <c r="O399" s="744"/>
      <c r="P399" s="751"/>
      <c r="Q399" s="745"/>
      <c r="R399" s="744"/>
      <c r="S399" s="751"/>
      <c r="T399" s="745"/>
      <c r="U399" s="744"/>
      <c r="V399" s="751"/>
      <c r="W399" s="745"/>
      <c r="X399" s="744"/>
      <c r="Y399" s="751"/>
      <c r="Z399" s="745"/>
      <c r="AA399" s="744"/>
      <c r="AB399" s="751"/>
      <c r="AC399" s="745"/>
      <c r="AD399" s="744"/>
      <c r="AE399" s="751"/>
      <c r="AF399" s="745"/>
      <c r="AG399" s="744"/>
      <c r="AH399" s="751"/>
      <c r="AI399" s="745"/>
      <c r="AJ399" s="744"/>
      <c r="AK399" s="751"/>
      <c r="AL399" s="745"/>
      <c r="AM399" s="744"/>
      <c r="AN399" s="751"/>
      <c r="AO399" s="745"/>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1155" t="s">
        <v>119</v>
      </c>
      <c r="D400" s="1156">
        <v>0</v>
      </c>
      <c r="E400" s="1157">
        <v>0</v>
      </c>
      <c r="F400" s="1155" t="s">
        <v>119</v>
      </c>
      <c r="G400" s="1156">
        <v>0</v>
      </c>
      <c r="H400" s="1157">
        <v>0</v>
      </c>
      <c r="I400" s="1155" t="s">
        <v>119</v>
      </c>
      <c r="J400" s="1156">
        <v>0</v>
      </c>
      <c r="K400" s="1157">
        <v>0</v>
      </c>
      <c r="L400" s="1155" t="s">
        <v>119</v>
      </c>
      <c r="M400" s="1156">
        <v>0</v>
      </c>
      <c r="N400" s="1157">
        <v>0</v>
      </c>
      <c r="O400" s="1155" t="s">
        <v>119</v>
      </c>
      <c r="P400" s="1156">
        <v>0</v>
      </c>
      <c r="Q400" s="1157">
        <v>0</v>
      </c>
      <c r="R400" s="1155" t="s">
        <v>119</v>
      </c>
      <c r="S400" s="1156">
        <v>0</v>
      </c>
      <c r="T400" s="1157">
        <v>0</v>
      </c>
      <c r="U400" s="1155" t="s">
        <v>119</v>
      </c>
      <c r="V400" s="1156">
        <v>0</v>
      </c>
      <c r="W400" s="1242">
        <v>0</v>
      </c>
      <c r="X400" s="1155" t="s">
        <v>119</v>
      </c>
      <c r="Y400" s="1156">
        <v>0</v>
      </c>
      <c r="Z400" s="1242">
        <v>0</v>
      </c>
      <c r="AA400" s="1155" t="s">
        <v>119</v>
      </c>
      <c r="AB400" s="1156">
        <v>0</v>
      </c>
      <c r="AC400" s="1242">
        <v>0</v>
      </c>
      <c r="AD400" s="1155" t="s">
        <v>119</v>
      </c>
      <c r="AE400" s="1156">
        <v>0</v>
      </c>
      <c r="AF400" s="1242">
        <v>0</v>
      </c>
      <c r="AG400" s="1155" t="s">
        <v>119</v>
      </c>
      <c r="AH400" s="1156">
        <v>0</v>
      </c>
      <c r="AI400" s="1157">
        <v>0</v>
      </c>
      <c r="AJ400" s="1155" t="s">
        <v>119</v>
      </c>
      <c r="AK400" s="1156">
        <v>0</v>
      </c>
      <c r="AL400" s="1157">
        <v>0</v>
      </c>
      <c r="AM400" s="1155" t="s">
        <v>119</v>
      </c>
      <c r="AN400" s="1156">
        <v>0</v>
      </c>
      <c r="AO400" s="1157">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4"/>
      <c r="D401" s="751"/>
      <c r="E401" s="752"/>
      <c r="F401" s="744"/>
      <c r="G401" s="751"/>
      <c r="H401" s="752"/>
      <c r="I401" s="744"/>
      <c r="J401" s="751"/>
      <c r="K401" s="752"/>
      <c r="L401" s="744"/>
      <c r="M401" s="751"/>
      <c r="N401" s="752"/>
      <c r="O401" s="744"/>
      <c r="P401" s="751"/>
      <c r="Q401" s="752"/>
      <c r="R401" s="744"/>
      <c r="S401" s="751"/>
      <c r="T401" s="752"/>
      <c r="U401" s="744"/>
      <c r="V401" s="751"/>
      <c r="W401" s="752"/>
      <c r="X401" s="744"/>
      <c r="Y401" s="751"/>
      <c r="Z401" s="752"/>
      <c r="AA401" s="744"/>
      <c r="AB401" s="751"/>
      <c r="AC401" s="752"/>
      <c r="AD401" s="744"/>
      <c r="AE401" s="751"/>
      <c r="AF401" s="752"/>
      <c r="AG401" s="744"/>
      <c r="AH401" s="751"/>
      <c r="AI401" s="752"/>
      <c r="AJ401" s="744"/>
      <c r="AK401" s="751"/>
      <c r="AL401" s="752"/>
      <c r="AM401" s="744"/>
      <c r="AN401" s="751"/>
      <c r="AO401" s="752"/>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29"/>
      <c r="D402" s="830"/>
      <c r="E402" s="831">
        <v>0</v>
      </c>
      <c r="F402" s="829"/>
      <c r="G402" s="830"/>
      <c r="H402" s="831">
        <v>0</v>
      </c>
      <c r="I402" s="829"/>
      <c r="J402" s="830"/>
      <c r="K402" s="831">
        <v>0</v>
      </c>
      <c r="L402" s="829"/>
      <c r="M402" s="830"/>
      <c r="N402" s="831">
        <v>0</v>
      </c>
      <c r="O402" s="829"/>
      <c r="P402" s="830"/>
      <c r="Q402" s="831">
        <v>0</v>
      </c>
      <c r="R402" s="829"/>
      <c r="S402" s="830"/>
      <c r="T402" s="831">
        <v>0</v>
      </c>
      <c r="U402" s="829"/>
      <c r="V402" s="830"/>
      <c r="W402" s="1264">
        <v>0</v>
      </c>
      <c r="X402" s="829"/>
      <c r="Y402" s="830"/>
      <c r="Z402" s="1264">
        <v>0</v>
      </c>
      <c r="AA402" s="829"/>
      <c r="AB402" s="830"/>
      <c r="AC402" s="1264">
        <v>0</v>
      </c>
      <c r="AD402" s="829"/>
      <c r="AE402" s="830"/>
      <c r="AF402" s="1264">
        <v>0</v>
      </c>
      <c r="AG402" s="829"/>
      <c r="AH402" s="830"/>
      <c r="AI402" s="831">
        <v>0</v>
      </c>
      <c r="AJ402" s="829"/>
      <c r="AK402" s="830"/>
      <c r="AL402" s="831">
        <v>0</v>
      </c>
      <c r="AM402" s="829"/>
      <c r="AN402" s="830"/>
      <c r="AO402" s="831">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792"/>
      <c r="D403" s="792"/>
      <c r="E403" s="828">
        <v>0</v>
      </c>
      <c r="F403" s="792"/>
      <c r="G403" s="792"/>
      <c r="H403" s="828"/>
      <c r="I403" s="792"/>
      <c r="J403" s="792"/>
      <c r="K403" s="828"/>
      <c r="L403" s="792"/>
      <c r="M403" s="792"/>
      <c r="N403" s="828"/>
      <c r="O403" s="792"/>
      <c r="P403" s="792"/>
      <c r="Q403" s="828"/>
      <c r="R403" s="792"/>
      <c r="S403" s="792"/>
      <c r="T403" s="828"/>
      <c r="U403" s="792"/>
      <c r="V403" s="792"/>
      <c r="W403" s="828"/>
      <c r="X403" s="792"/>
      <c r="Y403" s="792"/>
      <c r="Z403" s="828"/>
      <c r="AA403" s="792"/>
      <c r="AB403" s="792"/>
      <c r="AC403" s="828"/>
      <c r="AD403" s="792"/>
      <c r="AE403" s="792"/>
      <c r="AF403" s="828"/>
      <c r="AG403" s="792"/>
      <c r="AH403" s="792"/>
      <c r="AI403" s="828"/>
      <c r="AJ403" s="792"/>
      <c r="AK403" s="792"/>
      <c r="AL403" s="828"/>
      <c r="AM403" s="792"/>
      <c r="AN403" s="792"/>
      <c r="AO403" s="82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1"/>
      <c r="D404" s="751"/>
      <c r="E404" s="764"/>
      <c r="F404" s="751"/>
      <c r="G404" s="751"/>
      <c r="H404" s="764">
        <v>0</v>
      </c>
      <c r="I404" s="751"/>
      <c r="J404" s="751"/>
      <c r="K404" s="764">
        <v>0</v>
      </c>
      <c r="L404" s="751"/>
      <c r="M404" s="751"/>
      <c r="N404" s="764">
        <v>0</v>
      </c>
      <c r="O404" s="751"/>
      <c r="P404" s="751"/>
      <c r="Q404" s="764">
        <v>0</v>
      </c>
      <c r="R404" s="751"/>
      <c r="S404" s="751"/>
      <c r="T404" s="764">
        <v>0</v>
      </c>
      <c r="U404" s="751"/>
      <c r="V404" s="751"/>
      <c r="W404" s="764">
        <v>0</v>
      </c>
      <c r="X404" s="751"/>
      <c r="Y404" s="751"/>
      <c r="Z404" s="764">
        <v>0</v>
      </c>
      <c r="AA404" s="751"/>
      <c r="AB404" s="751"/>
      <c r="AC404" s="764">
        <v>0</v>
      </c>
      <c r="AD404" s="751"/>
      <c r="AE404" s="751"/>
      <c r="AF404" s="764">
        <v>0</v>
      </c>
      <c r="AG404" s="751"/>
      <c r="AH404" s="751"/>
      <c r="AI404" s="764">
        <v>0</v>
      </c>
      <c r="AJ404" s="751"/>
      <c r="AK404" s="751"/>
      <c r="AL404" s="764">
        <v>0</v>
      </c>
      <c r="AM404" s="751"/>
      <c r="AN404" s="751"/>
      <c r="AO404" s="764">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3934</v>
      </c>
      <c r="C405" s="784" t="s">
        <v>198</v>
      </c>
      <c r="D405" s="784"/>
      <c r="E405" s="784"/>
      <c r="F405" s="784"/>
      <c r="G405" s="784"/>
      <c r="H405" s="784"/>
      <c r="I405" s="784"/>
      <c r="J405" s="784"/>
      <c r="K405" s="784"/>
      <c r="L405" s="784"/>
      <c r="M405" s="784"/>
      <c r="N405" s="784"/>
      <c r="O405" s="784"/>
      <c r="P405" s="784"/>
      <c r="Q405" s="784"/>
      <c r="R405" s="784"/>
      <c r="S405" s="784"/>
      <c r="T405" s="784"/>
      <c r="U405" s="784"/>
      <c r="V405" s="784"/>
      <c r="W405" s="784"/>
      <c r="X405" s="784"/>
      <c r="Y405" s="784"/>
      <c r="Z405" s="784"/>
      <c r="AA405" s="784"/>
      <c r="AB405" s="784"/>
      <c r="AC405" s="784"/>
      <c r="AD405" s="784"/>
      <c r="AE405" s="784"/>
      <c r="AF405" s="784"/>
      <c r="AG405" s="784"/>
      <c r="AH405" s="784"/>
      <c r="AI405" s="784"/>
      <c r="AJ405" s="784"/>
      <c r="AK405" s="784"/>
      <c r="AL405" s="784"/>
      <c r="AM405" s="784"/>
      <c r="AN405" s="784"/>
      <c r="AO405" s="784"/>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33"/>
      <c r="D406" s="833"/>
      <c r="E406" s="833"/>
      <c r="F406" s="833"/>
      <c r="G406" s="833"/>
      <c r="H406" s="834">
        <v>7055316.1389505528</v>
      </c>
      <c r="I406" s="833"/>
      <c r="J406" s="833"/>
      <c r="K406" s="834">
        <v>7055316.1389505528</v>
      </c>
      <c r="L406" s="833"/>
      <c r="M406" s="833"/>
      <c r="N406" s="834">
        <v>7055316.1389505528</v>
      </c>
      <c r="O406" s="833"/>
      <c r="P406" s="833"/>
      <c r="Q406" s="834">
        <v>7055316.1389505528</v>
      </c>
      <c r="R406" s="833"/>
      <c r="S406" s="833"/>
      <c r="T406" s="834">
        <v>7055316.1389505528</v>
      </c>
      <c r="U406" s="833"/>
      <c r="V406" s="833"/>
      <c r="W406" s="834">
        <v>7055316.1389505528</v>
      </c>
      <c r="X406" s="833"/>
      <c r="Y406" s="833"/>
      <c r="Z406" s="834">
        <v>7055316.1389505528</v>
      </c>
      <c r="AA406" s="833"/>
      <c r="AB406" s="833"/>
      <c r="AC406" s="834">
        <v>7055316.1389505528</v>
      </c>
      <c r="AD406" s="833"/>
      <c r="AE406" s="833"/>
      <c r="AF406" s="834">
        <v>7055316.1389505528</v>
      </c>
      <c r="AG406" s="833"/>
      <c r="AH406" s="833"/>
      <c r="AI406" s="834">
        <v>7055316.1389505528</v>
      </c>
      <c r="AJ406" s="833"/>
      <c r="AK406" s="833"/>
      <c r="AL406" s="834">
        <v>7055316.1389505528</v>
      </c>
      <c r="AM406" s="833"/>
      <c r="AN406" s="833"/>
      <c r="AO406" s="834">
        <v>7055316.1389505528</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729">
        <v>2025</v>
      </c>
      <c r="D407" s="730"/>
      <c r="E407" s="73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35" t="s">
        <v>199</v>
      </c>
      <c r="D408" s="836" t="s">
        <v>200</v>
      </c>
      <c r="E408" s="837" t="s">
        <v>201</v>
      </c>
      <c r="F408" s="835" t="s">
        <v>199</v>
      </c>
      <c r="G408" s="836" t="s">
        <v>200</v>
      </c>
      <c r="H408" s="837" t="s">
        <v>201</v>
      </c>
      <c r="I408" s="835" t="s">
        <v>199</v>
      </c>
      <c r="J408" s="836" t="s">
        <v>200</v>
      </c>
      <c r="K408" s="837" t="s">
        <v>201</v>
      </c>
      <c r="L408" s="835" t="s">
        <v>199</v>
      </c>
      <c r="M408" s="836" t="s">
        <v>200</v>
      </c>
      <c r="N408" s="837" t="s">
        <v>201</v>
      </c>
      <c r="O408" s="835" t="s">
        <v>199</v>
      </c>
      <c r="P408" s="836" t="s">
        <v>200</v>
      </c>
      <c r="Q408" s="837" t="s">
        <v>201</v>
      </c>
      <c r="R408" s="835" t="s">
        <v>199</v>
      </c>
      <c r="S408" s="836" t="s">
        <v>200</v>
      </c>
      <c r="T408" s="837" t="s">
        <v>201</v>
      </c>
      <c r="U408" s="835" t="s">
        <v>199</v>
      </c>
      <c r="V408" s="836" t="s">
        <v>200</v>
      </c>
      <c r="W408" s="837" t="s">
        <v>201</v>
      </c>
      <c r="X408" s="835" t="s">
        <v>199</v>
      </c>
      <c r="Y408" s="836" t="s">
        <v>200</v>
      </c>
      <c r="Z408" s="837" t="s">
        <v>201</v>
      </c>
      <c r="AA408" s="835" t="s">
        <v>199</v>
      </c>
      <c r="AB408" s="836" t="s">
        <v>200</v>
      </c>
      <c r="AC408" s="837" t="s">
        <v>201</v>
      </c>
      <c r="AD408" s="835" t="s">
        <v>199</v>
      </c>
      <c r="AE408" s="836" t="s">
        <v>200</v>
      </c>
      <c r="AF408" s="837" t="s">
        <v>201</v>
      </c>
      <c r="AG408" s="835" t="s">
        <v>199</v>
      </c>
      <c r="AH408" s="836" t="s">
        <v>200</v>
      </c>
      <c r="AI408" s="837" t="s">
        <v>201</v>
      </c>
      <c r="AJ408" s="835" t="s">
        <v>199</v>
      </c>
      <c r="AK408" s="836" t="s">
        <v>200</v>
      </c>
      <c r="AL408" s="837" t="s">
        <v>201</v>
      </c>
      <c r="AM408" s="835" t="s">
        <v>199</v>
      </c>
      <c r="AN408" s="836" t="s">
        <v>200</v>
      </c>
      <c r="AO408" s="83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38"/>
      <c r="D409" s="839"/>
      <c r="E409" s="840">
        <v>63570213.839999981</v>
      </c>
      <c r="F409" s="838"/>
      <c r="G409" s="839"/>
      <c r="H409" s="840">
        <v>4565178.7199999895</v>
      </c>
      <c r="I409" s="838"/>
      <c r="J409" s="839"/>
      <c r="K409" s="840">
        <v>3468713.25</v>
      </c>
      <c r="L409" s="838"/>
      <c r="M409" s="839"/>
      <c r="N409" s="840">
        <v>4561965.3799999896</v>
      </c>
      <c r="O409" s="838"/>
      <c r="P409" s="839"/>
      <c r="Q409" s="840">
        <v>4734872.03</v>
      </c>
      <c r="R409" s="838"/>
      <c r="S409" s="839"/>
      <c r="T409" s="840">
        <v>5431944.5899999999</v>
      </c>
      <c r="U409" s="838"/>
      <c r="V409" s="839"/>
      <c r="W409" s="840">
        <v>4676764.22</v>
      </c>
      <c r="X409" s="838"/>
      <c r="Y409" s="839"/>
      <c r="Z409" s="840">
        <v>6749179.25</v>
      </c>
      <c r="AA409" s="838"/>
      <c r="AB409" s="839"/>
      <c r="AC409" s="840">
        <v>6149394.0600000005</v>
      </c>
      <c r="AD409" s="838"/>
      <c r="AE409" s="839"/>
      <c r="AF409" s="840">
        <v>5799821.0999999996</v>
      </c>
      <c r="AG409" s="838"/>
      <c r="AH409" s="839"/>
      <c r="AI409" s="840">
        <v>5496543.2299999995</v>
      </c>
      <c r="AJ409" s="838"/>
      <c r="AK409" s="839"/>
      <c r="AL409" s="840">
        <v>7389320.1199999992</v>
      </c>
      <c r="AM409" s="838"/>
      <c r="AN409" s="839"/>
      <c r="AO409" s="840">
        <v>4546517.8899999997</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41"/>
      <c r="D410" s="842"/>
      <c r="E410" s="843">
        <v>8319174.3799999924</v>
      </c>
      <c r="F410" s="841"/>
      <c r="G410" s="842"/>
      <c r="H410" s="843">
        <v>577633.46999999869</v>
      </c>
      <c r="I410" s="841"/>
      <c r="J410" s="842"/>
      <c r="K410" s="843">
        <v>480766.95999999956</v>
      </c>
      <c r="L410" s="841"/>
      <c r="M410" s="842"/>
      <c r="N410" s="843">
        <v>607778.62999999942</v>
      </c>
      <c r="O410" s="841"/>
      <c r="P410" s="842"/>
      <c r="Q410" s="843">
        <v>694816.60999999964</v>
      </c>
      <c r="R410" s="841"/>
      <c r="S410" s="842"/>
      <c r="T410" s="843">
        <v>753774.05999999982</v>
      </c>
      <c r="U410" s="841"/>
      <c r="V410" s="842"/>
      <c r="W410" s="1265">
        <v>647043.10999999952</v>
      </c>
      <c r="X410" s="841"/>
      <c r="Y410" s="842"/>
      <c r="Z410" s="1265">
        <v>777546.92999999947</v>
      </c>
      <c r="AA410" s="841"/>
      <c r="AB410" s="842"/>
      <c r="AC410" s="1265">
        <v>780636.27999999933</v>
      </c>
      <c r="AD410" s="841"/>
      <c r="AE410" s="842"/>
      <c r="AF410" s="1265">
        <v>773388.75999999978</v>
      </c>
      <c r="AG410" s="841"/>
      <c r="AH410" s="842"/>
      <c r="AI410" s="843">
        <v>720145.70999999915</v>
      </c>
      <c r="AJ410" s="841"/>
      <c r="AK410" s="842"/>
      <c r="AL410" s="843">
        <v>844403.32999999856</v>
      </c>
      <c r="AM410" s="841"/>
      <c r="AN410" s="842"/>
      <c r="AO410" s="843">
        <v>661240.52999999968</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44"/>
      <c r="D411" s="845"/>
      <c r="E411" s="846"/>
      <c r="F411" s="844"/>
      <c r="G411" s="845">
        <v>0</v>
      </c>
      <c r="H411" s="846"/>
      <c r="I411" s="844"/>
      <c r="J411" s="845">
        <v>0</v>
      </c>
      <c r="K411" s="846"/>
      <c r="L411" s="844"/>
      <c r="M411" s="845">
        <v>0</v>
      </c>
      <c r="N411" s="846"/>
      <c r="O411" s="844"/>
      <c r="P411" s="845">
        <v>0</v>
      </c>
      <c r="Q411" s="846"/>
      <c r="R411" s="844"/>
      <c r="S411" s="845">
        <v>0</v>
      </c>
      <c r="T411" s="846"/>
      <c r="U411" s="844"/>
      <c r="V411" s="845">
        <v>0</v>
      </c>
      <c r="W411" s="846"/>
      <c r="X411" s="844"/>
      <c r="Y411" s="845">
        <v>0</v>
      </c>
      <c r="Z411" s="846"/>
      <c r="AA411" s="844"/>
      <c r="AB411" s="845">
        <v>0</v>
      </c>
      <c r="AC411" s="846"/>
      <c r="AD411" s="844"/>
      <c r="AE411" s="845">
        <v>0</v>
      </c>
      <c r="AF411" s="846"/>
      <c r="AG411" s="844"/>
      <c r="AH411" s="845">
        <v>0</v>
      </c>
      <c r="AI411" s="846"/>
      <c r="AJ411" s="844"/>
      <c r="AK411" s="845">
        <v>0</v>
      </c>
      <c r="AL411" s="846"/>
      <c r="AM411" s="844"/>
      <c r="AN411" s="845">
        <v>0</v>
      </c>
      <c r="AO411" s="84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49">
        <v>0.32071624260713238</v>
      </c>
      <c r="D412" s="848">
        <v>613.96637810945276</v>
      </c>
      <c r="E412" s="846">
        <v>617036.21000000008</v>
      </c>
      <c r="F412" s="849"/>
      <c r="G412" s="848">
        <v>1161.5337999999999</v>
      </c>
      <c r="H412" s="846">
        <v>58076.689999999995</v>
      </c>
      <c r="I412" s="849"/>
      <c r="J412" s="848">
        <v>1125.0318749999999</v>
      </c>
      <c r="K412" s="846">
        <v>36001.019999999997</v>
      </c>
      <c r="L412" s="849"/>
      <c r="M412" s="848">
        <v>864.53499999999997</v>
      </c>
      <c r="N412" s="846">
        <v>44955.82</v>
      </c>
      <c r="O412" s="849"/>
      <c r="P412" s="848">
        <v>863.06310344827591</v>
      </c>
      <c r="Q412" s="846">
        <v>50057.66</v>
      </c>
      <c r="R412" s="849"/>
      <c r="S412" s="848">
        <v>1162.1319230769232</v>
      </c>
      <c r="T412" s="846">
        <v>60430.86</v>
      </c>
      <c r="U412" s="849"/>
      <c r="V412" s="848">
        <v>1173.4717073170732</v>
      </c>
      <c r="W412" s="846">
        <v>48112.34</v>
      </c>
      <c r="X412" s="849"/>
      <c r="Y412" s="848">
        <v>845.97315789473691</v>
      </c>
      <c r="Z412" s="846">
        <v>64293.960000000006</v>
      </c>
      <c r="AA412" s="849"/>
      <c r="AB412" s="848">
        <v>946.68484375000003</v>
      </c>
      <c r="AC412" s="846">
        <v>60587.83</v>
      </c>
      <c r="AD412" s="849"/>
      <c r="AE412" s="848">
        <v>921.66603174603176</v>
      </c>
      <c r="AF412" s="846">
        <v>58064.959999999999</v>
      </c>
      <c r="AG412" s="849"/>
      <c r="AH412" s="848">
        <v>1094.5874999999999</v>
      </c>
      <c r="AI412" s="846">
        <v>52540.2</v>
      </c>
      <c r="AJ412" s="849"/>
      <c r="AK412" s="848">
        <v>673.16728571428575</v>
      </c>
      <c r="AL412" s="846">
        <v>47121.71</v>
      </c>
      <c r="AM412" s="849"/>
      <c r="AN412" s="848">
        <v>919.82900000000006</v>
      </c>
      <c r="AO412" s="846">
        <v>36793.160000000003</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52">
        <v>0.27007556056897603</v>
      </c>
      <c r="D413" s="851">
        <v>369.51185185185187</v>
      </c>
      <c r="E413" s="840">
        <v>349188.7</v>
      </c>
      <c r="F413" s="852"/>
      <c r="G413" s="851">
        <v>618.21539999999993</v>
      </c>
      <c r="H413" s="840">
        <v>30910.769999999997</v>
      </c>
      <c r="I413" s="852"/>
      <c r="J413" s="851">
        <v>464.35500000000002</v>
      </c>
      <c r="K413" s="840">
        <v>14859.36</v>
      </c>
      <c r="L413" s="852"/>
      <c r="M413" s="851">
        <v>500.49461538461543</v>
      </c>
      <c r="N413" s="840">
        <v>26025.72</v>
      </c>
      <c r="O413" s="852"/>
      <c r="P413" s="851">
        <v>503.81</v>
      </c>
      <c r="Q413" s="840">
        <v>29220.98</v>
      </c>
      <c r="R413" s="852"/>
      <c r="S413" s="851">
        <v>714.7726923076923</v>
      </c>
      <c r="T413" s="840">
        <v>37168.18</v>
      </c>
      <c r="U413" s="852"/>
      <c r="V413" s="851">
        <v>774.44073170731701</v>
      </c>
      <c r="W413" s="840">
        <v>31752.07</v>
      </c>
      <c r="X413" s="852"/>
      <c r="Y413" s="851">
        <v>530.47210526315791</v>
      </c>
      <c r="Z413" s="840">
        <v>40315.880000000005</v>
      </c>
      <c r="AA413" s="852"/>
      <c r="AB413" s="851">
        <v>528.12031249999995</v>
      </c>
      <c r="AC413" s="840">
        <v>33799.699999999997</v>
      </c>
      <c r="AD413" s="852"/>
      <c r="AE413" s="851">
        <v>559.92428571428582</v>
      </c>
      <c r="AF413" s="840">
        <v>35275.230000000003</v>
      </c>
      <c r="AG413" s="852"/>
      <c r="AH413" s="851">
        <v>482.67833333333328</v>
      </c>
      <c r="AI413" s="840">
        <v>23168.559999999998</v>
      </c>
      <c r="AJ413" s="852"/>
      <c r="AK413" s="851">
        <v>551.24214285714277</v>
      </c>
      <c r="AL413" s="840">
        <v>38586.949999999997</v>
      </c>
      <c r="AM413" s="852"/>
      <c r="AN413" s="851">
        <v>202.63249999999999</v>
      </c>
      <c r="AO413" s="840">
        <v>8105.3</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49"/>
      <c r="D414" s="848">
        <v>63.427312169312167</v>
      </c>
      <c r="E414" s="846">
        <v>59938.81</v>
      </c>
      <c r="F414" s="849"/>
      <c r="G414" s="848">
        <v>80.542000000000002</v>
      </c>
      <c r="H414" s="846">
        <v>4027.1</v>
      </c>
      <c r="I414" s="849"/>
      <c r="J414" s="848">
        <v>77.366250000000008</v>
      </c>
      <c r="K414" s="846">
        <v>2475.7200000000003</v>
      </c>
      <c r="L414" s="849"/>
      <c r="M414" s="848">
        <v>-14.469038461538458</v>
      </c>
      <c r="N414" s="846">
        <v>-752.38999999999987</v>
      </c>
      <c r="O414" s="849"/>
      <c r="P414" s="848">
        <v>122.43948275862068</v>
      </c>
      <c r="Q414" s="846">
        <v>7101.49</v>
      </c>
      <c r="R414" s="849"/>
      <c r="S414" s="848">
        <v>116.65576923076924</v>
      </c>
      <c r="T414" s="846">
        <v>6066.1</v>
      </c>
      <c r="U414" s="849"/>
      <c r="V414" s="848">
        <v>109.16585365853659</v>
      </c>
      <c r="W414" s="846">
        <v>4475.8</v>
      </c>
      <c r="X414" s="849"/>
      <c r="Y414" s="848">
        <v>96.930921052631575</v>
      </c>
      <c r="Z414" s="846">
        <v>7366.75</v>
      </c>
      <c r="AA414" s="849"/>
      <c r="AB414" s="848">
        <v>76.904375000000002</v>
      </c>
      <c r="AC414" s="846">
        <v>4921.88</v>
      </c>
      <c r="AD414" s="849"/>
      <c r="AE414" s="848">
        <v>111.86793650793649</v>
      </c>
      <c r="AF414" s="846">
        <v>7047.6799999999994</v>
      </c>
      <c r="AG414" s="849"/>
      <c r="AH414" s="848">
        <v>163.87666666666667</v>
      </c>
      <c r="AI414" s="846">
        <v>7866.08</v>
      </c>
      <c r="AJ414" s="849"/>
      <c r="AK414" s="848">
        <v>68.837714285714284</v>
      </c>
      <c r="AL414" s="846">
        <v>4818.6400000000003</v>
      </c>
      <c r="AM414" s="849"/>
      <c r="AN414" s="848">
        <v>113.099</v>
      </c>
      <c r="AO414" s="846">
        <v>4523.96</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49"/>
      <c r="D415" s="848">
        <v>22.647015873015874</v>
      </c>
      <c r="E415" s="846">
        <v>21401.43</v>
      </c>
      <c r="F415" s="849"/>
      <c r="G415" s="848">
        <v>20.831599999999998</v>
      </c>
      <c r="H415" s="846">
        <v>1041.58</v>
      </c>
      <c r="I415" s="849"/>
      <c r="J415" s="848">
        <v>43.9690625</v>
      </c>
      <c r="K415" s="846">
        <v>1407.01</v>
      </c>
      <c r="L415" s="849"/>
      <c r="M415" s="848">
        <v>33.359423076923079</v>
      </c>
      <c r="N415" s="846">
        <v>1734.69</v>
      </c>
      <c r="O415" s="849"/>
      <c r="P415" s="848">
        <v>21.487241379310344</v>
      </c>
      <c r="Q415" s="846">
        <v>1246.26</v>
      </c>
      <c r="R415" s="849"/>
      <c r="S415" s="848">
        <v>51.835961538461547</v>
      </c>
      <c r="T415" s="846">
        <v>2695.4700000000003</v>
      </c>
      <c r="U415" s="849"/>
      <c r="V415" s="848">
        <v>61.878048780487802</v>
      </c>
      <c r="W415" s="846">
        <v>2537</v>
      </c>
      <c r="X415" s="849"/>
      <c r="Y415" s="848">
        <v>65.573289473684213</v>
      </c>
      <c r="Z415" s="846">
        <v>4983.57</v>
      </c>
      <c r="AA415" s="849"/>
      <c r="AB415" s="848">
        <v>17.963124999999998</v>
      </c>
      <c r="AC415" s="846">
        <v>1149.6399999999999</v>
      </c>
      <c r="AD415" s="849"/>
      <c r="AE415" s="848">
        <v>40.612063492063491</v>
      </c>
      <c r="AF415" s="846">
        <v>2558.56</v>
      </c>
      <c r="AG415" s="849"/>
      <c r="AH415" s="848">
        <v>47.755416666666669</v>
      </c>
      <c r="AI415" s="846">
        <v>2292.2600000000002</v>
      </c>
      <c r="AJ415" s="849"/>
      <c r="AK415" s="848">
        <v>31.906571428571429</v>
      </c>
      <c r="AL415" s="846">
        <v>2233.46</v>
      </c>
      <c r="AM415" s="849"/>
      <c r="AN415" s="848">
        <v>-61.951750000000004</v>
      </c>
      <c r="AO415" s="846">
        <v>-2478.0700000000002</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52"/>
      <c r="D416" s="851">
        <v>142.4298095238095</v>
      </c>
      <c r="E416" s="840">
        <v>134596.16999999998</v>
      </c>
      <c r="F416" s="852"/>
      <c r="G416" s="851">
        <v>182.43739999999997</v>
      </c>
      <c r="H416" s="840">
        <v>9121.869999999999</v>
      </c>
      <c r="I416" s="852"/>
      <c r="J416" s="851">
        <v>325.03156250000001</v>
      </c>
      <c r="K416" s="840">
        <v>10401.01</v>
      </c>
      <c r="L416" s="852"/>
      <c r="M416" s="851">
        <v>250.30615384615385</v>
      </c>
      <c r="N416" s="840">
        <v>13015.92</v>
      </c>
      <c r="O416" s="852"/>
      <c r="P416" s="851">
        <v>195.60775862068965</v>
      </c>
      <c r="Q416" s="840">
        <v>11345.25</v>
      </c>
      <c r="R416" s="852"/>
      <c r="S416" s="851">
        <v>266.93692307692305</v>
      </c>
      <c r="T416" s="840">
        <v>13880.72</v>
      </c>
      <c r="U416" s="852"/>
      <c r="V416" s="851">
        <v>429.1465853658537</v>
      </c>
      <c r="W416" s="840">
        <v>17595.010000000002</v>
      </c>
      <c r="X416" s="852"/>
      <c r="Y416" s="851">
        <v>96.436710526315792</v>
      </c>
      <c r="Z416" s="840">
        <v>7329.1900000000005</v>
      </c>
      <c r="AA416" s="852"/>
      <c r="AB416" s="851">
        <v>108.97921875</v>
      </c>
      <c r="AC416" s="840">
        <v>6974.67</v>
      </c>
      <c r="AD416" s="852"/>
      <c r="AE416" s="851">
        <v>178.37333333333333</v>
      </c>
      <c r="AF416" s="840">
        <v>11237.52</v>
      </c>
      <c r="AG416" s="852"/>
      <c r="AH416" s="851">
        <v>233.72291666666669</v>
      </c>
      <c r="AI416" s="840">
        <v>11218.7</v>
      </c>
      <c r="AJ416" s="852"/>
      <c r="AK416" s="851">
        <v>168.32957142857143</v>
      </c>
      <c r="AL416" s="840">
        <v>11783.07</v>
      </c>
      <c r="AM416" s="852"/>
      <c r="AN416" s="851">
        <v>267.33100000000002</v>
      </c>
      <c r="AO416" s="840">
        <v>10693.24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49"/>
      <c r="D417" s="848">
        <v>251.96371428571427</v>
      </c>
      <c r="E417" s="846">
        <v>238105.71</v>
      </c>
      <c r="F417" s="849"/>
      <c r="G417" s="848">
        <v>335.93440000000004</v>
      </c>
      <c r="H417" s="846">
        <v>16796.72</v>
      </c>
      <c r="I417" s="849"/>
      <c r="J417" s="848">
        <v>356.83937500000002</v>
      </c>
      <c r="K417" s="846">
        <v>11418.86</v>
      </c>
      <c r="L417" s="849"/>
      <c r="M417" s="848">
        <v>593.36269230769233</v>
      </c>
      <c r="N417" s="846">
        <v>30854.86</v>
      </c>
      <c r="O417" s="849"/>
      <c r="P417" s="848">
        <v>468.53896551724142</v>
      </c>
      <c r="Q417" s="846">
        <v>27175.260000000002</v>
      </c>
      <c r="R417" s="849"/>
      <c r="S417" s="848">
        <v>412.69038461538463</v>
      </c>
      <c r="T417" s="846">
        <v>21459.9</v>
      </c>
      <c r="U417" s="849"/>
      <c r="V417" s="848">
        <v>307.2192682926829</v>
      </c>
      <c r="W417" s="846">
        <v>12595.99</v>
      </c>
      <c r="X417" s="849"/>
      <c r="Y417" s="848">
        <v>169.31657894736844</v>
      </c>
      <c r="Z417" s="846">
        <v>12868.060000000001</v>
      </c>
      <c r="AA417" s="849"/>
      <c r="AB417" s="848">
        <v>262.82343749999995</v>
      </c>
      <c r="AC417" s="846">
        <v>16820.699999999997</v>
      </c>
      <c r="AD417" s="849"/>
      <c r="AE417" s="848">
        <v>340.65761904761905</v>
      </c>
      <c r="AF417" s="846">
        <v>21461.43</v>
      </c>
      <c r="AG417" s="849"/>
      <c r="AH417" s="848">
        <v>501.21791666666667</v>
      </c>
      <c r="AI417" s="846">
        <v>24058.46</v>
      </c>
      <c r="AJ417" s="849"/>
      <c r="AK417" s="848">
        <v>195.08585714285698</v>
      </c>
      <c r="AL417" s="846">
        <v>13656.009999999989</v>
      </c>
      <c r="AM417" s="849"/>
      <c r="AN417" s="848">
        <v>723.48649999999998</v>
      </c>
      <c r="AO417" s="846">
        <v>28939.46</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49"/>
      <c r="D418" s="848">
        <v>190.9612698412698</v>
      </c>
      <c r="E418" s="846">
        <v>180458.39999999997</v>
      </c>
      <c r="F418" s="849"/>
      <c r="G418" s="848"/>
      <c r="H418" s="846">
        <v>29528.35</v>
      </c>
      <c r="I418" s="849"/>
      <c r="J418" s="848"/>
      <c r="K418" s="846">
        <v>-9194.7100000000009</v>
      </c>
      <c r="L418" s="849"/>
      <c r="M418" s="848"/>
      <c r="N418" s="846">
        <v>26082.329999999998</v>
      </c>
      <c r="O418" s="849"/>
      <c r="P418" s="848"/>
      <c r="Q418" s="846">
        <v>-2001.2399999999998</v>
      </c>
      <c r="R418" s="849"/>
      <c r="S418" s="848"/>
      <c r="T418" s="846">
        <v>17032.379999999997</v>
      </c>
      <c r="U418" s="849"/>
      <c r="V418" s="848"/>
      <c r="W418" s="846">
        <v>18183.760000000002</v>
      </c>
      <c r="X418" s="849"/>
      <c r="Y418" s="848"/>
      <c r="Z418" s="846">
        <v>26209.15</v>
      </c>
      <c r="AA418" s="849"/>
      <c r="AB418" s="848"/>
      <c r="AC418" s="846">
        <v>3626.3999999999996</v>
      </c>
      <c r="AD418" s="849"/>
      <c r="AE418" s="848"/>
      <c r="AF418" s="846">
        <v>3855.18</v>
      </c>
      <c r="AG418" s="849"/>
      <c r="AH418" s="848"/>
      <c r="AI418" s="846">
        <v>22410.859999999997</v>
      </c>
      <c r="AJ418" s="849"/>
      <c r="AK418" s="848"/>
      <c r="AL418" s="846">
        <v>25111.55</v>
      </c>
      <c r="AM418" s="849"/>
      <c r="AN418" s="848"/>
      <c r="AO418" s="846">
        <v>19614.39</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49"/>
      <c r="D419" s="848"/>
      <c r="E419" s="846"/>
      <c r="F419" s="849"/>
      <c r="G419" s="848"/>
      <c r="H419" s="846"/>
      <c r="I419" s="849"/>
      <c r="J419" s="848"/>
      <c r="K419" s="846"/>
      <c r="L419" s="849"/>
      <c r="M419" s="848"/>
      <c r="N419" s="846"/>
      <c r="O419" s="849"/>
      <c r="P419" s="848"/>
      <c r="Q419" s="846"/>
      <c r="R419" s="849"/>
      <c r="S419" s="848"/>
      <c r="T419" s="846"/>
      <c r="U419" s="849"/>
      <c r="V419" s="848"/>
      <c r="W419" s="846"/>
      <c r="X419" s="849"/>
      <c r="Y419" s="848"/>
      <c r="Z419" s="846"/>
      <c r="AA419" s="849"/>
      <c r="AB419" s="848"/>
      <c r="AC419" s="846"/>
      <c r="AD419" s="849"/>
      <c r="AE419" s="848"/>
      <c r="AF419" s="846"/>
      <c r="AG419" s="849"/>
      <c r="AH419" s="848"/>
      <c r="AI419" s="846"/>
      <c r="AJ419" s="849"/>
      <c r="AK419" s="848"/>
      <c r="AL419" s="846"/>
      <c r="AM419" s="849"/>
      <c r="AN419" s="848"/>
      <c r="AO419" s="846"/>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49"/>
      <c r="D420" s="848"/>
      <c r="E420" s="846"/>
      <c r="F420" s="849"/>
      <c r="G420" s="848"/>
      <c r="H420" s="846"/>
      <c r="I420" s="849"/>
      <c r="J420" s="848"/>
      <c r="K420" s="846"/>
      <c r="L420" s="849"/>
      <c r="M420" s="848"/>
      <c r="N420" s="846"/>
      <c r="O420" s="849"/>
      <c r="P420" s="848"/>
      <c r="Q420" s="846"/>
      <c r="R420" s="849"/>
      <c r="S420" s="848"/>
      <c r="T420" s="846"/>
      <c r="U420" s="849"/>
      <c r="V420" s="848"/>
      <c r="W420" s="846"/>
      <c r="X420" s="849"/>
      <c r="Y420" s="848"/>
      <c r="Z420" s="846"/>
      <c r="AA420" s="849"/>
      <c r="AB420" s="848"/>
      <c r="AC420" s="846"/>
      <c r="AD420" s="849"/>
      <c r="AE420" s="848"/>
      <c r="AF420" s="846"/>
      <c r="AG420" s="849"/>
      <c r="AH420" s="848"/>
      <c r="AI420" s="846"/>
      <c r="AJ420" s="849"/>
      <c r="AK420" s="848"/>
      <c r="AL420" s="846"/>
      <c r="AM420" s="849"/>
      <c r="AN420" s="848"/>
      <c r="AO420" s="846"/>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49"/>
      <c r="D421" s="848"/>
      <c r="E421" s="846"/>
      <c r="F421" s="849"/>
      <c r="G421" s="848"/>
      <c r="H421" s="846"/>
      <c r="I421" s="849"/>
      <c r="J421" s="848"/>
      <c r="K421" s="846"/>
      <c r="L421" s="849"/>
      <c r="M421" s="848"/>
      <c r="N421" s="846"/>
      <c r="O421" s="849"/>
      <c r="P421" s="848"/>
      <c r="Q421" s="846"/>
      <c r="R421" s="849"/>
      <c r="S421" s="848"/>
      <c r="T421" s="846"/>
      <c r="U421" s="849"/>
      <c r="V421" s="848"/>
      <c r="W421" s="846"/>
      <c r="X421" s="849"/>
      <c r="Y421" s="848"/>
      <c r="Z421" s="846"/>
      <c r="AA421" s="849"/>
      <c r="AB421" s="848"/>
      <c r="AC421" s="846"/>
      <c r="AD421" s="849"/>
      <c r="AE421" s="848"/>
      <c r="AF421" s="846"/>
      <c r="AG421" s="849"/>
      <c r="AH421" s="848"/>
      <c r="AI421" s="846"/>
      <c r="AJ421" s="849"/>
      <c r="AK421" s="848"/>
      <c r="AL421" s="846"/>
      <c r="AM421" s="849"/>
      <c r="AN421" s="848"/>
      <c r="AO421" s="846"/>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1215">
        <v>0.19241397726296988</v>
      </c>
      <c r="D422" s="1218">
        <v>1654.9073516544263</v>
      </c>
      <c r="E422" s="1217">
        <v>1600725.4300000002</v>
      </c>
      <c r="F422" s="1215"/>
      <c r="G422" s="1218"/>
      <c r="H422" s="1217">
        <v>149503.07999999999</v>
      </c>
      <c r="I422" s="1215"/>
      <c r="J422" s="1218"/>
      <c r="K422" s="1217">
        <v>67368.27</v>
      </c>
      <c r="L422" s="1215"/>
      <c r="M422" s="1218"/>
      <c r="N422" s="1217">
        <v>141916.95000000001</v>
      </c>
      <c r="O422" s="1215"/>
      <c r="P422" s="1218"/>
      <c r="Q422" s="1217">
        <v>124145.659999999</v>
      </c>
      <c r="R422" s="1215"/>
      <c r="S422" s="1218"/>
      <c r="T422" s="1217">
        <v>158733.60999999999</v>
      </c>
      <c r="U422" s="1215"/>
      <c r="V422" s="1218"/>
      <c r="W422" s="1266">
        <v>135251.97</v>
      </c>
      <c r="X422" s="1215"/>
      <c r="Y422" s="1218"/>
      <c r="Z422" s="1266">
        <v>163366.56</v>
      </c>
      <c r="AA422" s="1215"/>
      <c r="AB422" s="1218"/>
      <c r="AC422" s="1266">
        <v>127880.819999999</v>
      </c>
      <c r="AD422" s="1215"/>
      <c r="AE422" s="1218"/>
      <c r="AF422" s="1266">
        <v>139500.56</v>
      </c>
      <c r="AG422" s="1215"/>
      <c r="AH422" s="1218"/>
      <c r="AI422" s="1217">
        <v>143555.11999999901</v>
      </c>
      <c r="AJ422" s="1215"/>
      <c r="AK422" s="1218"/>
      <c r="AL422" s="1217">
        <v>143311.39000000001</v>
      </c>
      <c r="AM422" s="1215"/>
      <c r="AN422" s="1218"/>
      <c r="AO422" s="1217">
        <v>106191.44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49"/>
      <c r="D423" s="848"/>
      <c r="E423" s="853">
        <v>181864.14999999953</v>
      </c>
      <c r="F423" s="849"/>
      <c r="G423" s="848"/>
      <c r="H423" s="853">
        <v>15557.82</v>
      </c>
      <c r="I423" s="849"/>
      <c r="J423" s="848"/>
      <c r="K423" s="853">
        <v>16663.66</v>
      </c>
      <c r="L423" s="849"/>
      <c r="M423" s="848"/>
      <c r="N423" s="853">
        <v>10888.7599999999</v>
      </c>
      <c r="O423" s="849"/>
      <c r="P423" s="848"/>
      <c r="Q423" s="853">
        <v>13074.76</v>
      </c>
      <c r="R423" s="849"/>
      <c r="S423" s="848"/>
      <c r="T423" s="853">
        <v>18425.95</v>
      </c>
      <c r="U423" s="849"/>
      <c r="V423" s="848"/>
      <c r="W423" s="853">
        <v>15260.7599999999</v>
      </c>
      <c r="X423" s="849"/>
      <c r="Y423" s="848"/>
      <c r="Z423" s="853">
        <v>12528.2599999999</v>
      </c>
      <c r="AA423" s="849"/>
      <c r="AB423" s="848"/>
      <c r="AC423" s="853">
        <v>15146.95</v>
      </c>
      <c r="AD423" s="849"/>
      <c r="AE423" s="848"/>
      <c r="AF423" s="853">
        <v>15260.7599999999</v>
      </c>
      <c r="AG423" s="849"/>
      <c r="AH423" s="848"/>
      <c r="AI423" s="853">
        <v>17332.95</v>
      </c>
      <c r="AJ423" s="849"/>
      <c r="AK423" s="848"/>
      <c r="AL423" s="853">
        <v>15260.7599999999</v>
      </c>
      <c r="AM423" s="849"/>
      <c r="AN423" s="848"/>
      <c r="AO423" s="1267">
        <v>16462.759999999998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49"/>
      <c r="D424" s="848"/>
      <c r="E424" s="846">
        <v>675226.72999999952</v>
      </c>
      <c r="F424" s="849"/>
      <c r="G424" s="848"/>
      <c r="H424" s="846">
        <v>62227.09</v>
      </c>
      <c r="I424" s="849"/>
      <c r="J424" s="848"/>
      <c r="K424" s="846">
        <v>50318.89</v>
      </c>
      <c r="L424" s="849"/>
      <c r="M424" s="848"/>
      <c r="N424" s="846">
        <v>61274.819999999898</v>
      </c>
      <c r="O424" s="849"/>
      <c r="P424" s="848"/>
      <c r="Q424" s="846">
        <v>55266.27</v>
      </c>
      <c r="R424" s="849"/>
      <c r="S424" s="848"/>
      <c r="T424" s="846">
        <v>53221.929999999898</v>
      </c>
      <c r="U424" s="849"/>
      <c r="V424" s="848"/>
      <c r="W424" s="846">
        <v>51728.91</v>
      </c>
      <c r="X424" s="849"/>
      <c r="Y424" s="848"/>
      <c r="Z424" s="846">
        <v>56644.17</v>
      </c>
      <c r="AA424" s="849"/>
      <c r="AB424" s="848"/>
      <c r="AC424" s="846">
        <v>56195.59</v>
      </c>
      <c r="AD424" s="849"/>
      <c r="AE424" s="848"/>
      <c r="AF424" s="846">
        <v>60455.609999999899</v>
      </c>
      <c r="AG424" s="849"/>
      <c r="AH424" s="848"/>
      <c r="AI424" s="846">
        <v>59308.819999999898</v>
      </c>
      <c r="AJ424" s="849"/>
      <c r="AK424" s="848"/>
      <c r="AL424" s="846">
        <v>49602.64</v>
      </c>
      <c r="AM424" s="849"/>
      <c r="AN424" s="848"/>
      <c r="AO424" s="846">
        <v>58981.989999999903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52"/>
      <c r="D425" s="851"/>
      <c r="E425" s="840">
        <v>674393.13999999978</v>
      </c>
      <c r="F425" s="852"/>
      <c r="G425" s="851"/>
      <c r="H425" s="840">
        <v>59926.03</v>
      </c>
      <c r="I425" s="852"/>
      <c r="J425" s="851"/>
      <c r="K425" s="840">
        <v>54584.88</v>
      </c>
      <c r="L425" s="852"/>
      <c r="M425" s="851"/>
      <c r="N425" s="840">
        <v>55941.2</v>
      </c>
      <c r="O425" s="852"/>
      <c r="P425" s="851"/>
      <c r="Q425" s="840">
        <v>51908.4</v>
      </c>
      <c r="R425" s="852"/>
      <c r="S425" s="851"/>
      <c r="T425" s="840">
        <v>58764.26</v>
      </c>
      <c r="U425" s="852"/>
      <c r="V425" s="851"/>
      <c r="W425" s="840">
        <v>50528.21</v>
      </c>
      <c r="X425" s="852"/>
      <c r="Y425" s="851"/>
      <c r="Z425" s="840">
        <v>46191.1</v>
      </c>
      <c r="AA425" s="852"/>
      <c r="AB425" s="851"/>
      <c r="AC425" s="840">
        <v>56150.229999999901</v>
      </c>
      <c r="AD425" s="852"/>
      <c r="AE425" s="851"/>
      <c r="AF425" s="840">
        <v>62878.62</v>
      </c>
      <c r="AG425" s="852"/>
      <c r="AH425" s="851"/>
      <c r="AI425" s="840">
        <v>70924.849999999904</v>
      </c>
      <c r="AJ425" s="852"/>
      <c r="AK425" s="851"/>
      <c r="AL425" s="840">
        <v>51777.29</v>
      </c>
      <c r="AM425" s="852"/>
      <c r="AN425" s="851"/>
      <c r="AO425" s="840">
        <v>54818.069999999898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49"/>
      <c r="D426" s="848"/>
      <c r="E426" s="846">
        <v>304990.76</v>
      </c>
      <c r="F426" s="849"/>
      <c r="G426" s="848"/>
      <c r="H426" s="846">
        <v>23150.27</v>
      </c>
      <c r="I426" s="849"/>
      <c r="J426" s="848"/>
      <c r="K426" s="846">
        <v>23093.05</v>
      </c>
      <c r="L426" s="849"/>
      <c r="M426" s="848"/>
      <c r="N426" s="846">
        <v>19347.16</v>
      </c>
      <c r="O426" s="849"/>
      <c r="P426" s="848"/>
      <c r="Q426" s="846">
        <v>29993.91</v>
      </c>
      <c r="R426" s="849"/>
      <c r="S426" s="848"/>
      <c r="T426" s="846">
        <v>32775.370000000003</v>
      </c>
      <c r="U426" s="849"/>
      <c r="V426" s="848"/>
      <c r="W426" s="846">
        <v>22172.1</v>
      </c>
      <c r="X426" s="849"/>
      <c r="Y426" s="848"/>
      <c r="Z426" s="846">
        <v>21825.15</v>
      </c>
      <c r="AA426" s="849"/>
      <c r="AB426" s="848"/>
      <c r="AC426" s="846">
        <v>23037.279999999999</v>
      </c>
      <c r="AD426" s="849"/>
      <c r="AE426" s="848"/>
      <c r="AF426" s="846">
        <v>20764.95</v>
      </c>
      <c r="AG426" s="849"/>
      <c r="AH426" s="848"/>
      <c r="AI426" s="846">
        <v>30462.14</v>
      </c>
      <c r="AJ426" s="849"/>
      <c r="AK426" s="848"/>
      <c r="AL426" s="846">
        <v>37174.44</v>
      </c>
      <c r="AM426" s="849"/>
      <c r="AN426" s="848"/>
      <c r="AO426" s="846">
        <v>21194.94</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49"/>
      <c r="D427" s="848"/>
      <c r="E427" s="846">
        <v>274785.39</v>
      </c>
      <c r="F427" s="849"/>
      <c r="G427" s="848"/>
      <c r="H427" s="846">
        <v>15854.86</v>
      </c>
      <c r="I427" s="849"/>
      <c r="J427" s="848"/>
      <c r="K427" s="846">
        <v>14700.61</v>
      </c>
      <c r="L427" s="849"/>
      <c r="M427" s="848"/>
      <c r="N427" s="846">
        <v>16437.28</v>
      </c>
      <c r="O427" s="849"/>
      <c r="P427" s="848"/>
      <c r="Q427" s="846">
        <v>24877.040000000001</v>
      </c>
      <c r="R427" s="849"/>
      <c r="S427" s="848"/>
      <c r="T427" s="846">
        <v>30524.63</v>
      </c>
      <c r="U427" s="849"/>
      <c r="V427" s="848"/>
      <c r="W427" s="846">
        <v>23505.88</v>
      </c>
      <c r="X427" s="849"/>
      <c r="Y427" s="848"/>
      <c r="Z427" s="846">
        <v>23437.83</v>
      </c>
      <c r="AA427" s="849"/>
      <c r="AB427" s="848"/>
      <c r="AC427" s="846">
        <v>27254.48</v>
      </c>
      <c r="AD427" s="849"/>
      <c r="AE427" s="848"/>
      <c r="AF427" s="846">
        <v>20452.490000000002</v>
      </c>
      <c r="AG427" s="849"/>
      <c r="AH427" s="848"/>
      <c r="AI427" s="846">
        <v>30312.31</v>
      </c>
      <c r="AJ427" s="849"/>
      <c r="AK427" s="848"/>
      <c r="AL427" s="846">
        <v>32534.71</v>
      </c>
      <c r="AM427" s="849"/>
      <c r="AN427" s="848"/>
      <c r="AO427" s="846">
        <v>14893.27</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49"/>
      <c r="D428" s="848"/>
      <c r="E428" s="846"/>
      <c r="F428" s="849"/>
      <c r="G428" s="848"/>
      <c r="H428" s="846"/>
      <c r="I428" s="849"/>
      <c r="J428" s="848"/>
      <c r="K428" s="846"/>
      <c r="L428" s="849"/>
      <c r="M428" s="848"/>
      <c r="N428" s="846"/>
      <c r="O428" s="849"/>
      <c r="P428" s="848"/>
      <c r="Q428" s="846"/>
      <c r="R428" s="849"/>
      <c r="S428" s="848"/>
      <c r="T428" s="846"/>
      <c r="U428" s="849"/>
      <c r="V428" s="848"/>
      <c r="W428" s="846"/>
      <c r="X428" s="849"/>
      <c r="Y428" s="848"/>
      <c r="Z428" s="846"/>
      <c r="AA428" s="849"/>
      <c r="AB428" s="848"/>
      <c r="AC428" s="846"/>
      <c r="AD428" s="849"/>
      <c r="AE428" s="848"/>
      <c r="AF428" s="846"/>
      <c r="AG428" s="849"/>
      <c r="AH428" s="848"/>
      <c r="AI428" s="846"/>
      <c r="AJ428" s="849"/>
      <c r="AK428" s="848"/>
      <c r="AL428" s="846"/>
      <c r="AM428" s="849"/>
      <c r="AN428" s="848"/>
      <c r="AO428" s="846"/>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49"/>
      <c r="D429" s="848"/>
      <c r="E429" s="846"/>
      <c r="F429" s="849"/>
      <c r="G429" s="848"/>
      <c r="H429" s="846"/>
      <c r="I429" s="849"/>
      <c r="J429" s="848"/>
      <c r="K429" s="846"/>
      <c r="L429" s="849"/>
      <c r="M429" s="848"/>
      <c r="N429" s="846"/>
      <c r="O429" s="849"/>
      <c r="P429" s="848"/>
      <c r="Q429" s="846"/>
      <c r="R429" s="849"/>
      <c r="S429" s="848"/>
      <c r="T429" s="846"/>
      <c r="U429" s="849"/>
      <c r="V429" s="848"/>
      <c r="W429" s="846"/>
      <c r="X429" s="849"/>
      <c r="Y429" s="848"/>
      <c r="Z429" s="846"/>
      <c r="AA429" s="849"/>
      <c r="AB429" s="848"/>
      <c r="AC429" s="846"/>
      <c r="AD429" s="849"/>
      <c r="AE429" s="848"/>
      <c r="AF429" s="846"/>
      <c r="AG429" s="849"/>
      <c r="AH429" s="848"/>
      <c r="AI429" s="846"/>
      <c r="AJ429" s="849"/>
      <c r="AK429" s="848"/>
      <c r="AL429" s="846"/>
      <c r="AM429" s="849"/>
      <c r="AN429" s="848"/>
      <c r="AO429" s="846"/>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49"/>
      <c r="D430" s="848"/>
      <c r="E430" s="846"/>
      <c r="F430" s="849"/>
      <c r="G430" s="848"/>
      <c r="H430" s="846"/>
      <c r="I430" s="849"/>
      <c r="J430" s="848"/>
      <c r="K430" s="846"/>
      <c r="L430" s="849"/>
      <c r="M430" s="848"/>
      <c r="N430" s="846"/>
      <c r="O430" s="849"/>
      <c r="P430" s="848"/>
      <c r="Q430" s="846"/>
      <c r="R430" s="849"/>
      <c r="S430" s="848"/>
      <c r="T430" s="846"/>
      <c r="U430" s="849"/>
      <c r="V430" s="848"/>
      <c r="W430" s="846"/>
      <c r="X430" s="849"/>
      <c r="Y430" s="848"/>
      <c r="Z430" s="846"/>
      <c r="AA430" s="849"/>
      <c r="AB430" s="848"/>
      <c r="AC430" s="846"/>
      <c r="AD430" s="849"/>
      <c r="AE430" s="848"/>
      <c r="AF430" s="846"/>
      <c r="AG430" s="849"/>
      <c r="AH430" s="848"/>
      <c r="AI430" s="846"/>
      <c r="AJ430" s="849"/>
      <c r="AK430" s="848"/>
      <c r="AL430" s="846"/>
      <c r="AM430" s="849"/>
      <c r="AN430" s="848"/>
      <c r="AO430" s="846"/>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52"/>
      <c r="D431" s="854">
        <v>0.11265419301418739</v>
      </c>
      <c r="E431" s="840">
        <v>472587.11999999965</v>
      </c>
      <c r="F431" s="852"/>
      <c r="G431" s="854">
        <v>0.11078626487205628</v>
      </c>
      <c r="H431" s="840">
        <v>40818.199999999997</v>
      </c>
      <c r="I431" s="852"/>
      <c r="J431" s="854">
        <v>0.12816739700238405</v>
      </c>
      <c r="K431" s="840">
        <v>31789.33</v>
      </c>
      <c r="L431" s="852"/>
      <c r="M431" s="854">
        <v>0.11249605211651877</v>
      </c>
      <c r="N431" s="840">
        <v>37610.21</v>
      </c>
      <c r="O431" s="852"/>
      <c r="P431" s="854">
        <v>0.13626020992171728</v>
      </c>
      <c r="Q431" s="840">
        <v>44209.169999999896</v>
      </c>
      <c r="R431" s="852"/>
      <c r="S431" s="854">
        <v>0.12905156133884782</v>
      </c>
      <c r="T431" s="840">
        <v>49343.119999999901</v>
      </c>
      <c r="U431" s="852"/>
      <c r="V431" s="854">
        <v>0.11985223907721519</v>
      </c>
      <c r="W431" s="840">
        <v>38718.78</v>
      </c>
      <c r="X431" s="852"/>
      <c r="Y431" s="854">
        <v>0.10576048953923979</v>
      </c>
      <c r="Z431" s="840">
        <v>38586.629999999997</v>
      </c>
      <c r="AA431" s="852"/>
      <c r="AB431" s="854">
        <v>0.11306618579953293</v>
      </c>
      <c r="AC431" s="840">
        <v>38329.29</v>
      </c>
      <c r="AD431" s="852"/>
      <c r="AE431" s="854">
        <v>8.0955306466509877E-2</v>
      </c>
      <c r="AF431" s="840">
        <v>28895.01</v>
      </c>
      <c r="AG431" s="852"/>
      <c r="AH431" s="854">
        <v>0.12275446156793768</v>
      </c>
      <c r="AI431" s="840">
        <v>45925.3999999999</v>
      </c>
      <c r="AJ431" s="852"/>
      <c r="AK431" s="854">
        <v>0.12879325479756282</v>
      </c>
      <c r="AL431" s="840">
        <v>44336.85</v>
      </c>
      <c r="AM431" s="852"/>
      <c r="AN431" s="854">
        <v>0.11555786334547796</v>
      </c>
      <c r="AO431" s="840">
        <v>34025.129999999997</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49"/>
      <c r="D432" s="855">
        <v>0.14461364503819787</v>
      </c>
      <c r="E432" s="846">
        <v>606657.80999999959</v>
      </c>
      <c r="F432" s="849"/>
      <c r="G432" s="855">
        <v>0.14194862363030272</v>
      </c>
      <c r="H432" s="846">
        <v>52299.6899999999</v>
      </c>
      <c r="I432" s="849"/>
      <c r="J432" s="855">
        <v>0.18654514738291295</v>
      </c>
      <c r="K432" s="846">
        <v>46268.75</v>
      </c>
      <c r="L432" s="849"/>
      <c r="M432" s="855">
        <v>0.13826354623922363</v>
      </c>
      <c r="N432" s="846">
        <v>46224.92</v>
      </c>
      <c r="O432" s="849"/>
      <c r="P432" s="855">
        <v>0.17100949659953402</v>
      </c>
      <c r="Q432" s="846">
        <v>55483.46</v>
      </c>
      <c r="R432" s="849"/>
      <c r="S432" s="855">
        <v>0.15975052620363028</v>
      </c>
      <c r="T432" s="1268">
        <v>61080.929999999898</v>
      </c>
      <c r="U432" s="849"/>
      <c r="V432" s="855">
        <v>0.15887927072567279</v>
      </c>
      <c r="W432" s="846">
        <v>51326.63</v>
      </c>
      <c r="X432" s="849"/>
      <c r="Y432" s="855">
        <v>0.13667386416086402</v>
      </c>
      <c r="Z432" s="846">
        <v>49865.349999999897</v>
      </c>
      <c r="AA432" s="849"/>
      <c r="AB432" s="855">
        <v>0.14233842194675128</v>
      </c>
      <c r="AC432" s="846">
        <v>48252.54</v>
      </c>
      <c r="AD432" s="849"/>
      <c r="AE432" s="855">
        <v>9.7436394702692303E-2</v>
      </c>
      <c r="AF432" s="846">
        <v>34777.53</v>
      </c>
      <c r="AG432" s="849"/>
      <c r="AH432" s="855">
        <v>0.15302856207491422</v>
      </c>
      <c r="AI432" s="846">
        <v>57251.67</v>
      </c>
      <c r="AJ432" s="849"/>
      <c r="AK432" s="855">
        <v>0.17472423895977626</v>
      </c>
      <c r="AL432" s="846">
        <v>60148.51</v>
      </c>
      <c r="AM432" s="849"/>
      <c r="AN432" s="855">
        <v>0.14834085014126377</v>
      </c>
      <c r="AO432" s="846">
        <v>43677.83</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49"/>
      <c r="D433" s="855">
        <v>6.6294065283067624E-2</v>
      </c>
      <c r="E433" s="846">
        <v>278105.23999999987</v>
      </c>
      <c r="F433" s="849"/>
      <c r="G433" s="855">
        <v>6.348786174654078E-2</v>
      </c>
      <c r="H433" s="846">
        <v>23391.53</v>
      </c>
      <c r="I433" s="849"/>
      <c r="J433" s="855">
        <v>7.9376116826621254E-2</v>
      </c>
      <c r="K433" s="846">
        <v>19687.64</v>
      </c>
      <c r="L433" s="849"/>
      <c r="M433" s="855">
        <v>6.8997263169688877E-2</v>
      </c>
      <c r="N433" s="846">
        <v>23067.4899999999</v>
      </c>
      <c r="O433" s="849"/>
      <c r="P433" s="855">
        <v>8.3336718584189104E-2</v>
      </c>
      <c r="Q433" s="846">
        <v>27038.32</v>
      </c>
      <c r="R433" s="849"/>
      <c r="S433" s="855">
        <v>7.5414831119744716E-2</v>
      </c>
      <c r="T433" s="846">
        <v>28835.01</v>
      </c>
      <c r="U433" s="849"/>
      <c r="V433" s="855">
        <v>5.7296159106879546E-2</v>
      </c>
      <c r="W433" s="846">
        <v>18509.77</v>
      </c>
      <c r="X433" s="849"/>
      <c r="Y433" s="855">
        <v>5.7990698622883113E-2</v>
      </c>
      <c r="Z433" s="846">
        <v>21157.86</v>
      </c>
      <c r="AA433" s="849"/>
      <c r="AB433" s="855">
        <v>7.2870397438102502E-2</v>
      </c>
      <c r="AC433" s="846">
        <v>24702.97</v>
      </c>
      <c r="AD433" s="849"/>
      <c r="AE433" s="855">
        <v>4.4207997938841365E-2</v>
      </c>
      <c r="AF433" s="846">
        <v>15778.96</v>
      </c>
      <c r="AG433" s="849"/>
      <c r="AH433" s="855">
        <v>7.2724428751017797E-2</v>
      </c>
      <c r="AI433" s="846">
        <v>27207.96</v>
      </c>
      <c r="AJ433" s="849"/>
      <c r="AK433" s="855">
        <v>8.3341343541548513E-2</v>
      </c>
      <c r="AL433" s="846">
        <v>28690.11</v>
      </c>
      <c r="AM433" s="849"/>
      <c r="AN433" s="855">
        <v>6.8052776101916915E-2</v>
      </c>
      <c r="AO433" s="846">
        <v>20037.62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49"/>
      <c r="D434" s="855">
        <v>2.6775310890423655E-2</v>
      </c>
      <c r="E434" s="846">
        <v>112323.09</v>
      </c>
      <c r="F434" s="849"/>
      <c r="G434" s="855"/>
      <c r="H434" s="846">
        <v>9384.119999999999</v>
      </c>
      <c r="I434" s="849"/>
      <c r="J434" s="855"/>
      <c r="K434" s="846">
        <v>10755.45</v>
      </c>
      <c r="L434" s="849"/>
      <c r="M434" s="855"/>
      <c r="N434" s="846">
        <v>8379.69</v>
      </c>
      <c r="O434" s="849"/>
      <c r="P434" s="855"/>
      <c r="Q434" s="846">
        <v>10989.42</v>
      </c>
      <c r="R434" s="849"/>
      <c r="S434" s="855"/>
      <c r="T434" s="1268">
        <v>10448.16</v>
      </c>
      <c r="U434" s="849"/>
      <c r="V434" s="855"/>
      <c r="W434" s="846">
        <v>8525</v>
      </c>
      <c r="X434" s="849"/>
      <c r="Y434" s="855"/>
      <c r="Z434" s="846">
        <v>10128.049999999999</v>
      </c>
      <c r="AA434" s="849"/>
      <c r="AB434" s="855"/>
      <c r="AC434" s="846">
        <v>8903.9600000000009</v>
      </c>
      <c r="AD434" s="849"/>
      <c r="AE434" s="855"/>
      <c r="AF434" s="846">
        <v>7547.8899999999994</v>
      </c>
      <c r="AG434" s="849"/>
      <c r="AH434" s="855"/>
      <c r="AI434" s="846">
        <v>11343.440000000002</v>
      </c>
      <c r="AJ434" s="849"/>
      <c r="AK434" s="855"/>
      <c r="AL434" s="846">
        <v>6454.65</v>
      </c>
      <c r="AM434" s="849"/>
      <c r="AN434" s="855"/>
      <c r="AO434" s="846">
        <v>9463.2599999999984</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49"/>
      <c r="D435" s="848"/>
      <c r="E435" s="846"/>
      <c r="F435" s="849"/>
      <c r="G435" s="848"/>
      <c r="H435" s="846"/>
      <c r="I435" s="849"/>
      <c r="J435" s="848"/>
      <c r="K435" s="846"/>
      <c r="L435" s="849"/>
      <c r="M435" s="848"/>
      <c r="N435" s="846"/>
      <c r="O435" s="849"/>
      <c r="P435" s="848"/>
      <c r="Q435" s="846"/>
      <c r="R435" s="849"/>
      <c r="S435" s="848"/>
      <c r="T435" s="846"/>
      <c r="U435" s="849"/>
      <c r="V435" s="848"/>
      <c r="W435" s="846"/>
      <c r="X435" s="849"/>
      <c r="Y435" s="848"/>
      <c r="Z435" s="846"/>
      <c r="AA435" s="849"/>
      <c r="AB435" s="848"/>
      <c r="AC435" s="846"/>
      <c r="AD435" s="849"/>
      <c r="AE435" s="848"/>
      <c r="AF435" s="846"/>
      <c r="AG435" s="849"/>
      <c r="AH435" s="848"/>
      <c r="AI435" s="846"/>
      <c r="AJ435" s="849"/>
      <c r="AK435" s="848"/>
      <c r="AL435" s="846"/>
      <c r="AM435" s="849"/>
      <c r="AN435" s="848"/>
      <c r="AO435" s="84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1215">
        <v>0.43044336690535884</v>
      </c>
      <c r="D436" s="1220"/>
      <c r="E436" s="1217">
        <v>3580933.4299999978</v>
      </c>
      <c r="F436" s="1215"/>
      <c r="G436" s="1220"/>
      <c r="H436" s="1217">
        <v>302609.61</v>
      </c>
      <c r="I436" s="1215"/>
      <c r="J436" s="1220"/>
      <c r="K436" s="1217">
        <v>267862.26</v>
      </c>
      <c r="L436" s="1215"/>
      <c r="M436" s="1220"/>
      <c r="N436" s="1217">
        <v>279171.52999999898</v>
      </c>
      <c r="O436" s="1215"/>
      <c r="P436" s="1220"/>
      <c r="Q436" s="1217">
        <v>312840.75</v>
      </c>
      <c r="R436" s="1215"/>
      <c r="S436" s="1220"/>
      <c r="T436" s="1217">
        <v>343419.359999999</v>
      </c>
      <c r="U436" s="1215"/>
      <c r="V436" s="1220"/>
      <c r="W436" s="1266">
        <v>280276.03999999998</v>
      </c>
      <c r="X436" s="1215"/>
      <c r="Y436" s="1220"/>
      <c r="Z436" s="1266">
        <v>280364.39999999898</v>
      </c>
      <c r="AA436" s="1215"/>
      <c r="AB436" s="1220"/>
      <c r="AC436" s="1266">
        <v>297973.28999999998</v>
      </c>
      <c r="AD436" s="1215"/>
      <c r="AE436" s="1220"/>
      <c r="AF436" s="1266">
        <v>266811.82</v>
      </c>
      <c r="AG436" s="1215"/>
      <c r="AH436" s="1220"/>
      <c r="AI436" s="1217">
        <v>350069.54</v>
      </c>
      <c r="AJ436" s="1215"/>
      <c r="AK436" s="1220"/>
      <c r="AL436" s="1217">
        <v>325979.96000000002</v>
      </c>
      <c r="AM436" s="1215"/>
      <c r="AN436" s="1220"/>
      <c r="AO436" s="1217">
        <v>273554.87</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1221"/>
      <c r="D437" s="1222"/>
      <c r="E437" s="1223">
        <v>208959.93</v>
      </c>
      <c r="F437" s="1221"/>
      <c r="G437" s="1222"/>
      <c r="H437" s="1223">
        <v>22331.040000000001</v>
      </c>
      <c r="I437" s="1221"/>
      <c r="J437" s="1222"/>
      <c r="K437" s="1223">
        <v>13701.99</v>
      </c>
      <c r="L437" s="1221"/>
      <c r="M437" s="1222"/>
      <c r="N437" s="1223">
        <v>19234.12</v>
      </c>
      <c r="O437" s="1221"/>
      <c r="P437" s="1222"/>
      <c r="Q437" s="1223">
        <v>33630.42</v>
      </c>
      <c r="R437" s="1221"/>
      <c r="S437" s="1222"/>
      <c r="T437" s="1223">
        <v>22624.880000000001</v>
      </c>
      <c r="U437" s="1221"/>
      <c r="V437" s="1222"/>
      <c r="W437" s="1223">
        <v>12184.25</v>
      </c>
      <c r="X437" s="1221"/>
      <c r="Y437" s="1222"/>
      <c r="Z437" s="1223">
        <v>14038.38</v>
      </c>
      <c r="AA437" s="1221"/>
      <c r="AB437" s="1222"/>
      <c r="AC437" s="1223">
        <v>16818.759999999998</v>
      </c>
      <c r="AD437" s="1221"/>
      <c r="AE437" s="1222"/>
      <c r="AF437" s="1223">
        <v>8161.31</v>
      </c>
      <c r="AG437" s="1221"/>
      <c r="AH437" s="1222"/>
      <c r="AI437" s="1223">
        <v>14192.39</v>
      </c>
      <c r="AJ437" s="1221"/>
      <c r="AK437" s="1222"/>
      <c r="AL437" s="1223">
        <v>23762.89</v>
      </c>
      <c r="AM437" s="1221"/>
      <c r="AN437" s="1222"/>
      <c r="AO437" s="1223">
        <v>8279.5</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49"/>
      <c r="D438" s="848"/>
      <c r="E438" s="846">
        <v>64448.639999999963</v>
      </c>
      <c r="F438" s="849"/>
      <c r="G438" s="848"/>
      <c r="H438" s="846">
        <v>13807.6</v>
      </c>
      <c r="I438" s="849"/>
      <c r="J438" s="848"/>
      <c r="K438" s="846">
        <v>9465.3699999999899</v>
      </c>
      <c r="L438" s="849"/>
      <c r="M438" s="848"/>
      <c r="N438" s="846">
        <v>5050.9399999999996</v>
      </c>
      <c r="O438" s="849"/>
      <c r="P438" s="848"/>
      <c r="Q438" s="846">
        <v>5140.28</v>
      </c>
      <c r="R438" s="849"/>
      <c r="S438" s="848"/>
      <c r="T438" s="846">
        <v>5109.3</v>
      </c>
      <c r="U438" s="849"/>
      <c r="V438" s="848"/>
      <c r="W438" s="846">
        <v>8329.58</v>
      </c>
      <c r="X438" s="849"/>
      <c r="Y438" s="848"/>
      <c r="Z438" s="846">
        <v>1819.6599999999901</v>
      </c>
      <c r="AA438" s="849"/>
      <c r="AB438" s="848"/>
      <c r="AC438" s="846">
        <v>4403.33</v>
      </c>
      <c r="AD438" s="849"/>
      <c r="AE438" s="848"/>
      <c r="AF438" s="846">
        <v>1672.6599999999901</v>
      </c>
      <c r="AG438" s="849"/>
      <c r="AH438" s="848"/>
      <c r="AI438" s="846">
        <v>3376.3199999999902</v>
      </c>
      <c r="AJ438" s="849"/>
      <c r="AK438" s="848"/>
      <c r="AL438" s="846">
        <v>4156.46</v>
      </c>
      <c r="AM438" s="849"/>
      <c r="AN438" s="848"/>
      <c r="AO438" s="846">
        <v>2117.14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52"/>
      <c r="D439" s="851"/>
      <c r="E439" s="840">
        <v>296675.02999999974</v>
      </c>
      <c r="F439" s="852"/>
      <c r="G439" s="851"/>
      <c r="H439" s="840">
        <v>22198.26</v>
      </c>
      <c r="I439" s="852"/>
      <c r="J439" s="851"/>
      <c r="K439" s="840">
        <v>24402.18</v>
      </c>
      <c r="L439" s="852"/>
      <c r="M439" s="851"/>
      <c r="N439" s="840">
        <v>21704.23</v>
      </c>
      <c r="O439" s="852"/>
      <c r="P439" s="851"/>
      <c r="Q439" s="840">
        <v>20967.38</v>
      </c>
      <c r="R439" s="852"/>
      <c r="S439" s="851"/>
      <c r="T439" s="840">
        <v>29334.55</v>
      </c>
      <c r="U439" s="852"/>
      <c r="V439" s="851"/>
      <c r="W439" s="840">
        <v>23912.94</v>
      </c>
      <c r="X439" s="852"/>
      <c r="Y439" s="851"/>
      <c r="Z439" s="840">
        <v>23078.729999999901</v>
      </c>
      <c r="AA439" s="852"/>
      <c r="AB439" s="851"/>
      <c r="AC439" s="840">
        <v>22915.199999999899</v>
      </c>
      <c r="AD439" s="852"/>
      <c r="AE439" s="851"/>
      <c r="AF439" s="840">
        <v>27013.200000000001</v>
      </c>
      <c r="AG439" s="852"/>
      <c r="AH439" s="851"/>
      <c r="AI439" s="840">
        <v>25497.749999999902</v>
      </c>
      <c r="AJ439" s="852"/>
      <c r="AK439" s="851"/>
      <c r="AL439" s="840">
        <v>29968.79</v>
      </c>
      <c r="AM439" s="852"/>
      <c r="AN439" s="851"/>
      <c r="AO439" s="840">
        <v>25681.82</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49"/>
      <c r="D440" s="848"/>
      <c r="E440" s="846">
        <v>293992.03999999969</v>
      </c>
      <c r="F440" s="849"/>
      <c r="G440" s="848"/>
      <c r="H440" s="846">
        <v>20272.469999999899</v>
      </c>
      <c r="I440" s="849"/>
      <c r="J440" s="848"/>
      <c r="K440" s="846">
        <v>24573.200000000001</v>
      </c>
      <c r="L440" s="849"/>
      <c r="M440" s="848"/>
      <c r="N440" s="846">
        <v>24782.19</v>
      </c>
      <c r="O440" s="849"/>
      <c r="P440" s="848"/>
      <c r="Q440" s="846">
        <v>24320.58</v>
      </c>
      <c r="R440" s="849"/>
      <c r="S440" s="848"/>
      <c r="T440" s="846">
        <v>29728.79</v>
      </c>
      <c r="U440" s="849"/>
      <c r="V440" s="848"/>
      <c r="W440" s="846">
        <v>19706.759999999998</v>
      </c>
      <c r="X440" s="849"/>
      <c r="Y440" s="848"/>
      <c r="Z440" s="846">
        <v>24085.59</v>
      </c>
      <c r="AA440" s="849"/>
      <c r="AB440" s="848"/>
      <c r="AC440" s="846">
        <v>21667.48</v>
      </c>
      <c r="AD440" s="849"/>
      <c r="AE440" s="848"/>
      <c r="AF440" s="846">
        <v>27694.129999999899</v>
      </c>
      <c r="AG440" s="849"/>
      <c r="AH440" s="848"/>
      <c r="AI440" s="846">
        <v>23344.81</v>
      </c>
      <c r="AJ440" s="849"/>
      <c r="AK440" s="848"/>
      <c r="AL440" s="846">
        <v>22303.769999999899</v>
      </c>
      <c r="AM440" s="849"/>
      <c r="AN440" s="848"/>
      <c r="AO440" s="846">
        <v>31512.27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49"/>
      <c r="D441" s="848"/>
      <c r="E441" s="846">
        <v>57544.75999999998</v>
      </c>
      <c r="F441" s="849"/>
      <c r="G441" s="848"/>
      <c r="H441" s="846">
        <v>5200.3099999999904</v>
      </c>
      <c r="I441" s="849"/>
      <c r="J441" s="848"/>
      <c r="K441" s="846">
        <v>3147.93</v>
      </c>
      <c r="L441" s="849"/>
      <c r="M441" s="848"/>
      <c r="N441" s="846">
        <v>3076.33</v>
      </c>
      <c r="O441" s="849"/>
      <c r="P441" s="848"/>
      <c r="Q441" s="846">
        <v>5632.16</v>
      </c>
      <c r="R441" s="849"/>
      <c r="S441" s="848"/>
      <c r="T441" s="846">
        <v>4762</v>
      </c>
      <c r="U441" s="849"/>
      <c r="V441" s="848"/>
      <c r="W441" s="846">
        <v>6656.17</v>
      </c>
      <c r="X441" s="849"/>
      <c r="Y441" s="848"/>
      <c r="Z441" s="846">
        <v>3092.1</v>
      </c>
      <c r="AA441" s="849"/>
      <c r="AB441" s="848"/>
      <c r="AC441" s="846">
        <v>2743.48</v>
      </c>
      <c r="AD441" s="849"/>
      <c r="AE441" s="848"/>
      <c r="AF441" s="846">
        <v>4770.67</v>
      </c>
      <c r="AG441" s="849"/>
      <c r="AH441" s="848"/>
      <c r="AI441" s="846">
        <v>7645.26</v>
      </c>
      <c r="AJ441" s="849"/>
      <c r="AK441" s="848"/>
      <c r="AL441" s="846">
        <v>5316.05</v>
      </c>
      <c r="AM441" s="849"/>
      <c r="AN441" s="848"/>
      <c r="AO441" s="846">
        <v>5502.2999999999902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856"/>
      <c r="D442" s="857"/>
      <c r="E442" s="858">
        <v>481589.27999999974</v>
      </c>
      <c r="F442" s="856"/>
      <c r="G442" s="857"/>
      <c r="H442" s="858">
        <v>38117.619999999901</v>
      </c>
      <c r="I442" s="856"/>
      <c r="J442" s="857"/>
      <c r="K442" s="858">
        <v>39617.289999999899</v>
      </c>
      <c r="L442" s="856"/>
      <c r="M442" s="857"/>
      <c r="N442" s="858">
        <v>49023.11</v>
      </c>
      <c r="O442" s="856"/>
      <c r="P442" s="857"/>
      <c r="Q442" s="858">
        <v>43461.11</v>
      </c>
      <c r="R442" s="856"/>
      <c r="S442" s="857"/>
      <c r="T442" s="858">
        <v>42256.72</v>
      </c>
      <c r="U442" s="856"/>
      <c r="V442" s="857"/>
      <c r="W442" s="858">
        <v>33962.620000000003</v>
      </c>
      <c r="X442" s="856"/>
      <c r="Y442" s="857"/>
      <c r="Z442" s="858">
        <v>44790.42</v>
      </c>
      <c r="AA442" s="856"/>
      <c r="AB442" s="857"/>
      <c r="AC442" s="858">
        <v>37294.83</v>
      </c>
      <c r="AD442" s="856"/>
      <c r="AE442" s="857"/>
      <c r="AF442" s="858">
        <v>42095.72</v>
      </c>
      <c r="AG442" s="856"/>
      <c r="AH442" s="857"/>
      <c r="AI442" s="858">
        <v>46876.289999999899</v>
      </c>
      <c r="AJ442" s="856"/>
      <c r="AK442" s="857"/>
      <c r="AL442" s="858">
        <v>45881.84</v>
      </c>
      <c r="AM442" s="856"/>
      <c r="AN442" s="857"/>
      <c r="AO442" s="858">
        <v>18211.71</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849"/>
      <c r="D443" s="848"/>
      <c r="E443" s="846">
        <v>0</v>
      </c>
      <c r="F443" s="849"/>
      <c r="G443" s="848"/>
      <c r="H443" s="846">
        <v>0</v>
      </c>
      <c r="I443" s="849"/>
      <c r="J443" s="848"/>
      <c r="K443" s="846">
        <v>0</v>
      </c>
      <c r="L443" s="849"/>
      <c r="M443" s="848"/>
      <c r="N443" s="846">
        <v>0</v>
      </c>
      <c r="O443" s="849"/>
      <c r="P443" s="848"/>
      <c r="Q443" s="846">
        <v>0</v>
      </c>
      <c r="R443" s="849"/>
      <c r="S443" s="848"/>
      <c r="T443" s="846">
        <v>0</v>
      </c>
      <c r="U443" s="849"/>
      <c r="V443" s="848"/>
      <c r="W443" s="846">
        <v>0</v>
      </c>
      <c r="X443" s="849"/>
      <c r="Y443" s="848"/>
      <c r="Z443" s="846">
        <v>0</v>
      </c>
      <c r="AA443" s="849"/>
      <c r="AB443" s="848"/>
      <c r="AC443" s="846">
        <v>0</v>
      </c>
      <c r="AD443" s="849"/>
      <c r="AE443" s="848"/>
      <c r="AF443" s="846">
        <v>0</v>
      </c>
      <c r="AG443" s="849"/>
      <c r="AH443" s="848"/>
      <c r="AI443" s="846">
        <v>0</v>
      </c>
      <c r="AJ443" s="849"/>
      <c r="AK443" s="848"/>
      <c r="AL443" s="846">
        <v>0</v>
      </c>
      <c r="AM443" s="849"/>
      <c r="AN443" s="848"/>
      <c r="AO443" s="84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49"/>
      <c r="D444" s="848"/>
      <c r="E444" s="846">
        <v>54549.529999999992</v>
      </c>
      <c r="F444" s="849"/>
      <c r="G444" s="848"/>
      <c r="H444" s="846">
        <v>3709.05</v>
      </c>
      <c r="I444" s="849"/>
      <c r="J444" s="848"/>
      <c r="K444" s="846">
        <v>7186.12</v>
      </c>
      <c r="L444" s="849"/>
      <c r="M444" s="848"/>
      <c r="N444" s="846">
        <v>4874.7699999999904</v>
      </c>
      <c r="O444" s="849"/>
      <c r="P444" s="848"/>
      <c r="Q444" s="846">
        <v>5855.42</v>
      </c>
      <c r="R444" s="849"/>
      <c r="S444" s="848"/>
      <c r="T444" s="846">
        <v>6967.67</v>
      </c>
      <c r="U444" s="849"/>
      <c r="V444" s="848"/>
      <c r="W444" s="846">
        <v>2070.06</v>
      </c>
      <c r="X444" s="849"/>
      <c r="Y444" s="848"/>
      <c r="Z444" s="846">
        <v>3095.58</v>
      </c>
      <c r="AA444" s="849"/>
      <c r="AB444" s="848"/>
      <c r="AC444" s="846">
        <v>7400.72</v>
      </c>
      <c r="AD444" s="849"/>
      <c r="AE444" s="848"/>
      <c r="AF444" s="846">
        <v>4524.0200000000004</v>
      </c>
      <c r="AG444" s="849"/>
      <c r="AH444" s="848"/>
      <c r="AI444" s="846">
        <v>4281.8</v>
      </c>
      <c r="AJ444" s="849"/>
      <c r="AK444" s="848"/>
      <c r="AL444" s="846">
        <v>2562.7399999999998</v>
      </c>
      <c r="AM444" s="849"/>
      <c r="AN444" s="848"/>
      <c r="AO444" s="846">
        <v>2021.58</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49"/>
      <c r="D445" s="848"/>
      <c r="E445" s="846">
        <v>10602.18</v>
      </c>
      <c r="F445" s="849"/>
      <c r="G445" s="848"/>
      <c r="H445" s="846">
        <v>1201.17</v>
      </c>
      <c r="I445" s="849"/>
      <c r="J445" s="848"/>
      <c r="K445" s="846">
        <v>967.33999999999901</v>
      </c>
      <c r="L445" s="849"/>
      <c r="M445" s="848"/>
      <c r="N445" s="846">
        <v>510.87</v>
      </c>
      <c r="O445" s="849"/>
      <c r="P445" s="848"/>
      <c r="Q445" s="846">
        <v>793.22</v>
      </c>
      <c r="R445" s="849"/>
      <c r="S445" s="848"/>
      <c r="T445" s="846">
        <v>785.83</v>
      </c>
      <c r="U445" s="849"/>
      <c r="V445" s="848"/>
      <c r="W445" s="846">
        <v>1429.5</v>
      </c>
      <c r="X445" s="849"/>
      <c r="Y445" s="848"/>
      <c r="Z445" s="846">
        <v>699.73</v>
      </c>
      <c r="AA445" s="849"/>
      <c r="AB445" s="848"/>
      <c r="AC445" s="846">
        <v>1109.3</v>
      </c>
      <c r="AD445" s="849"/>
      <c r="AE445" s="848"/>
      <c r="AF445" s="846">
        <v>1000.92</v>
      </c>
      <c r="AG445" s="849"/>
      <c r="AH445" s="848"/>
      <c r="AI445" s="846">
        <v>798.57</v>
      </c>
      <c r="AJ445" s="849"/>
      <c r="AK445" s="848"/>
      <c r="AL445" s="846">
        <v>373.79</v>
      </c>
      <c r="AM445" s="849"/>
      <c r="AN445" s="848"/>
      <c r="AO445" s="846">
        <v>931.94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49"/>
      <c r="D446" s="848"/>
      <c r="E446" s="846">
        <v>26496.91</v>
      </c>
      <c r="F446" s="849"/>
      <c r="G446" s="848"/>
      <c r="H446" s="846">
        <v>505.41999999999899</v>
      </c>
      <c r="I446" s="849"/>
      <c r="J446" s="848"/>
      <c r="K446" s="846">
        <v>3256.09</v>
      </c>
      <c r="L446" s="849"/>
      <c r="M446" s="848"/>
      <c r="N446" s="846">
        <v>2621.99</v>
      </c>
      <c r="O446" s="849"/>
      <c r="P446" s="848"/>
      <c r="Q446" s="846">
        <v>181.67</v>
      </c>
      <c r="R446" s="849"/>
      <c r="S446" s="848"/>
      <c r="T446" s="846">
        <v>3272.95</v>
      </c>
      <c r="U446" s="849"/>
      <c r="V446" s="848"/>
      <c r="W446" s="846">
        <v>2218.54</v>
      </c>
      <c r="X446" s="849"/>
      <c r="Y446" s="848"/>
      <c r="Z446" s="846">
        <v>4141.9799999999996</v>
      </c>
      <c r="AA446" s="849"/>
      <c r="AB446" s="848"/>
      <c r="AC446" s="846">
        <v>3126.17</v>
      </c>
      <c r="AD446" s="849"/>
      <c r="AE446" s="848"/>
      <c r="AF446" s="846">
        <v>936.06</v>
      </c>
      <c r="AG446" s="849"/>
      <c r="AH446" s="848"/>
      <c r="AI446" s="846">
        <v>184.2</v>
      </c>
      <c r="AJ446" s="849"/>
      <c r="AK446" s="848"/>
      <c r="AL446" s="846">
        <v>5108.1000000000004</v>
      </c>
      <c r="AM446" s="849"/>
      <c r="AN446" s="848"/>
      <c r="AO446" s="846">
        <v>943.74</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49"/>
      <c r="D447" s="848"/>
      <c r="E447" s="846">
        <v>10049.379999999999</v>
      </c>
      <c r="F447" s="849"/>
      <c r="G447" s="848"/>
      <c r="H447" s="846">
        <v>1008.77</v>
      </c>
      <c r="I447" s="849"/>
      <c r="J447" s="848"/>
      <c r="K447" s="846">
        <v>916.31</v>
      </c>
      <c r="L447" s="849"/>
      <c r="M447" s="848"/>
      <c r="N447" s="846">
        <v>773.05</v>
      </c>
      <c r="O447" s="849"/>
      <c r="P447" s="848"/>
      <c r="Q447" s="846">
        <v>801.81</v>
      </c>
      <c r="R447" s="849"/>
      <c r="S447" s="848"/>
      <c r="T447" s="846">
        <v>878.44</v>
      </c>
      <c r="U447" s="849"/>
      <c r="V447" s="848"/>
      <c r="W447" s="846">
        <v>750.67</v>
      </c>
      <c r="X447" s="849"/>
      <c r="Y447" s="848"/>
      <c r="Z447" s="846">
        <v>662.9</v>
      </c>
      <c r="AA447" s="849"/>
      <c r="AB447" s="848"/>
      <c r="AC447" s="846">
        <v>991.48</v>
      </c>
      <c r="AD447" s="849"/>
      <c r="AE447" s="848"/>
      <c r="AF447" s="846">
        <v>772.14</v>
      </c>
      <c r="AG447" s="849"/>
      <c r="AH447" s="848"/>
      <c r="AI447" s="846">
        <v>856.05</v>
      </c>
      <c r="AJ447" s="849"/>
      <c r="AK447" s="848"/>
      <c r="AL447" s="846">
        <v>866.82</v>
      </c>
      <c r="AM447" s="849"/>
      <c r="AN447" s="848"/>
      <c r="AO447" s="846">
        <v>770.93999999999903</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49"/>
      <c r="D448" s="848"/>
      <c r="E448" s="846">
        <v>-844.49999999999886</v>
      </c>
      <c r="F448" s="849"/>
      <c r="G448" s="848"/>
      <c r="H448" s="846">
        <v>1136.93</v>
      </c>
      <c r="I448" s="849"/>
      <c r="J448" s="848"/>
      <c r="K448" s="846">
        <v>1194.3599999999999</v>
      </c>
      <c r="L448" s="849"/>
      <c r="M448" s="848"/>
      <c r="N448" s="846">
        <v>1197.54</v>
      </c>
      <c r="O448" s="849"/>
      <c r="P448" s="848"/>
      <c r="Q448" s="846">
        <v>202.68</v>
      </c>
      <c r="R448" s="849"/>
      <c r="S448" s="848"/>
      <c r="T448" s="846">
        <v>342.94</v>
      </c>
      <c r="U448" s="849"/>
      <c r="V448" s="848"/>
      <c r="W448" s="846">
        <v>-708.26</v>
      </c>
      <c r="X448" s="849"/>
      <c r="Y448" s="848"/>
      <c r="Z448" s="846">
        <v>-207.98999999999899</v>
      </c>
      <c r="AA448" s="849"/>
      <c r="AB448" s="848"/>
      <c r="AC448" s="846">
        <v>587.33999999999901</v>
      </c>
      <c r="AD448" s="849"/>
      <c r="AE448" s="848"/>
      <c r="AF448" s="846">
        <v>-2048.06</v>
      </c>
      <c r="AG448" s="849"/>
      <c r="AH448" s="848"/>
      <c r="AI448" s="846">
        <v>-1053.5899999999999</v>
      </c>
      <c r="AJ448" s="849"/>
      <c r="AK448" s="848"/>
      <c r="AL448" s="846">
        <v>-440.849999999999</v>
      </c>
      <c r="AM448" s="849"/>
      <c r="AN448" s="848"/>
      <c r="AO448" s="846">
        <v>-1047.54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49"/>
      <c r="D449" s="848"/>
      <c r="E449" s="846">
        <v>6238.0300000000007</v>
      </c>
      <c r="F449" s="849"/>
      <c r="G449" s="848"/>
      <c r="H449" s="846">
        <v>279.45</v>
      </c>
      <c r="I449" s="849"/>
      <c r="J449" s="848"/>
      <c r="K449" s="846">
        <v>222.52</v>
      </c>
      <c r="L449" s="849"/>
      <c r="M449" s="848"/>
      <c r="N449" s="846">
        <v>222.53</v>
      </c>
      <c r="O449" s="849"/>
      <c r="P449" s="848"/>
      <c r="Q449" s="846">
        <v>378.38</v>
      </c>
      <c r="R449" s="849"/>
      <c r="S449" s="848"/>
      <c r="T449" s="846">
        <v>349</v>
      </c>
      <c r="U449" s="849"/>
      <c r="V449" s="848"/>
      <c r="W449" s="846">
        <v>196</v>
      </c>
      <c r="X449" s="849"/>
      <c r="Y449" s="848"/>
      <c r="Z449" s="846">
        <v>196</v>
      </c>
      <c r="AA449" s="849"/>
      <c r="AB449" s="848"/>
      <c r="AC449" s="846">
        <v>196</v>
      </c>
      <c r="AD449" s="849"/>
      <c r="AE449" s="848"/>
      <c r="AF449" s="846">
        <v>421</v>
      </c>
      <c r="AG449" s="849"/>
      <c r="AH449" s="848"/>
      <c r="AI449" s="846">
        <v>196</v>
      </c>
      <c r="AJ449" s="849"/>
      <c r="AK449" s="848"/>
      <c r="AL449" s="846">
        <v>1282.44</v>
      </c>
      <c r="AM449" s="849"/>
      <c r="AN449" s="848"/>
      <c r="AO449" s="846">
        <v>2298.71</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49"/>
      <c r="D450" s="848"/>
      <c r="E450" s="846">
        <v>41184.579999999958</v>
      </c>
      <c r="F450" s="849"/>
      <c r="G450" s="848"/>
      <c r="H450" s="846">
        <v>2782.3</v>
      </c>
      <c r="I450" s="849"/>
      <c r="J450" s="848"/>
      <c r="K450" s="846">
        <v>2184.52</v>
      </c>
      <c r="L450" s="849"/>
      <c r="M450" s="848"/>
      <c r="N450" s="846">
        <v>6179.78</v>
      </c>
      <c r="O450" s="849"/>
      <c r="P450" s="848"/>
      <c r="Q450" s="846">
        <v>6582.0099999999902</v>
      </c>
      <c r="R450" s="849"/>
      <c r="S450" s="848"/>
      <c r="T450" s="846">
        <v>314.8</v>
      </c>
      <c r="U450" s="849"/>
      <c r="V450" s="848"/>
      <c r="W450" s="846">
        <v>3800.6699999999901</v>
      </c>
      <c r="X450" s="849"/>
      <c r="Y450" s="848"/>
      <c r="Z450" s="846">
        <v>5885.7999999999902</v>
      </c>
      <c r="AA450" s="849"/>
      <c r="AB450" s="848"/>
      <c r="AC450" s="846">
        <v>2630.0299999999902</v>
      </c>
      <c r="AD450" s="849"/>
      <c r="AE450" s="848"/>
      <c r="AF450" s="846">
        <v>2606.9299999999998</v>
      </c>
      <c r="AG450" s="849"/>
      <c r="AH450" s="848"/>
      <c r="AI450" s="846">
        <v>1910.22</v>
      </c>
      <c r="AJ450" s="849"/>
      <c r="AK450" s="848"/>
      <c r="AL450" s="846">
        <v>3422.1</v>
      </c>
      <c r="AM450" s="849"/>
      <c r="AN450" s="848"/>
      <c r="AO450" s="846">
        <v>2885.42</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49"/>
      <c r="D451" s="848"/>
      <c r="E451" s="846">
        <v>106942.09000000001</v>
      </c>
      <c r="F451" s="849"/>
      <c r="G451" s="848"/>
      <c r="H451" s="846">
        <v>6237.92</v>
      </c>
      <c r="I451" s="849"/>
      <c r="J451" s="848"/>
      <c r="K451" s="846">
        <v>4811.93</v>
      </c>
      <c r="L451" s="849"/>
      <c r="M451" s="848"/>
      <c r="N451" s="846">
        <v>8311.6</v>
      </c>
      <c r="O451" s="849"/>
      <c r="P451" s="848"/>
      <c r="Q451" s="846">
        <v>10241.870000000001</v>
      </c>
      <c r="R451" s="849"/>
      <c r="S451" s="848"/>
      <c r="T451" s="846">
        <v>10132.540000000001</v>
      </c>
      <c r="U451" s="849"/>
      <c r="V451" s="848"/>
      <c r="W451" s="846">
        <v>7830.32</v>
      </c>
      <c r="X451" s="849"/>
      <c r="Y451" s="848"/>
      <c r="Z451" s="846">
        <v>8670.7099999999991</v>
      </c>
      <c r="AA451" s="849"/>
      <c r="AB451" s="848"/>
      <c r="AC451" s="846">
        <v>8440.16</v>
      </c>
      <c r="AD451" s="849"/>
      <c r="AE451" s="848"/>
      <c r="AF451" s="846">
        <v>8925.4599999999991</v>
      </c>
      <c r="AG451" s="849"/>
      <c r="AH451" s="848"/>
      <c r="AI451" s="846">
        <v>10323.16</v>
      </c>
      <c r="AJ451" s="849"/>
      <c r="AK451" s="848"/>
      <c r="AL451" s="846">
        <v>14139.62</v>
      </c>
      <c r="AM451" s="849"/>
      <c r="AN451" s="848"/>
      <c r="AO451" s="846">
        <v>8876.7999999999993</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49"/>
      <c r="D452" s="848"/>
      <c r="E452" s="846">
        <v>0</v>
      </c>
      <c r="F452" s="849"/>
      <c r="G452" s="848"/>
      <c r="H452" s="846"/>
      <c r="I452" s="849"/>
      <c r="J452" s="848"/>
      <c r="K452" s="846"/>
      <c r="L452" s="849"/>
      <c r="M452" s="848"/>
      <c r="N452" s="846"/>
      <c r="O452" s="849"/>
      <c r="P452" s="848"/>
      <c r="Q452" s="846"/>
      <c r="R452" s="849"/>
      <c r="S452" s="848"/>
      <c r="T452" s="846"/>
      <c r="U452" s="849"/>
      <c r="V452" s="848"/>
      <c r="W452" s="846"/>
      <c r="X452" s="849"/>
      <c r="Y452" s="848"/>
      <c r="Z452" s="846"/>
      <c r="AA452" s="849"/>
      <c r="AB452" s="848"/>
      <c r="AC452" s="846"/>
      <c r="AD452" s="849"/>
      <c r="AE452" s="848"/>
      <c r="AF452" s="846"/>
      <c r="AG452" s="849"/>
      <c r="AH452" s="848"/>
      <c r="AI452" s="846"/>
      <c r="AJ452" s="849"/>
      <c r="AK452" s="848"/>
      <c r="AL452" s="846"/>
      <c r="AM452" s="849"/>
      <c r="AN452" s="848"/>
      <c r="AO452" s="84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49"/>
      <c r="D453" s="848"/>
      <c r="E453" s="846">
        <v>0</v>
      </c>
      <c r="F453" s="849"/>
      <c r="G453" s="848"/>
      <c r="H453" s="846"/>
      <c r="I453" s="849"/>
      <c r="J453" s="848"/>
      <c r="K453" s="846"/>
      <c r="L453" s="849"/>
      <c r="M453" s="848"/>
      <c r="N453" s="846"/>
      <c r="O453" s="849"/>
      <c r="P453" s="848"/>
      <c r="Q453" s="846"/>
      <c r="R453" s="849"/>
      <c r="S453" s="848"/>
      <c r="T453" s="846"/>
      <c r="U453" s="849"/>
      <c r="V453" s="848"/>
      <c r="W453" s="846"/>
      <c r="X453" s="849"/>
      <c r="Y453" s="848"/>
      <c r="Z453" s="846"/>
      <c r="AA453" s="849"/>
      <c r="AB453" s="848"/>
      <c r="AC453" s="846"/>
      <c r="AD453" s="849"/>
      <c r="AE453" s="848"/>
      <c r="AF453" s="846"/>
      <c r="AG453" s="849"/>
      <c r="AH453" s="848"/>
      <c r="AI453" s="846"/>
      <c r="AJ453" s="849"/>
      <c r="AK453" s="848"/>
      <c r="AL453" s="846"/>
      <c r="AM453" s="849"/>
      <c r="AN453" s="848"/>
      <c r="AO453" s="84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49"/>
      <c r="D454" s="848"/>
      <c r="E454" s="846"/>
      <c r="F454" s="849"/>
      <c r="G454" s="848"/>
      <c r="H454" s="846"/>
      <c r="I454" s="849"/>
      <c r="J454" s="848"/>
      <c r="K454" s="846"/>
      <c r="L454" s="849"/>
      <c r="M454" s="848"/>
      <c r="N454" s="846"/>
      <c r="O454" s="849"/>
      <c r="P454" s="848"/>
      <c r="Q454" s="846"/>
      <c r="R454" s="849"/>
      <c r="S454" s="848"/>
      <c r="T454" s="846"/>
      <c r="U454" s="849"/>
      <c r="V454" s="848"/>
      <c r="W454" s="846"/>
      <c r="X454" s="849"/>
      <c r="Y454" s="848"/>
      <c r="Z454" s="846"/>
      <c r="AA454" s="849"/>
      <c r="AB454" s="848"/>
      <c r="AC454" s="846"/>
      <c r="AD454" s="849"/>
      <c r="AE454" s="848"/>
      <c r="AF454" s="846"/>
      <c r="AG454" s="849"/>
      <c r="AH454" s="848"/>
      <c r="AI454" s="846"/>
      <c r="AJ454" s="849"/>
      <c r="AK454" s="848"/>
      <c r="AL454" s="846"/>
      <c r="AM454" s="849"/>
      <c r="AN454" s="848"/>
      <c r="AO454" s="84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1215">
        <v>0.19935005617708909</v>
      </c>
      <c r="D455" s="1218"/>
      <c r="E455" s="1217">
        <v>1658427.8799999987</v>
      </c>
      <c r="F455" s="1215"/>
      <c r="G455" s="1218"/>
      <c r="H455" s="1217">
        <v>138788.31</v>
      </c>
      <c r="I455" s="1215"/>
      <c r="J455" s="1218"/>
      <c r="K455" s="1217">
        <v>135647.15</v>
      </c>
      <c r="L455" s="1215"/>
      <c r="M455" s="1218"/>
      <c r="N455" s="1217">
        <v>147563.04999999999</v>
      </c>
      <c r="O455" s="1215"/>
      <c r="P455" s="1218"/>
      <c r="Q455" s="1217">
        <v>158188.99</v>
      </c>
      <c r="R455" s="1215"/>
      <c r="S455" s="1218"/>
      <c r="T455" s="1217">
        <v>156860.41</v>
      </c>
      <c r="U455" s="1215"/>
      <c r="V455" s="1218"/>
      <c r="W455" s="1266">
        <v>122339.82</v>
      </c>
      <c r="X455" s="1215"/>
      <c r="Y455" s="1218"/>
      <c r="Z455" s="1266">
        <v>134049.59</v>
      </c>
      <c r="AA455" s="1215"/>
      <c r="AB455" s="1218"/>
      <c r="AC455" s="1266">
        <v>130324.28</v>
      </c>
      <c r="AD455" s="1215"/>
      <c r="AE455" s="1218"/>
      <c r="AF455" s="1266">
        <v>128546.16</v>
      </c>
      <c r="AG455" s="1215"/>
      <c r="AH455" s="1218"/>
      <c r="AI455" s="1217">
        <v>138429.22999999899</v>
      </c>
      <c r="AJ455" s="1215"/>
      <c r="AK455" s="1218"/>
      <c r="AL455" s="1217">
        <v>158704.56</v>
      </c>
      <c r="AM455" s="1215"/>
      <c r="AN455" s="1218"/>
      <c r="AO455" s="1217">
        <v>108986.33</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49"/>
      <c r="D456" s="848"/>
      <c r="E456" s="853">
        <v>422000</v>
      </c>
      <c r="F456" s="849"/>
      <c r="G456" s="848"/>
      <c r="H456" s="853">
        <v>36000</v>
      </c>
      <c r="I456" s="849"/>
      <c r="J456" s="848"/>
      <c r="K456" s="853">
        <v>36000</v>
      </c>
      <c r="L456" s="849"/>
      <c r="M456" s="848"/>
      <c r="N456" s="853">
        <v>36000</v>
      </c>
      <c r="O456" s="849"/>
      <c r="P456" s="848"/>
      <c r="Q456" s="853">
        <v>36000</v>
      </c>
      <c r="R456" s="849"/>
      <c r="S456" s="848"/>
      <c r="T456" s="853">
        <v>36000</v>
      </c>
      <c r="U456" s="849"/>
      <c r="V456" s="848"/>
      <c r="W456" s="853">
        <v>36000</v>
      </c>
      <c r="X456" s="849"/>
      <c r="Y456" s="848"/>
      <c r="Z456" s="853">
        <v>36000</v>
      </c>
      <c r="AA456" s="849"/>
      <c r="AB456" s="848"/>
      <c r="AC456" s="853">
        <v>36000</v>
      </c>
      <c r="AD456" s="849"/>
      <c r="AE456" s="848"/>
      <c r="AF456" s="853">
        <v>36000</v>
      </c>
      <c r="AG456" s="849"/>
      <c r="AH456" s="848"/>
      <c r="AI456" s="1269">
        <v>36000</v>
      </c>
      <c r="AJ456" s="849"/>
      <c r="AK456" s="848"/>
      <c r="AL456" s="1269">
        <v>36000</v>
      </c>
      <c r="AM456" s="849"/>
      <c r="AN456" s="848"/>
      <c r="AO456" s="1269">
        <v>26000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49"/>
      <c r="D457" s="848"/>
      <c r="E457" s="853">
        <v>174764.63</v>
      </c>
      <c r="F457" s="849"/>
      <c r="G457" s="848"/>
      <c r="H457" s="853">
        <v>5423</v>
      </c>
      <c r="I457" s="849"/>
      <c r="J457" s="848"/>
      <c r="K457" s="853">
        <v>5423</v>
      </c>
      <c r="L457" s="849"/>
      <c r="M457" s="848"/>
      <c r="N457" s="853">
        <v>5423</v>
      </c>
      <c r="O457" s="849"/>
      <c r="P457" s="848"/>
      <c r="Q457" s="853">
        <v>5423</v>
      </c>
      <c r="R457" s="849"/>
      <c r="S457" s="848"/>
      <c r="T457" s="853">
        <v>5423</v>
      </c>
      <c r="U457" s="849"/>
      <c r="V457" s="848"/>
      <c r="W457" s="853">
        <v>5423</v>
      </c>
      <c r="X457" s="849"/>
      <c r="Y457" s="848"/>
      <c r="Z457" s="853">
        <v>5423</v>
      </c>
      <c r="AA457" s="849"/>
      <c r="AB457" s="848"/>
      <c r="AC457" s="853">
        <v>115111.63</v>
      </c>
      <c r="AD457" s="849"/>
      <c r="AE457" s="848"/>
      <c r="AF457" s="853">
        <v>5423</v>
      </c>
      <c r="AG457" s="849"/>
      <c r="AH457" s="848"/>
      <c r="AI457" s="1269">
        <v>5423</v>
      </c>
      <c r="AJ457" s="849"/>
      <c r="AK457" s="848"/>
      <c r="AL457" s="1269">
        <v>5423</v>
      </c>
      <c r="AM457" s="849"/>
      <c r="AN457" s="848"/>
      <c r="AO457" s="1269">
        <v>5423</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52"/>
      <c r="D458" s="851"/>
      <c r="E458" s="859">
        <v>45908</v>
      </c>
      <c r="F458" s="852"/>
      <c r="G458" s="851"/>
      <c r="H458" s="859">
        <v>3609</v>
      </c>
      <c r="I458" s="852"/>
      <c r="J458" s="851"/>
      <c r="K458" s="859">
        <v>4909</v>
      </c>
      <c r="L458" s="852"/>
      <c r="M458" s="851"/>
      <c r="N458" s="859">
        <v>4909</v>
      </c>
      <c r="O458" s="852"/>
      <c r="P458" s="851"/>
      <c r="Q458" s="859">
        <v>3609</v>
      </c>
      <c r="R458" s="852"/>
      <c r="S458" s="851"/>
      <c r="T458" s="859">
        <v>3609</v>
      </c>
      <c r="U458" s="852"/>
      <c r="V458" s="851"/>
      <c r="W458" s="859">
        <v>3609</v>
      </c>
      <c r="X458" s="852"/>
      <c r="Y458" s="851"/>
      <c r="Z458" s="859">
        <v>3609</v>
      </c>
      <c r="AA458" s="852"/>
      <c r="AB458" s="851"/>
      <c r="AC458" s="859">
        <v>3609</v>
      </c>
      <c r="AD458" s="852"/>
      <c r="AE458" s="851"/>
      <c r="AF458" s="859">
        <v>3609</v>
      </c>
      <c r="AG458" s="852"/>
      <c r="AH458" s="851"/>
      <c r="AI458" s="1270">
        <v>3609</v>
      </c>
      <c r="AJ458" s="852"/>
      <c r="AK458" s="851"/>
      <c r="AL458" s="1270">
        <v>3609</v>
      </c>
      <c r="AM458" s="852"/>
      <c r="AN458" s="851"/>
      <c r="AO458" s="1270">
        <v>3609</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49"/>
      <c r="D459" s="848"/>
      <c r="E459" s="853">
        <v>0</v>
      </c>
      <c r="F459" s="849"/>
      <c r="G459" s="848"/>
      <c r="H459" s="853">
        <v>0</v>
      </c>
      <c r="I459" s="849"/>
      <c r="J459" s="848"/>
      <c r="K459" s="853">
        <v>0</v>
      </c>
      <c r="L459" s="849"/>
      <c r="M459" s="848"/>
      <c r="N459" s="853">
        <v>0</v>
      </c>
      <c r="O459" s="849"/>
      <c r="P459" s="848"/>
      <c r="Q459" s="853">
        <v>0</v>
      </c>
      <c r="R459" s="849"/>
      <c r="S459" s="848"/>
      <c r="T459" s="853">
        <v>0</v>
      </c>
      <c r="U459" s="849"/>
      <c r="V459" s="848"/>
      <c r="W459" s="853">
        <v>0</v>
      </c>
      <c r="X459" s="849"/>
      <c r="Y459" s="848"/>
      <c r="Z459" s="853">
        <v>0</v>
      </c>
      <c r="AA459" s="849"/>
      <c r="AB459" s="848"/>
      <c r="AC459" s="853">
        <v>0</v>
      </c>
      <c r="AD459" s="849"/>
      <c r="AE459" s="848"/>
      <c r="AF459" s="853">
        <v>0</v>
      </c>
      <c r="AG459" s="849"/>
      <c r="AH459" s="848"/>
      <c r="AI459" s="1269">
        <v>0</v>
      </c>
      <c r="AJ459" s="849"/>
      <c r="AK459" s="848"/>
      <c r="AL459" s="1269">
        <v>0</v>
      </c>
      <c r="AM459" s="849"/>
      <c r="AN459" s="848"/>
      <c r="AO459" s="1269">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52"/>
      <c r="D460" s="851"/>
      <c r="E460" s="859">
        <v>52131</v>
      </c>
      <c r="F460" s="852"/>
      <c r="G460" s="851"/>
      <c r="H460" s="859">
        <v>4344.25</v>
      </c>
      <c r="I460" s="852"/>
      <c r="J460" s="851"/>
      <c r="K460" s="859">
        <v>4344.25</v>
      </c>
      <c r="L460" s="852"/>
      <c r="M460" s="851"/>
      <c r="N460" s="859">
        <v>4344.25</v>
      </c>
      <c r="O460" s="852"/>
      <c r="P460" s="851"/>
      <c r="Q460" s="859">
        <v>4344.25</v>
      </c>
      <c r="R460" s="852"/>
      <c r="S460" s="851"/>
      <c r="T460" s="859">
        <v>4344.25</v>
      </c>
      <c r="U460" s="852"/>
      <c r="V460" s="851"/>
      <c r="W460" s="859">
        <v>4344.25</v>
      </c>
      <c r="X460" s="852"/>
      <c r="Y460" s="851"/>
      <c r="Z460" s="859">
        <v>4344.25</v>
      </c>
      <c r="AA460" s="852"/>
      <c r="AB460" s="851"/>
      <c r="AC460" s="859">
        <v>4344.25</v>
      </c>
      <c r="AD460" s="852"/>
      <c r="AE460" s="851"/>
      <c r="AF460" s="859">
        <v>4344.25</v>
      </c>
      <c r="AG460" s="852"/>
      <c r="AH460" s="851"/>
      <c r="AI460" s="1270">
        <v>4344.25</v>
      </c>
      <c r="AJ460" s="852"/>
      <c r="AK460" s="851"/>
      <c r="AL460" s="1270">
        <v>4344.25</v>
      </c>
      <c r="AM460" s="852"/>
      <c r="AN460" s="851"/>
      <c r="AO460" s="1270">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49"/>
      <c r="D461" s="848"/>
      <c r="E461" s="853">
        <v>80669.299999999988</v>
      </c>
      <c r="F461" s="849"/>
      <c r="G461" s="848"/>
      <c r="H461" s="853">
        <v>10274.790000000001</v>
      </c>
      <c r="I461" s="849"/>
      <c r="J461" s="848"/>
      <c r="K461" s="853">
        <v>8639.25</v>
      </c>
      <c r="L461" s="849"/>
      <c r="M461" s="848"/>
      <c r="N461" s="853">
        <v>7750.01</v>
      </c>
      <c r="O461" s="849"/>
      <c r="P461" s="848"/>
      <c r="Q461" s="853">
        <v>5719.9699999999903</v>
      </c>
      <c r="R461" s="849"/>
      <c r="S461" s="848"/>
      <c r="T461" s="853">
        <v>5868.07</v>
      </c>
      <c r="U461" s="849"/>
      <c r="V461" s="848"/>
      <c r="W461" s="853">
        <v>4379.12</v>
      </c>
      <c r="X461" s="849"/>
      <c r="Y461" s="848"/>
      <c r="Z461" s="853">
        <v>4921.3999999999996</v>
      </c>
      <c r="AA461" s="849"/>
      <c r="AB461" s="848"/>
      <c r="AC461" s="853">
        <v>4884.34</v>
      </c>
      <c r="AD461" s="849"/>
      <c r="AE461" s="848"/>
      <c r="AF461" s="853">
        <v>5126.26</v>
      </c>
      <c r="AG461" s="849"/>
      <c r="AH461" s="848"/>
      <c r="AI461" s="1269">
        <v>9576.2099999999991</v>
      </c>
      <c r="AJ461" s="849"/>
      <c r="AK461" s="848"/>
      <c r="AL461" s="1269">
        <v>6260.74</v>
      </c>
      <c r="AM461" s="849"/>
      <c r="AN461" s="848"/>
      <c r="AO461" s="1269">
        <v>7269.1399999999903</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49"/>
      <c r="D462" s="848"/>
      <c r="E462" s="853">
        <v>87317.969999999943</v>
      </c>
      <c r="F462" s="849"/>
      <c r="G462" s="848"/>
      <c r="H462" s="853">
        <v>7323.95</v>
      </c>
      <c r="I462" s="849"/>
      <c r="J462" s="848"/>
      <c r="K462" s="853">
        <v>6940.67</v>
      </c>
      <c r="L462" s="849"/>
      <c r="M462" s="848"/>
      <c r="N462" s="853">
        <v>6423.3299999999899</v>
      </c>
      <c r="O462" s="849"/>
      <c r="P462" s="848"/>
      <c r="Q462" s="853">
        <v>6423.3299999999899</v>
      </c>
      <c r="R462" s="849"/>
      <c r="S462" s="848"/>
      <c r="T462" s="853">
        <v>7014.57</v>
      </c>
      <c r="U462" s="849"/>
      <c r="V462" s="848"/>
      <c r="W462" s="853">
        <v>7310.21</v>
      </c>
      <c r="X462" s="849"/>
      <c r="Y462" s="848"/>
      <c r="Z462" s="853">
        <v>10733.28</v>
      </c>
      <c r="AA462" s="849"/>
      <c r="AB462" s="848"/>
      <c r="AC462" s="853">
        <v>6642.33</v>
      </c>
      <c r="AD462" s="849"/>
      <c r="AE462" s="848"/>
      <c r="AF462" s="853">
        <v>6423.3299999999899</v>
      </c>
      <c r="AG462" s="849"/>
      <c r="AH462" s="848"/>
      <c r="AI462" s="1269">
        <v>6423.3299999999899</v>
      </c>
      <c r="AJ462" s="849"/>
      <c r="AK462" s="848"/>
      <c r="AL462" s="1269">
        <v>9236.31</v>
      </c>
      <c r="AM462" s="849"/>
      <c r="AN462" s="848"/>
      <c r="AO462" s="1269">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52"/>
      <c r="D463" s="851"/>
      <c r="E463" s="859">
        <v>6940.2999999999993</v>
      </c>
      <c r="F463" s="852"/>
      <c r="G463" s="851"/>
      <c r="H463" s="859">
        <v>0</v>
      </c>
      <c r="I463" s="852"/>
      <c r="J463" s="851"/>
      <c r="K463" s="859">
        <v>486.24</v>
      </c>
      <c r="L463" s="852"/>
      <c r="M463" s="851"/>
      <c r="N463" s="859">
        <v>1668.09</v>
      </c>
      <c r="O463" s="852"/>
      <c r="P463" s="851"/>
      <c r="Q463" s="859">
        <v>74.7</v>
      </c>
      <c r="R463" s="852"/>
      <c r="S463" s="851"/>
      <c r="T463" s="859">
        <v>1660.02</v>
      </c>
      <c r="U463" s="852"/>
      <c r="V463" s="851"/>
      <c r="W463" s="859">
        <v>979.94</v>
      </c>
      <c r="X463" s="852"/>
      <c r="Y463" s="851"/>
      <c r="Z463" s="859">
        <v>764.9</v>
      </c>
      <c r="AA463" s="852"/>
      <c r="AB463" s="851"/>
      <c r="AC463" s="859">
        <v>27.4</v>
      </c>
      <c r="AD463" s="852"/>
      <c r="AE463" s="851"/>
      <c r="AF463" s="859">
        <v>342.85</v>
      </c>
      <c r="AG463" s="852"/>
      <c r="AH463" s="851"/>
      <c r="AI463" s="1270">
        <v>265</v>
      </c>
      <c r="AJ463" s="852"/>
      <c r="AK463" s="851"/>
      <c r="AL463" s="1270">
        <v>502.05</v>
      </c>
      <c r="AM463" s="852"/>
      <c r="AN463" s="851"/>
      <c r="AO463" s="1270">
        <v>169.11</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49"/>
      <c r="D464" s="848"/>
      <c r="E464" s="853">
        <v>11988.230000000003</v>
      </c>
      <c r="F464" s="849"/>
      <c r="G464" s="848"/>
      <c r="H464" s="853">
        <v>1566.26</v>
      </c>
      <c r="I464" s="849"/>
      <c r="J464" s="848"/>
      <c r="K464" s="853">
        <v>805.57</v>
      </c>
      <c r="L464" s="849"/>
      <c r="M464" s="848"/>
      <c r="N464" s="853">
        <v>868.6</v>
      </c>
      <c r="O464" s="849"/>
      <c r="P464" s="848"/>
      <c r="Q464" s="853">
        <v>862.14</v>
      </c>
      <c r="R464" s="849"/>
      <c r="S464" s="848"/>
      <c r="T464" s="853">
        <v>843.96</v>
      </c>
      <c r="U464" s="849"/>
      <c r="V464" s="848"/>
      <c r="W464" s="853">
        <v>843.96</v>
      </c>
      <c r="X464" s="849"/>
      <c r="Y464" s="848"/>
      <c r="Z464" s="853">
        <v>1794.64</v>
      </c>
      <c r="AA464" s="849"/>
      <c r="AB464" s="848"/>
      <c r="AC464" s="853">
        <v>1276</v>
      </c>
      <c r="AD464" s="849"/>
      <c r="AE464" s="848"/>
      <c r="AF464" s="853">
        <v>907.04</v>
      </c>
      <c r="AG464" s="849"/>
      <c r="AH464" s="848"/>
      <c r="AI464" s="1269">
        <v>1242.0999999999999</v>
      </c>
      <c r="AJ464" s="849"/>
      <c r="AK464" s="848"/>
      <c r="AL464" s="1269">
        <v>977.96</v>
      </c>
      <c r="AM464" s="849"/>
      <c r="AN464" s="848"/>
      <c r="AO464" s="1269">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49"/>
      <c r="D465" s="848"/>
      <c r="E465" s="853">
        <v>0</v>
      </c>
      <c r="F465" s="849"/>
      <c r="G465" s="848"/>
      <c r="H465" s="853">
        <v>0</v>
      </c>
      <c r="I465" s="849"/>
      <c r="J465" s="848"/>
      <c r="K465" s="853">
        <v>0</v>
      </c>
      <c r="L465" s="849"/>
      <c r="M465" s="848"/>
      <c r="N465" s="853">
        <v>0</v>
      </c>
      <c r="O465" s="849"/>
      <c r="P465" s="848"/>
      <c r="Q465" s="853">
        <v>0</v>
      </c>
      <c r="R465" s="849"/>
      <c r="S465" s="848"/>
      <c r="T465" s="853">
        <v>0</v>
      </c>
      <c r="U465" s="849"/>
      <c r="V465" s="848"/>
      <c r="W465" s="853">
        <v>0</v>
      </c>
      <c r="X465" s="849"/>
      <c r="Y465" s="848"/>
      <c r="Z465" s="853">
        <v>0</v>
      </c>
      <c r="AA465" s="849"/>
      <c r="AB465" s="848"/>
      <c r="AC465" s="853">
        <v>0</v>
      </c>
      <c r="AD465" s="849"/>
      <c r="AE465" s="848"/>
      <c r="AF465" s="853">
        <v>0</v>
      </c>
      <c r="AG465" s="849"/>
      <c r="AH465" s="848"/>
      <c r="AI465" s="1269">
        <v>0</v>
      </c>
      <c r="AJ465" s="849"/>
      <c r="AK465" s="848"/>
      <c r="AL465" s="1269">
        <v>0</v>
      </c>
      <c r="AM465" s="849"/>
      <c r="AN465" s="848"/>
      <c r="AO465" s="1269">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49"/>
      <c r="D466" s="848"/>
      <c r="E466" s="846"/>
      <c r="F466" s="849"/>
      <c r="G466" s="848"/>
      <c r="H466" s="846"/>
      <c r="I466" s="849"/>
      <c r="J466" s="848"/>
      <c r="K466" s="846"/>
      <c r="L466" s="849"/>
      <c r="M466" s="848"/>
      <c r="N466" s="846"/>
      <c r="O466" s="849"/>
      <c r="P466" s="848"/>
      <c r="Q466" s="846"/>
      <c r="R466" s="849"/>
      <c r="S466" s="848"/>
      <c r="T466" s="846"/>
      <c r="U466" s="849"/>
      <c r="V466" s="848"/>
      <c r="W466" s="846"/>
      <c r="X466" s="849"/>
      <c r="Y466" s="848"/>
      <c r="Z466" s="846"/>
      <c r="AA466" s="849"/>
      <c r="AB466" s="848"/>
      <c r="AC466" s="846"/>
      <c r="AD466" s="849"/>
      <c r="AE466" s="848"/>
      <c r="AF466" s="846"/>
      <c r="AG466" s="849"/>
      <c r="AH466" s="848"/>
      <c r="AI466" s="846"/>
      <c r="AJ466" s="849"/>
      <c r="AK466" s="848"/>
      <c r="AL466" s="846"/>
      <c r="AM466" s="849"/>
      <c r="AN466" s="848"/>
      <c r="AO466" s="84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49"/>
      <c r="D467" s="848"/>
      <c r="E467" s="846"/>
      <c r="F467" s="849"/>
      <c r="G467" s="848"/>
      <c r="H467" s="846"/>
      <c r="I467" s="849"/>
      <c r="J467" s="848"/>
      <c r="K467" s="846"/>
      <c r="L467" s="849"/>
      <c r="M467" s="848"/>
      <c r="N467" s="846"/>
      <c r="O467" s="849"/>
      <c r="P467" s="848"/>
      <c r="Q467" s="846"/>
      <c r="R467" s="849"/>
      <c r="S467" s="848"/>
      <c r="T467" s="846"/>
      <c r="U467" s="849"/>
      <c r="V467" s="848"/>
      <c r="W467" s="846"/>
      <c r="X467" s="849"/>
      <c r="Y467" s="848"/>
      <c r="Z467" s="846"/>
      <c r="AA467" s="849"/>
      <c r="AB467" s="848"/>
      <c r="AC467" s="846"/>
      <c r="AD467" s="849"/>
      <c r="AE467" s="848"/>
      <c r="AF467" s="846"/>
      <c r="AG467" s="849"/>
      <c r="AH467" s="848"/>
      <c r="AI467" s="846"/>
      <c r="AJ467" s="849"/>
      <c r="AK467" s="848"/>
      <c r="AL467" s="846"/>
      <c r="AM467" s="849"/>
      <c r="AN467" s="848"/>
      <c r="AO467" s="84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49"/>
      <c r="D468" s="848"/>
      <c r="E468" s="846"/>
      <c r="F468" s="849"/>
      <c r="G468" s="848"/>
      <c r="H468" s="846"/>
      <c r="I468" s="849"/>
      <c r="J468" s="848"/>
      <c r="K468" s="846"/>
      <c r="L468" s="849"/>
      <c r="M468" s="848"/>
      <c r="N468" s="846"/>
      <c r="O468" s="849"/>
      <c r="P468" s="848"/>
      <c r="Q468" s="846"/>
      <c r="R468" s="849"/>
      <c r="S468" s="848"/>
      <c r="T468" s="846"/>
      <c r="U468" s="849"/>
      <c r="V468" s="848"/>
      <c r="W468" s="846"/>
      <c r="X468" s="849"/>
      <c r="Y468" s="848"/>
      <c r="Z468" s="846"/>
      <c r="AA468" s="849"/>
      <c r="AB468" s="848"/>
      <c r="AC468" s="846"/>
      <c r="AD468" s="849"/>
      <c r="AE468" s="848"/>
      <c r="AF468" s="846"/>
      <c r="AG468" s="849"/>
      <c r="AH468" s="848"/>
      <c r="AI468" s="846"/>
      <c r="AJ468" s="849"/>
      <c r="AK468" s="848"/>
      <c r="AL468" s="846"/>
      <c r="AM468" s="849"/>
      <c r="AN468" s="848"/>
      <c r="AO468" s="84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1215">
        <v>0.10598641039665294</v>
      </c>
      <c r="D469" s="1218"/>
      <c r="E469" s="1217">
        <v>881719.42999999993</v>
      </c>
      <c r="F469" s="1215"/>
      <c r="G469" s="1218"/>
      <c r="H469" s="1217">
        <v>68541.25</v>
      </c>
      <c r="I469" s="1215"/>
      <c r="J469" s="1218"/>
      <c r="K469" s="1217">
        <v>67547.98000000001</v>
      </c>
      <c r="L469" s="1215"/>
      <c r="M469" s="1218"/>
      <c r="N469" s="1217">
        <v>67386.28</v>
      </c>
      <c r="O469" s="1215"/>
      <c r="P469" s="1218"/>
      <c r="Q469" s="1217">
        <v>62456.38999999997</v>
      </c>
      <c r="R469" s="1215"/>
      <c r="S469" s="1218"/>
      <c r="T469" s="1217">
        <v>64762.869999999995</v>
      </c>
      <c r="U469" s="1215"/>
      <c r="V469" s="1218"/>
      <c r="W469" s="1266">
        <v>62889.48</v>
      </c>
      <c r="X469" s="1215"/>
      <c r="Y469" s="1218"/>
      <c r="Z469" s="1266">
        <v>67590.47</v>
      </c>
      <c r="AA469" s="1215"/>
      <c r="AB469" s="1218"/>
      <c r="AC469" s="1266">
        <v>171894.94999999998</v>
      </c>
      <c r="AD469" s="1215"/>
      <c r="AE469" s="1218"/>
      <c r="AF469" s="1266">
        <v>62175.729999999989</v>
      </c>
      <c r="AG469" s="1215"/>
      <c r="AH469" s="1218"/>
      <c r="AI469" s="1217">
        <v>66882.889999999985</v>
      </c>
      <c r="AJ469" s="1215"/>
      <c r="AK469" s="1218"/>
      <c r="AL469" s="1217">
        <v>66353.31</v>
      </c>
      <c r="AM469" s="1215"/>
      <c r="AN469" s="1218"/>
      <c r="AO469" s="1217">
        <v>53237.82999999998</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860"/>
      <c r="D470" s="861"/>
      <c r="E470" s="862">
        <v>312762.95999999996</v>
      </c>
      <c r="F470" s="860"/>
      <c r="G470" s="861"/>
      <c r="H470" s="862"/>
      <c r="I470" s="860"/>
      <c r="J470" s="861"/>
      <c r="K470" s="862"/>
      <c r="L470" s="860"/>
      <c r="M470" s="861"/>
      <c r="N470" s="862"/>
      <c r="O470" s="860"/>
      <c r="P470" s="861"/>
      <c r="Q470" s="862"/>
      <c r="R470" s="860"/>
      <c r="S470" s="861"/>
      <c r="T470" s="862"/>
      <c r="U470" s="860"/>
      <c r="V470" s="861"/>
      <c r="W470" s="862"/>
      <c r="X470" s="860"/>
      <c r="Y470" s="861"/>
      <c r="Z470" s="862"/>
      <c r="AA470" s="860"/>
      <c r="AB470" s="861"/>
      <c r="AC470" s="862"/>
      <c r="AD470" s="860"/>
      <c r="AE470" s="861"/>
      <c r="AF470" s="862"/>
      <c r="AG470" s="860"/>
      <c r="AH470" s="861"/>
      <c r="AI470" s="862"/>
      <c r="AJ470" s="860"/>
      <c r="AK470" s="861"/>
      <c r="AL470" s="862"/>
      <c r="AM470" s="860"/>
      <c r="AN470" s="861"/>
      <c r="AO470" s="86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1215">
        <v>0.92819381074207064</v>
      </c>
      <c r="D471" s="1218"/>
      <c r="E471" s="1217">
        <v>7721806.1699999962</v>
      </c>
      <c r="F471" s="1215"/>
      <c r="G471" s="1218"/>
      <c r="H471" s="1217">
        <v>659442.25</v>
      </c>
      <c r="I471" s="1215"/>
      <c r="J471" s="1218"/>
      <c r="K471" s="1217">
        <v>538425.66</v>
      </c>
      <c r="L471" s="1215"/>
      <c r="M471" s="1218"/>
      <c r="N471" s="1217">
        <v>636037.81000000006</v>
      </c>
      <c r="O471" s="1215"/>
      <c r="P471" s="1218"/>
      <c r="Q471" s="1217">
        <v>657631.79</v>
      </c>
      <c r="R471" s="1215"/>
      <c r="S471" s="1218"/>
      <c r="T471" s="1217">
        <v>723776.25</v>
      </c>
      <c r="U471" s="1215"/>
      <c r="V471" s="1218"/>
      <c r="W471" s="1266">
        <v>600757.31000000006</v>
      </c>
      <c r="X471" s="1215"/>
      <c r="Y471" s="1218"/>
      <c r="Z471" s="1266">
        <v>645371.01999999897</v>
      </c>
      <c r="AA471" s="1215"/>
      <c r="AB471" s="1218"/>
      <c r="AC471" s="1266">
        <v>728073.34</v>
      </c>
      <c r="AD471" s="1215"/>
      <c r="AE471" s="1218"/>
      <c r="AF471" s="1266">
        <v>597034.27</v>
      </c>
      <c r="AG471" s="1215"/>
      <c r="AH471" s="1218"/>
      <c r="AI471" s="1217">
        <v>698936.78</v>
      </c>
      <c r="AJ471" s="1215"/>
      <c r="AK471" s="1218"/>
      <c r="AL471" s="1217">
        <v>694349.22</v>
      </c>
      <c r="AM471" s="1215"/>
      <c r="AN471" s="1218"/>
      <c r="AO471" s="1217">
        <v>541970.47</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1225"/>
      <c r="D472" s="1226"/>
      <c r="E472" s="1227">
        <v>173303.31</v>
      </c>
      <c r="F472" s="1225"/>
      <c r="G472" s="1226"/>
      <c r="H472" s="1227">
        <v>1410.6</v>
      </c>
      <c r="I472" s="1225"/>
      <c r="J472" s="1226"/>
      <c r="K472" s="1227">
        <v>26653.53</v>
      </c>
      <c r="L472" s="1225"/>
      <c r="M472" s="1226"/>
      <c r="N472" s="1227">
        <v>42727.95</v>
      </c>
      <c r="O472" s="1225"/>
      <c r="P472" s="1226"/>
      <c r="Q472" s="1227">
        <v>1302.69</v>
      </c>
      <c r="R472" s="1225"/>
      <c r="S472" s="1226"/>
      <c r="T472" s="1227">
        <v>7299.74</v>
      </c>
      <c r="U472" s="1225"/>
      <c r="V472" s="1226"/>
      <c r="W472" s="1223">
        <v>22949.040000000001</v>
      </c>
      <c r="X472" s="1225"/>
      <c r="Y472" s="1226"/>
      <c r="Z472" s="1223">
        <v>67.010000000000005</v>
      </c>
      <c r="AA472" s="1225"/>
      <c r="AB472" s="1226"/>
      <c r="AC472" s="1223">
        <v>16998.62</v>
      </c>
      <c r="AD472" s="1225"/>
      <c r="AE472" s="1226"/>
      <c r="AF472" s="1223">
        <v>1981.43</v>
      </c>
      <c r="AG472" s="1225"/>
      <c r="AH472" s="1226"/>
      <c r="AI472" s="1271">
        <v>24843.37</v>
      </c>
      <c r="AJ472" s="1225"/>
      <c r="AK472" s="1226"/>
      <c r="AL472" s="1271">
        <v>10017.57</v>
      </c>
      <c r="AM472" s="1225"/>
      <c r="AN472" s="1226"/>
      <c r="AO472" s="1271">
        <v>17051.759999999998</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863"/>
      <c r="D473" s="864"/>
      <c r="E473" s="846">
        <v>890720.4</v>
      </c>
      <c r="F473" s="863"/>
      <c r="G473" s="864"/>
      <c r="H473" s="846">
        <v>82565</v>
      </c>
      <c r="I473" s="863"/>
      <c r="J473" s="864"/>
      <c r="K473" s="846">
        <v>47635</v>
      </c>
      <c r="L473" s="863"/>
      <c r="M473" s="864"/>
      <c r="N473" s="846">
        <v>69794</v>
      </c>
      <c r="O473" s="863"/>
      <c r="P473" s="864"/>
      <c r="Q473" s="846">
        <v>77555</v>
      </c>
      <c r="R473" s="863"/>
      <c r="S473" s="864"/>
      <c r="T473" s="846">
        <v>69529</v>
      </c>
      <c r="U473" s="863"/>
      <c r="V473" s="864"/>
      <c r="W473" s="846">
        <v>61215.55</v>
      </c>
      <c r="X473" s="863"/>
      <c r="Y473" s="864"/>
      <c r="Z473" s="846">
        <v>94826.85</v>
      </c>
      <c r="AA473" s="863"/>
      <c r="AB473" s="864"/>
      <c r="AC473" s="846">
        <v>80559</v>
      </c>
      <c r="AD473" s="863"/>
      <c r="AE473" s="864"/>
      <c r="AF473" s="846">
        <v>77496</v>
      </c>
      <c r="AG473" s="863"/>
      <c r="AH473" s="864"/>
      <c r="AI473" s="1268">
        <v>76838</v>
      </c>
      <c r="AJ473" s="863"/>
      <c r="AK473" s="864"/>
      <c r="AL473" s="1268">
        <v>95331</v>
      </c>
      <c r="AM473" s="863"/>
      <c r="AN473" s="864"/>
      <c r="AO473" s="1268">
        <v>57376</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863"/>
      <c r="D474" s="864"/>
      <c r="E474" s="846">
        <v>88064.2</v>
      </c>
      <c r="F474" s="863"/>
      <c r="G474" s="864"/>
      <c r="H474" s="846">
        <v>0</v>
      </c>
      <c r="I474" s="863"/>
      <c r="J474" s="864"/>
      <c r="K474" s="846">
        <v>0</v>
      </c>
      <c r="L474" s="863"/>
      <c r="M474" s="864"/>
      <c r="N474" s="846">
        <v>0</v>
      </c>
      <c r="O474" s="863"/>
      <c r="P474" s="864"/>
      <c r="Q474" s="846">
        <v>0</v>
      </c>
      <c r="R474" s="863"/>
      <c r="S474" s="864"/>
      <c r="T474" s="846">
        <v>0</v>
      </c>
      <c r="U474" s="863"/>
      <c r="V474" s="864"/>
      <c r="W474" s="846">
        <v>12000</v>
      </c>
      <c r="X474" s="863"/>
      <c r="Y474" s="864"/>
      <c r="Z474" s="846">
        <v>0</v>
      </c>
      <c r="AA474" s="863"/>
      <c r="AB474" s="864"/>
      <c r="AC474" s="846">
        <v>19414.2</v>
      </c>
      <c r="AD474" s="863"/>
      <c r="AE474" s="864"/>
      <c r="AF474" s="846">
        <v>0</v>
      </c>
      <c r="AG474" s="863"/>
      <c r="AH474" s="864"/>
      <c r="AI474" s="1268">
        <v>45250</v>
      </c>
      <c r="AJ474" s="863"/>
      <c r="AK474" s="864"/>
      <c r="AL474" s="1268">
        <v>0</v>
      </c>
      <c r="AM474" s="863"/>
      <c r="AN474" s="864"/>
      <c r="AO474" s="1268">
        <v>11400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863"/>
      <c r="D475" s="864"/>
      <c r="E475" s="846">
        <v>0</v>
      </c>
      <c r="F475" s="863"/>
      <c r="G475" s="864"/>
      <c r="H475" s="846">
        <v>0</v>
      </c>
      <c r="I475" s="863"/>
      <c r="J475" s="864"/>
      <c r="K475" s="846">
        <v>0</v>
      </c>
      <c r="L475" s="863"/>
      <c r="M475" s="864"/>
      <c r="N475" s="846">
        <v>0</v>
      </c>
      <c r="O475" s="863"/>
      <c r="P475" s="864"/>
      <c r="Q475" s="846">
        <v>0</v>
      </c>
      <c r="R475" s="863"/>
      <c r="S475" s="864"/>
      <c r="T475" s="846">
        <v>0</v>
      </c>
      <c r="U475" s="863"/>
      <c r="V475" s="864"/>
      <c r="W475" s="846">
        <v>0</v>
      </c>
      <c r="X475" s="863"/>
      <c r="Y475" s="864"/>
      <c r="Z475" s="846">
        <v>0</v>
      </c>
      <c r="AA475" s="863"/>
      <c r="AB475" s="864"/>
      <c r="AC475" s="846">
        <v>0</v>
      </c>
      <c r="AD475" s="863"/>
      <c r="AE475" s="864"/>
      <c r="AF475" s="846">
        <v>0</v>
      </c>
      <c r="AG475" s="863"/>
      <c r="AH475" s="864"/>
      <c r="AI475" s="1268">
        <v>0</v>
      </c>
      <c r="AJ475" s="863"/>
      <c r="AK475" s="864"/>
      <c r="AL475" s="1268">
        <v>0</v>
      </c>
      <c r="AM475" s="863"/>
      <c r="AN475" s="864"/>
      <c r="AO475" s="1268">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863"/>
      <c r="D476" s="864"/>
      <c r="E476" s="846">
        <v>0</v>
      </c>
      <c r="F476" s="863"/>
      <c r="G476" s="864"/>
      <c r="H476" s="846">
        <v>0</v>
      </c>
      <c r="I476" s="863"/>
      <c r="J476" s="864"/>
      <c r="K476" s="846">
        <v>0</v>
      </c>
      <c r="L476" s="863"/>
      <c r="M476" s="864"/>
      <c r="N476" s="846">
        <v>0</v>
      </c>
      <c r="O476" s="863"/>
      <c r="P476" s="864"/>
      <c r="Q476" s="846">
        <v>0</v>
      </c>
      <c r="R476" s="863"/>
      <c r="S476" s="864"/>
      <c r="T476" s="846">
        <v>0</v>
      </c>
      <c r="U476" s="863"/>
      <c r="V476" s="864"/>
      <c r="W476" s="846">
        <v>0</v>
      </c>
      <c r="X476" s="863"/>
      <c r="Y476" s="864"/>
      <c r="Z476" s="846">
        <v>0</v>
      </c>
      <c r="AA476" s="863"/>
      <c r="AB476" s="864"/>
      <c r="AC476" s="846">
        <v>0</v>
      </c>
      <c r="AD476" s="863"/>
      <c r="AE476" s="864"/>
      <c r="AF476" s="846">
        <v>0</v>
      </c>
      <c r="AG476" s="863"/>
      <c r="AH476" s="864"/>
      <c r="AI476" s="1268">
        <v>0</v>
      </c>
      <c r="AJ476" s="863"/>
      <c r="AK476" s="864"/>
      <c r="AL476" s="1268">
        <v>0</v>
      </c>
      <c r="AM476" s="863"/>
      <c r="AN476" s="864"/>
      <c r="AO476" s="1268">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863"/>
      <c r="D477" s="864"/>
      <c r="E477" s="846">
        <v>0</v>
      </c>
      <c r="F477" s="863"/>
      <c r="G477" s="864"/>
      <c r="H477" s="846">
        <v>0</v>
      </c>
      <c r="I477" s="863"/>
      <c r="J477" s="864"/>
      <c r="K477" s="846">
        <v>0</v>
      </c>
      <c r="L477" s="863"/>
      <c r="M477" s="864"/>
      <c r="N477" s="846">
        <v>0</v>
      </c>
      <c r="O477" s="863"/>
      <c r="P477" s="864"/>
      <c r="Q477" s="846">
        <v>0</v>
      </c>
      <c r="R477" s="863"/>
      <c r="S477" s="864"/>
      <c r="T477" s="846">
        <v>0</v>
      </c>
      <c r="U477" s="863"/>
      <c r="V477" s="864"/>
      <c r="W477" s="846">
        <v>0</v>
      </c>
      <c r="X477" s="863"/>
      <c r="Y477" s="864"/>
      <c r="Z477" s="846">
        <v>0</v>
      </c>
      <c r="AA477" s="863"/>
      <c r="AB477" s="864"/>
      <c r="AC477" s="846">
        <v>0</v>
      </c>
      <c r="AD477" s="863"/>
      <c r="AE477" s="864"/>
      <c r="AF477" s="846">
        <v>0</v>
      </c>
      <c r="AG477" s="863"/>
      <c r="AH477" s="864"/>
      <c r="AI477" s="1268">
        <v>0</v>
      </c>
      <c r="AJ477" s="863"/>
      <c r="AK477" s="864"/>
      <c r="AL477" s="1268">
        <v>0</v>
      </c>
      <c r="AM477" s="863"/>
      <c r="AN477" s="864"/>
      <c r="AO477" s="1268">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863"/>
      <c r="D478" s="864"/>
      <c r="E478" s="846">
        <v>0</v>
      </c>
      <c r="F478" s="863"/>
      <c r="G478" s="864"/>
      <c r="H478" s="846">
        <v>0</v>
      </c>
      <c r="I478" s="863"/>
      <c r="J478" s="864"/>
      <c r="K478" s="846">
        <v>0</v>
      </c>
      <c r="L478" s="863"/>
      <c r="M478" s="864"/>
      <c r="N478" s="846">
        <v>0</v>
      </c>
      <c r="O478" s="863"/>
      <c r="P478" s="864"/>
      <c r="Q478" s="846">
        <v>0</v>
      </c>
      <c r="R478" s="863"/>
      <c r="S478" s="864"/>
      <c r="T478" s="846">
        <v>0</v>
      </c>
      <c r="U478" s="863"/>
      <c r="V478" s="864"/>
      <c r="W478" s="846">
        <v>0</v>
      </c>
      <c r="X478" s="863"/>
      <c r="Y478" s="864"/>
      <c r="Z478" s="846">
        <v>0</v>
      </c>
      <c r="AA478" s="863"/>
      <c r="AB478" s="864"/>
      <c r="AC478" s="846">
        <v>0</v>
      </c>
      <c r="AD478" s="863"/>
      <c r="AE478" s="864"/>
      <c r="AF478" s="846">
        <v>0</v>
      </c>
      <c r="AG478" s="863"/>
      <c r="AH478" s="864"/>
      <c r="AI478" s="1268">
        <v>0</v>
      </c>
      <c r="AJ478" s="863"/>
      <c r="AK478" s="864"/>
      <c r="AL478" s="1268">
        <v>0</v>
      </c>
      <c r="AM478" s="863"/>
      <c r="AN478" s="864"/>
      <c r="AO478" s="1268">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863"/>
      <c r="D479" s="864"/>
      <c r="E479" s="846">
        <v>0</v>
      </c>
      <c r="F479" s="863"/>
      <c r="G479" s="864"/>
      <c r="H479" s="846">
        <v>0</v>
      </c>
      <c r="I479" s="863"/>
      <c r="J479" s="864"/>
      <c r="K479" s="846">
        <v>0</v>
      </c>
      <c r="L479" s="863"/>
      <c r="M479" s="864"/>
      <c r="N479" s="846">
        <v>0</v>
      </c>
      <c r="O479" s="863"/>
      <c r="P479" s="864"/>
      <c r="Q479" s="846">
        <v>0</v>
      </c>
      <c r="R479" s="863"/>
      <c r="S479" s="864"/>
      <c r="T479" s="846">
        <v>0</v>
      </c>
      <c r="U479" s="863"/>
      <c r="V479" s="864"/>
      <c r="W479" s="846">
        <v>0</v>
      </c>
      <c r="X479" s="863"/>
      <c r="Y479" s="864"/>
      <c r="Z479" s="846">
        <v>0</v>
      </c>
      <c r="AA479" s="863"/>
      <c r="AB479" s="864"/>
      <c r="AC479" s="846">
        <v>0</v>
      </c>
      <c r="AD479" s="863"/>
      <c r="AE479" s="864"/>
      <c r="AF479" s="846">
        <v>0</v>
      </c>
      <c r="AG479" s="863"/>
      <c r="AH479" s="864"/>
      <c r="AI479" s="1268">
        <v>0</v>
      </c>
      <c r="AJ479" s="863"/>
      <c r="AK479" s="864"/>
      <c r="AL479" s="1268">
        <v>0</v>
      </c>
      <c r="AM479" s="863"/>
      <c r="AN479" s="864"/>
      <c r="AO479" s="1268">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863"/>
      <c r="D480" s="864"/>
      <c r="E480" s="846">
        <v>0</v>
      </c>
      <c r="F480" s="863"/>
      <c r="G480" s="864"/>
      <c r="H480" s="846">
        <v>0</v>
      </c>
      <c r="I480" s="863"/>
      <c r="J480" s="864"/>
      <c r="K480" s="846">
        <v>0</v>
      </c>
      <c r="L480" s="863"/>
      <c r="M480" s="864"/>
      <c r="N480" s="846">
        <v>0</v>
      </c>
      <c r="O480" s="863"/>
      <c r="P480" s="864"/>
      <c r="Q480" s="846">
        <v>0</v>
      </c>
      <c r="R480" s="863"/>
      <c r="S480" s="864"/>
      <c r="T480" s="846">
        <v>0</v>
      </c>
      <c r="U480" s="863"/>
      <c r="V480" s="864"/>
      <c r="W480" s="846">
        <v>0</v>
      </c>
      <c r="X480" s="863"/>
      <c r="Y480" s="864"/>
      <c r="Z480" s="846">
        <v>0</v>
      </c>
      <c r="AA480" s="863"/>
      <c r="AB480" s="864"/>
      <c r="AC480" s="846">
        <v>0</v>
      </c>
      <c r="AD480" s="863"/>
      <c r="AE480" s="864"/>
      <c r="AF480" s="846">
        <v>0</v>
      </c>
      <c r="AG480" s="863"/>
      <c r="AH480" s="864"/>
      <c r="AI480" s="1268">
        <v>0</v>
      </c>
      <c r="AJ480" s="863"/>
      <c r="AK480" s="864"/>
      <c r="AL480" s="1268">
        <v>0</v>
      </c>
      <c r="AM480" s="863"/>
      <c r="AN480" s="864"/>
      <c r="AO480" s="1268">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863"/>
      <c r="D481" s="864"/>
      <c r="E481" s="846"/>
      <c r="F481" s="863"/>
      <c r="G481" s="864"/>
      <c r="H481" s="846"/>
      <c r="I481" s="863"/>
      <c r="J481" s="864"/>
      <c r="K481" s="846"/>
      <c r="L481" s="863"/>
      <c r="M481" s="864"/>
      <c r="N481" s="846"/>
      <c r="O481" s="863"/>
      <c r="P481" s="864"/>
      <c r="Q481" s="846"/>
      <c r="R481" s="863"/>
      <c r="S481" s="864"/>
      <c r="T481" s="846"/>
      <c r="U481" s="863"/>
      <c r="V481" s="864"/>
      <c r="W481" s="846"/>
      <c r="X481" s="863"/>
      <c r="Y481" s="864"/>
      <c r="Z481" s="846"/>
      <c r="AA481" s="863"/>
      <c r="AB481" s="864"/>
      <c r="AC481" s="846"/>
      <c r="AD481" s="863"/>
      <c r="AE481" s="864"/>
      <c r="AF481" s="846"/>
      <c r="AG481" s="863"/>
      <c r="AH481" s="864"/>
      <c r="AI481" s="1268"/>
      <c r="AJ481" s="863"/>
      <c r="AK481" s="864"/>
      <c r="AL481" s="1268"/>
      <c r="AM481" s="863"/>
      <c r="AN481" s="864"/>
      <c r="AO481" s="1268"/>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863"/>
      <c r="D482" s="864"/>
      <c r="E482" s="846"/>
      <c r="F482" s="863"/>
      <c r="G482" s="864"/>
      <c r="H482" s="846"/>
      <c r="I482" s="863"/>
      <c r="J482" s="864"/>
      <c r="K482" s="846"/>
      <c r="L482" s="863"/>
      <c r="M482" s="864"/>
      <c r="N482" s="846"/>
      <c r="O482" s="863"/>
      <c r="P482" s="864"/>
      <c r="Q482" s="846"/>
      <c r="R482" s="863"/>
      <c r="S482" s="864"/>
      <c r="T482" s="846"/>
      <c r="U482" s="863"/>
      <c r="V482" s="864"/>
      <c r="W482" s="846"/>
      <c r="X482" s="863"/>
      <c r="Y482" s="864"/>
      <c r="Z482" s="846"/>
      <c r="AA482" s="863"/>
      <c r="AB482" s="864"/>
      <c r="AC482" s="846"/>
      <c r="AD482" s="863"/>
      <c r="AE482" s="864"/>
      <c r="AF482" s="846"/>
      <c r="AG482" s="863"/>
      <c r="AH482" s="864"/>
      <c r="AI482" s="1268"/>
      <c r="AJ482" s="863"/>
      <c r="AK482" s="864"/>
      <c r="AL482" s="1268"/>
      <c r="AM482" s="863"/>
      <c r="AN482" s="864"/>
      <c r="AO482" s="1268"/>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865"/>
      <c r="D483" s="864"/>
      <c r="E483" s="846">
        <v>461577</v>
      </c>
      <c r="F483" s="865"/>
      <c r="G483" s="864"/>
      <c r="H483" s="846">
        <v>35733</v>
      </c>
      <c r="I483" s="865"/>
      <c r="J483" s="864"/>
      <c r="K483" s="846">
        <v>24144</v>
      </c>
      <c r="L483" s="865"/>
      <c r="M483" s="864"/>
      <c r="N483" s="846">
        <v>37728</v>
      </c>
      <c r="O483" s="865"/>
      <c r="P483" s="864"/>
      <c r="Q483" s="846">
        <v>38946</v>
      </c>
      <c r="R483" s="865"/>
      <c r="S483" s="864"/>
      <c r="T483" s="846">
        <v>40557</v>
      </c>
      <c r="U483" s="865"/>
      <c r="V483" s="864"/>
      <c r="W483" s="846">
        <v>37332</v>
      </c>
      <c r="X483" s="865"/>
      <c r="Y483" s="864"/>
      <c r="Z483" s="846">
        <v>52152</v>
      </c>
      <c r="AA483" s="865"/>
      <c r="AB483" s="864"/>
      <c r="AC483" s="846">
        <v>46158</v>
      </c>
      <c r="AD483" s="865"/>
      <c r="AE483" s="864"/>
      <c r="AF483" s="846">
        <v>42711</v>
      </c>
      <c r="AG483" s="865"/>
      <c r="AH483" s="864"/>
      <c r="AI483" s="1268">
        <v>30198</v>
      </c>
      <c r="AJ483" s="865"/>
      <c r="AK483" s="864"/>
      <c r="AL483" s="1268">
        <v>44739</v>
      </c>
      <c r="AM483" s="865"/>
      <c r="AN483" s="864"/>
      <c r="AO483" s="1268">
        <v>31179</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1215">
        <v>0.19396935756983152</v>
      </c>
      <c r="D484" s="1228"/>
      <c r="E484" s="1217">
        <v>1613664.91</v>
      </c>
      <c r="F484" s="1215"/>
      <c r="G484" s="1228"/>
      <c r="H484" s="1217">
        <v>119708.6</v>
      </c>
      <c r="I484" s="1215"/>
      <c r="J484" s="1228"/>
      <c r="K484" s="1217">
        <v>98432.53</v>
      </c>
      <c r="L484" s="1215"/>
      <c r="M484" s="1228"/>
      <c r="N484" s="1217">
        <v>150249.95000000001</v>
      </c>
      <c r="O484" s="1215"/>
      <c r="P484" s="1228"/>
      <c r="Q484" s="1217">
        <v>117803.69</v>
      </c>
      <c r="R484" s="1215"/>
      <c r="S484" s="1228"/>
      <c r="T484" s="1217">
        <v>117385.74</v>
      </c>
      <c r="U484" s="1215"/>
      <c r="V484" s="1228"/>
      <c r="W484" s="1266">
        <v>133496.59</v>
      </c>
      <c r="X484" s="1215"/>
      <c r="Y484" s="1228"/>
      <c r="Z484" s="1266">
        <v>147045.85999999999</v>
      </c>
      <c r="AA484" s="1215"/>
      <c r="AB484" s="1228"/>
      <c r="AC484" s="1266">
        <v>163129.82</v>
      </c>
      <c r="AD484" s="1215"/>
      <c r="AE484" s="1228"/>
      <c r="AF484" s="1266">
        <v>122188.43</v>
      </c>
      <c r="AG484" s="1215"/>
      <c r="AH484" s="1228"/>
      <c r="AI484" s="1217">
        <v>177129.37</v>
      </c>
      <c r="AJ484" s="1215"/>
      <c r="AK484" s="1228"/>
      <c r="AL484" s="1217">
        <v>150087.57</v>
      </c>
      <c r="AM484" s="1215"/>
      <c r="AN484" s="1228"/>
      <c r="AO484" s="1217">
        <v>117006.76</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1272"/>
      <c r="D485" s="1273"/>
      <c r="E485" s="1274">
        <v>372401.45999999996</v>
      </c>
      <c r="F485" s="1272"/>
      <c r="G485" s="1273"/>
      <c r="H485" s="1274"/>
      <c r="I485" s="1272"/>
      <c r="J485" s="1273"/>
      <c r="K485" s="1274"/>
      <c r="L485" s="1272"/>
      <c r="M485" s="1273"/>
      <c r="N485" s="1274"/>
      <c r="O485" s="1272"/>
      <c r="P485" s="1273"/>
      <c r="Q485" s="1274"/>
      <c r="R485" s="1272"/>
      <c r="S485" s="1273"/>
      <c r="T485" s="1274"/>
      <c r="U485" s="1272"/>
      <c r="V485" s="1273"/>
      <c r="W485" s="1275"/>
      <c r="X485" s="1272"/>
      <c r="Y485" s="1273"/>
      <c r="Z485" s="1275"/>
      <c r="AA485" s="1272"/>
      <c r="AB485" s="1273"/>
      <c r="AC485" s="1275"/>
      <c r="AD485" s="1272"/>
      <c r="AE485" s="1273"/>
      <c r="AF485" s="1275"/>
      <c r="AG485" s="1272"/>
      <c r="AH485" s="1273"/>
      <c r="AI485" s="1274"/>
      <c r="AJ485" s="1272"/>
      <c r="AK485" s="1273"/>
      <c r="AL485" s="1274"/>
      <c r="AM485" s="1272"/>
      <c r="AN485" s="1273"/>
      <c r="AO485" s="1274"/>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869" t="s">
        <v>219</v>
      </c>
      <c r="D486" s="870">
        <v>3.4780960868952729E-2</v>
      </c>
      <c r="E486" s="871">
        <v>2211033.1199999964</v>
      </c>
      <c r="F486" s="869" t="s">
        <v>219</v>
      </c>
      <c r="G486" s="870">
        <v>8.3019356578440343E-3</v>
      </c>
      <c r="H486" s="871">
        <v>37899.819999998697</v>
      </c>
      <c r="I486" s="869" t="s">
        <v>219</v>
      </c>
      <c r="J486" s="870">
        <v>1.1754742194385633E-2</v>
      </c>
      <c r="K486" s="871">
        <v>40773.829999999522</v>
      </c>
      <c r="L486" s="869" t="s">
        <v>219</v>
      </c>
      <c r="M486" s="870">
        <v>2.6740836424321936E-2</v>
      </c>
      <c r="N486" s="871">
        <v>121990.76999999938</v>
      </c>
      <c r="O486" s="869" t="s">
        <v>219</v>
      </c>
      <c r="P486" s="870">
        <v>3.2733410537390935E-2</v>
      </c>
      <c r="Q486" s="871">
        <v>154988.5099999996</v>
      </c>
      <c r="R486" s="869" t="s">
        <v>219</v>
      </c>
      <c r="S486" s="870">
        <v>2.713274179403951E-2</v>
      </c>
      <c r="T486" s="871">
        <v>147383.54999999981</v>
      </c>
      <c r="U486" s="869" t="s">
        <v>219</v>
      </c>
      <c r="V486" s="870">
        <v>3.8441619363911286E-2</v>
      </c>
      <c r="W486" s="1276">
        <v>179782.38999999946</v>
      </c>
      <c r="X486" s="869" t="s">
        <v>219</v>
      </c>
      <c r="Y486" s="870">
        <v>4.1371218581874307E-2</v>
      </c>
      <c r="Z486" s="1276">
        <v>279221.77000000048</v>
      </c>
      <c r="AA486" s="869" t="s">
        <v>219</v>
      </c>
      <c r="AB486" s="870">
        <v>3.507544936874632E-2</v>
      </c>
      <c r="AC486" s="1276">
        <v>215692.75999999937</v>
      </c>
      <c r="AD486" s="869" t="s">
        <v>219</v>
      </c>
      <c r="AE486" s="870">
        <v>5.147450496360996E-2</v>
      </c>
      <c r="AF486" s="1276">
        <v>298542.91999999975</v>
      </c>
      <c r="AG486" s="869" t="s">
        <v>219</v>
      </c>
      <c r="AH486" s="870">
        <v>3.6084188134366611E-2</v>
      </c>
      <c r="AI486" s="871">
        <v>198338.29999999912</v>
      </c>
      <c r="AJ486" s="869" t="s">
        <v>219</v>
      </c>
      <c r="AK486" s="870">
        <v>4.0618307926277609E-2</v>
      </c>
      <c r="AL486" s="871">
        <v>300141.6799999986</v>
      </c>
      <c r="AM486" s="869" t="s">
        <v>219</v>
      </c>
      <c r="AN486" s="870">
        <v>5.1968743050519427E-2</v>
      </c>
      <c r="AO486" s="871">
        <v>236276.81999999972</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1"/>
      <c r="D487" s="751"/>
      <c r="E487" s="872">
        <v>2211033.1199999936</v>
      </c>
      <c r="F487" s="751"/>
      <c r="G487" s="751"/>
      <c r="H487" s="872"/>
      <c r="I487" s="751"/>
      <c r="J487" s="751"/>
      <c r="K487" s="872"/>
      <c r="L487" s="751"/>
      <c r="M487" s="751"/>
      <c r="N487" s="872"/>
      <c r="O487" s="751"/>
      <c r="P487" s="751"/>
      <c r="Q487" s="872"/>
      <c r="R487" s="751"/>
      <c r="S487" s="751"/>
      <c r="T487" s="872"/>
      <c r="U487" s="751"/>
      <c r="V487" s="751"/>
      <c r="W487" s="872"/>
      <c r="X487" s="751"/>
      <c r="Y487" s="751"/>
      <c r="Z487" s="872"/>
      <c r="AA487" s="751"/>
      <c r="AB487" s="751"/>
      <c r="AC487" s="872"/>
      <c r="AD487" s="751"/>
      <c r="AE487" s="751"/>
      <c r="AF487" s="872"/>
      <c r="AG487" s="751"/>
      <c r="AH487" s="751"/>
      <c r="AI487" s="872"/>
      <c r="AJ487" s="751"/>
      <c r="AK487" s="751"/>
      <c r="AL487" s="872"/>
      <c r="AM487" s="751"/>
      <c r="AN487" s="751"/>
      <c r="AO487" s="872"/>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3934</v>
      </c>
      <c r="C488" s="784" t="s">
        <v>220</v>
      </c>
      <c r="D488" s="784"/>
      <c r="E488" s="784"/>
      <c r="F488" s="784"/>
      <c r="G488" s="784"/>
      <c r="H488" s="784"/>
      <c r="I488" s="784"/>
      <c r="J488" s="784"/>
      <c r="K488" s="784"/>
      <c r="L488" s="784"/>
      <c r="M488" s="784"/>
      <c r="N488" s="784"/>
      <c r="O488" s="784"/>
      <c r="P488" s="784"/>
      <c r="Q488" s="784"/>
      <c r="R488" s="784"/>
      <c r="S488" s="784"/>
      <c r="T488" s="784"/>
      <c r="U488" s="784"/>
      <c r="V488" s="784"/>
      <c r="W488" s="784"/>
      <c r="X488" s="784"/>
      <c r="Y488" s="784"/>
      <c r="Z488" s="784"/>
      <c r="AA488" s="784"/>
      <c r="AB488" s="784"/>
      <c r="AC488" s="784"/>
      <c r="AD488" s="784"/>
      <c r="AE488" s="784"/>
      <c r="AF488" s="784"/>
      <c r="AG488" s="784"/>
      <c r="AH488" s="784"/>
      <c r="AI488" s="784"/>
      <c r="AJ488" s="784"/>
      <c r="AK488" s="784"/>
      <c r="AL488" s="784"/>
      <c r="AM488" s="784"/>
      <c r="AN488" s="784"/>
      <c r="AO488" s="784"/>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1"/>
      <c r="D489" s="751"/>
      <c r="E489" s="872"/>
      <c r="F489" s="751"/>
      <c r="G489" s="751"/>
      <c r="H489" s="872"/>
      <c r="I489" s="751"/>
      <c r="J489" s="751"/>
      <c r="K489" s="872"/>
      <c r="L489" s="751"/>
      <c r="M489" s="751"/>
      <c r="N489" s="872"/>
      <c r="O489" s="751"/>
      <c r="P489" s="751"/>
      <c r="Q489" s="872"/>
      <c r="R489" s="751"/>
      <c r="S489" s="751"/>
      <c r="T489" s="872"/>
      <c r="U489" s="751"/>
      <c r="V489" s="751"/>
      <c r="W489" s="872"/>
      <c r="X489" s="751"/>
      <c r="Y489" s="751"/>
      <c r="Z489" s="872"/>
      <c r="AA489" s="751"/>
      <c r="AB489" s="751"/>
      <c r="AC489" s="872"/>
      <c r="AD489" s="751"/>
      <c r="AE489" s="751"/>
      <c r="AF489" s="872"/>
      <c r="AG489" s="751"/>
      <c r="AH489" s="751"/>
      <c r="AI489" s="872"/>
      <c r="AJ489" s="751"/>
      <c r="AK489" s="751"/>
      <c r="AL489" s="872"/>
      <c r="AM489" s="751"/>
      <c r="AN489" s="751"/>
      <c r="AO489" s="872"/>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thickBot="1">
      <c r="A490" s="39"/>
      <c r="B490" s="61"/>
      <c r="C490" s="751"/>
      <c r="D490" s="751"/>
      <c r="E490" s="872"/>
      <c r="F490" s="751"/>
      <c r="G490" s="751"/>
      <c r="H490" s="872"/>
      <c r="I490" s="751"/>
      <c r="J490" s="751"/>
      <c r="K490" s="872"/>
      <c r="L490" s="751"/>
      <c r="M490" s="751"/>
      <c r="N490" s="872"/>
      <c r="O490" s="751"/>
      <c r="P490" s="751"/>
      <c r="Q490" s="872"/>
      <c r="R490" s="751"/>
      <c r="S490" s="751"/>
      <c r="T490" s="872"/>
      <c r="U490" s="751"/>
      <c r="V490" s="751"/>
      <c r="W490" s="872"/>
      <c r="X490" s="751"/>
      <c r="Y490" s="751"/>
      <c r="Z490" s="872"/>
      <c r="AA490" s="751"/>
      <c r="AB490" s="751"/>
      <c r="AC490" s="872"/>
      <c r="AD490" s="751"/>
      <c r="AE490" s="751"/>
      <c r="AF490" s="872"/>
      <c r="AG490" s="751"/>
      <c r="AH490" s="751"/>
      <c r="AI490" s="872"/>
      <c r="AJ490" s="751"/>
      <c r="AK490" s="751"/>
      <c r="AL490" s="872"/>
      <c r="AM490" s="751"/>
      <c r="AN490" s="751"/>
      <c r="AO490" s="872"/>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Top="1" thickBot="1">
      <c r="A491" s="39"/>
      <c r="B491" s="61" t="s">
        <v>3913</v>
      </c>
      <c r="C491" s="876" t="s">
        <v>219</v>
      </c>
      <c r="D491" s="874">
        <v>3.7619686572380372E-2</v>
      </c>
      <c r="E491" s="877">
        <v>2391491.5199999963</v>
      </c>
      <c r="F491" s="876" t="s">
        <v>219</v>
      </c>
      <c r="G491" s="874">
        <v>1.4770105210689069E-2</v>
      </c>
      <c r="H491" s="877">
        <v>67428.169999998703</v>
      </c>
      <c r="I491" s="876" t="s">
        <v>219</v>
      </c>
      <c r="J491" s="874">
        <v>9.1039869035007496E-3</v>
      </c>
      <c r="K491" s="877">
        <v>31579.119999999522</v>
      </c>
      <c r="L491" s="876" t="s">
        <v>219</v>
      </c>
      <c r="M491" s="874">
        <v>3.2458181434072982E-2</v>
      </c>
      <c r="N491" s="877">
        <v>148073.09999999937</v>
      </c>
      <c r="O491" s="876" t="s">
        <v>219</v>
      </c>
      <c r="P491" s="874">
        <v>3.2310750751166468E-2</v>
      </c>
      <c r="Q491" s="877">
        <v>152987.26999999961</v>
      </c>
      <c r="R491" s="876" t="s">
        <v>219</v>
      </c>
      <c r="S491" s="874">
        <v>3.0268337107613945E-2</v>
      </c>
      <c r="T491" s="877">
        <v>164415.92999999982</v>
      </c>
      <c r="U491" s="876" t="s">
        <v>219</v>
      </c>
      <c r="V491" s="874">
        <v>4.232972642781626E-2</v>
      </c>
      <c r="W491" s="1277">
        <v>197966.14999999947</v>
      </c>
      <c r="X491" s="876" t="s">
        <v>219</v>
      </c>
      <c r="Y491" s="874">
        <v>4.5254527800547083E-2</v>
      </c>
      <c r="Z491" s="1277">
        <v>305430.92000000051</v>
      </c>
      <c r="AA491" s="876" t="s">
        <v>219</v>
      </c>
      <c r="AB491" s="874">
        <v>3.5665166008242336E-2</v>
      </c>
      <c r="AC491" s="1277">
        <v>219319.15999999936</v>
      </c>
      <c r="AD491" s="876" t="s">
        <v>219</v>
      </c>
      <c r="AE491" s="874">
        <v>5.2139211673270361E-2</v>
      </c>
      <c r="AF491" s="1277">
        <v>302398.09999999974</v>
      </c>
      <c r="AG491" s="876" t="s">
        <v>219</v>
      </c>
      <c r="AH491" s="874">
        <v>4.0161452528046274E-2</v>
      </c>
      <c r="AI491" s="877">
        <v>220749.1599999991</v>
      </c>
      <c r="AJ491" s="876" t="s">
        <v>219</v>
      </c>
      <c r="AK491" s="874">
        <v>4.4016665230088667E-2</v>
      </c>
      <c r="AL491" s="877">
        <v>325253.22999999858</v>
      </c>
      <c r="AM491" s="876" t="s">
        <v>219</v>
      </c>
      <c r="AN491" s="874">
        <v>5.6282899614852222E-2</v>
      </c>
      <c r="AO491" s="877">
        <v>255891.20999999973</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876" t="s">
        <v>219</v>
      </c>
      <c r="D492" s="874">
        <v>3.4780960868952729E-2</v>
      </c>
      <c r="E492" s="877">
        <v>2211033.1199999964</v>
      </c>
      <c r="F492" s="876" t="s">
        <v>219</v>
      </c>
      <c r="G492" s="874">
        <v>8.3019356578440343E-3</v>
      </c>
      <c r="H492" s="877">
        <v>37899.819999998697</v>
      </c>
      <c r="I492" s="876" t="s">
        <v>219</v>
      </c>
      <c r="J492" s="874">
        <v>1.1754742194385633E-2</v>
      </c>
      <c r="K492" s="877">
        <v>40773.829999999522</v>
      </c>
      <c r="L492" s="876" t="s">
        <v>219</v>
      </c>
      <c r="M492" s="874">
        <v>2.6740836424321936E-2</v>
      </c>
      <c r="N492" s="877">
        <v>121990.76999999938</v>
      </c>
      <c r="O492" s="876" t="s">
        <v>219</v>
      </c>
      <c r="P492" s="874">
        <v>3.2733410537390935E-2</v>
      </c>
      <c r="Q492" s="877">
        <v>154988.5099999996</v>
      </c>
      <c r="R492" s="876" t="s">
        <v>219</v>
      </c>
      <c r="S492" s="874">
        <v>2.713274179403951E-2</v>
      </c>
      <c r="T492" s="877">
        <v>147383.54999999981</v>
      </c>
      <c r="U492" s="876" t="s">
        <v>219</v>
      </c>
      <c r="V492" s="874">
        <v>3.8441619363911286E-2</v>
      </c>
      <c r="W492" s="1277">
        <v>179782.38999999946</v>
      </c>
      <c r="X492" s="876" t="s">
        <v>219</v>
      </c>
      <c r="Y492" s="874">
        <v>4.1371218581874307E-2</v>
      </c>
      <c r="Z492" s="1277">
        <v>279221.77000000048</v>
      </c>
      <c r="AA492" s="876" t="s">
        <v>219</v>
      </c>
      <c r="AB492" s="874">
        <v>3.507544936874632E-2</v>
      </c>
      <c r="AC492" s="1277">
        <v>215692.75999999937</v>
      </c>
      <c r="AD492" s="876" t="s">
        <v>219</v>
      </c>
      <c r="AE492" s="874">
        <v>5.147450496360996E-2</v>
      </c>
      <c r="AF492" s="1277">
        <v>298542.91999999975</v>
      </c>
      <c r="AG492" s="876" t="s">
        <v>219</v>
      </c>
      <c r="AH492" s="874">
        <v>3.6084188134366611E-2</v>
      </c>
      <c r="AI492" s="877">
        <v>198338.29999999912</v>
      </c>
      <c r="AJ492" s="876" t="s">
        <v>219</v>
      </c>
      <c r="AK492" s="874">
        <v>4.0618307926277609E-2</v>
      </c>
      <c r="AL492" s="877">
        <v>300141.6799999986</v>
      </c>
      <c r="AM492" s="876" t="s">
        <v>219</v>
      </c>
      <c r="AN492" s="874">
        <v>5.1968743050519427E-2</v>
      </c>
      <c r="AO492" s="877">
        <v>236276.81999999972</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879"/>
      <c r="D493" s="878"/>
      <c r="E493" s="880"/>
      <c r="F493" s="879"/>
      <c r="G493" s="878"/>
      <c r="H493" s="880"/>
      <c r="I493" s="879"/>
      <c r="J493" s="878"/>
      <c r="K493" s="880"/>
      <c r="L493" s="879"/>
      <c r="M493" s="878"/>
      <c r="N493" s="880"/>
      <c r="O493" s="879"/>
      <c r="P493" s="878"/>
      <c r="Q493" s="880"/>
      <c r="R493" s="879"/>
      <c r="S493" s="878"/>
      <c r="T493" s="880"/>
      <c r="U493" s="879"/>
      <c r="V493" s="878"/>
      <c r="W493" s="880"/>
      <c r="X493" s="879"/>
      <c r="Y493" s="878"/>
      <c r="Z493" s="880"/>
      <c r="AA493" s="879"/>
      <c r="AB493" s="878"/>
      <c r="AC493" s="880"/>
      <c r="AD493" s="879"/>
      <c r="AE493" s="878"/>
      <c r="AF493" s="880"/>
      <c r="AG493" s="879"/>
      <c r="AH493" s="878"/>
      <c r="AI493" s="880"/>
      <c r="AJ493" s="879"/>
      <c r="AK493" s="878"/>
      <c r="AL493" s="880"/>
      <c r="AM493" s="879"/>
      <c r="AN493" s="878"/>
      <c r="AO493" s="880"/>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49"/>
      <c r="D494" s="848"/>
      <c r="E494" s="853">
        <v>500171.23</v>
      </c>
      <c r="F494" s="849"/>
      <c r="G494" s="848"/>
      <c r="H494" s="853">
        <v>42648</v>
      </c>
      <c r="I494" s="849"/>
      <c r="J494" s="848"/>
      <c r="K494" s="853">
        <v>42648</v>
      </c>
      <c r="L494" s="849"/>
      <c r="M494" s="848"/>
      <c r="N494" s="853">
        <v>42648</v>
      </c>
      <c r="O494" s="849"/>
      <c r="P494" s="848"/>
      <c r="Q494" s="853">
        <v>42648</v>
      </c>
      <c r="R494" s="849"/>
      <c r="S494" s="848"/>
      <c r="T494" s="853">
        <v>42648</v>
      </c>
      <c r="U494" s="849"/>
      <c r="V494" s="848"/>
      <c r="W494" s="853">
        <v>42648</v>
      </c>
      <c r="X494" s="849"/>
      <c r="Y494" s="848"/>
      <c r="Z494" s="853">
        <v>42648</v>
      </c>
      <c r="AA494" s="849"/>
      <c r="AB494" s="848"/>
      <c r="AC494" s="853">
        <v>42648</v>
      </c>
      <c r="AD494" s="849"/>
      <c r="AE494" s="848"/>
      <c r="AF494" s="853">
        <v>42648</v>
      </c>
      <c r="AG494" s="849"/>
      <c r="AH494" s="848"/>
      <c r="AI494" s="853">
        <v>42648</v>
      </c>
      <c r="AJ494" s="849"/>
      <c r="AK494" s="848"/>
      <c r="AL494" s="853">
        <v>42648</v>
      </c>
      <c r="AM494" s="849"/>
      <c r="AN494" s="848"/>
      <c r="AO494" s="1267">
        <v>31043.23</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82"/>
      <c r="D495" s="751"/>
      <c r="E495" s="853">
        <v>0</v>
      </c>
      <c r="F495" s="882"/>
      <c r="G495" s="751"/>
      <c r="H495" s="853">
        <v>0</v>
      </c>
      <c r="I495" s="882"/>
      <c r="J495" s="751"/>
      <c r="K495" s="853">
        <v>0</v>
      </c>
      <c r="L495" s="882"/>
      <c r="M495" s="751"/>
      <c r="N495" s="853">
        <v>0</v>
      </c>
      <c r="O495" s="882"/>
      <c r="P495" s="751"/>
      <c r="Q495" s="853">
        <v>0</v>
      </c>
      <c r="R495" s="882"/>
      <c r="S495" s="751"/>
      <c r="T495" s="853">
        <v>0</v>
      </c>
      <c r="U495" s="882"/>
      <c r="V495" s="751"/>
      <c r="W495" s="853">
        <v>0</v>
      </c>
      <c r="X495" s="882"/>
      <c r="Y495" s="751"/>
      <c r="Z495" s="853">
        <v>0</v>
      </c>
      <c r="AA495" s="882"/>
      <c r="AB495" s="751"/>
      <c r="AC495" s="853">
        <v>0</v>
      </c>
      <c r="AD495" s="882"/>
      <c r="AE495" s="751"/>
      <c r="AF495" s="853">
        <v>0</v>
      </c>
      <c r="AG495" s="882"/>
      <c r="AH495" s="751"/>
      <c r="AI495" s="853">
        <v>0</v>
      </c>
      <c r="AJ495" s="882"/>
      <c r="AK495" s="751"/>
      <c r="AL495" s="853">
        <v>0</v>
      </c>
      <c r="AM495" s="882"/>
      <c r="AN495" s="751"/>
      <c r="AO495" s="126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883"/>
      <c r="D496" s="751"/>
      <c r="E496" s="853">
        <v>0</v>
      </c>
      <c r="F496" s="883"/>
      <c r="G496" s="751"/>
      <c r="H496" s="853">
        <v>0</v>
      </c>
      <c r="I496" s="883"/>
      <c r="J496" s="751"/>
      <c r="K496" s="853">
        <v>0</v>
      </c>
      <c r="L496" s="883"/>
      <c r="M496" s="751"/>
      <c r="N496" s="853">
        <v>0</v>
      </c>
      <c r="O496" s="883"/>
      <c r="P496" s="751"/>
      <c r="Q496" s="853">
        <v>0</v>
      </c>
      <c r="R496" s="883"/>
      <c r="S496" s="751"/>
      <c r="T496" s="853">
        <v>0</v>
      </c>
      <c r="U496" s="883"/>
      <c r="V496" s="751"/>
      <c r="W496" s="853">
        <v>0</v>
      </c>
      <c r="X496" s="883"/>
      <c r="Y496" s="751"/>
      <c r="Z496" s="853">
        <v>0</v>
      </c>
      <c r="AA496" s="883"/>
      <c r="AB496" s="751"/>
      <c r="AC496" s="853">
        <v>0</v>
      </c>
      <c r="AD496" s="883"/>
      <c r="AE496" s="751"/>
      <c r="AF496" s="853">
        <v>0</v>
      </c>
      <c r="AG496" s="883"/>
      <c r="AH496" s="751"/>
      <c r="AI496" s="853">
        <v>0</v>
      </c>
      <c r="AJ496" s="883"/>
      <c r="AK496" s="751"/>
      <c r="AL496" s="853">
        <v>0</v>
      </c>
      <c r="AM496" s="883"/>
      <c r="AN496" s="751"/>
      <c r="AO496" s="126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84"/>
      <c r="D497" s="792"/>
      <c r="E497" s="853">
        <v>0</v>
      </c>
      <c r="F497" s="884"/>
      <c r="G497" s="792"/>
      <c r="H497" s="853">
        <v>0</v>
      </c>
      <c r="I497" s="884"/>
      <c r="J497" s="792"/>
      <c r="K497" s="853">
        <v>0</v>
      </c>
      <c r="L497" s="884"/>
      <c r="M497" s="792"/>
      <c r="N497" s="853">
        <v>0</v>
      </c>
      <c r="O497" s="884"/>
      <c r="P497" s="792"/>
      <c r="Q497" s="853">
        <v>0</v>
      </c>
      <c r="R497" s="884"/>
      <c r="S497" s="792"/>
      <c r="T497" s="853">
        <v>0</v>
      </c>
      <c r="U497" s="884"/>
      <c r="V497" s="792"/>
      <c r="W497" s="853">
        <v>0</v>
      </c>
      <c r="X497" s="884"/>
      <c r="Y497" s="792"/>
      <c r="Z497" s="853">
        <v>0</v>
      </c>
      <c r="AA497" s="884"/>
      <c r="AB497" s="792"/>
      <c r="AC497" s="853">
        <v>0</v>
      </c>
      <c r="AD497" s="884"/>
      <c r="AE497" s="792"/>
      <c r="AF497" s="853">
        <v>0</v>
      </c>
      <c r="AG497" s="884"/>
      <c r="AH497" s="792"/>
      <c r="AI497" s="853">
        <v>0</v>
      </c>
      <c r="AJ497" s="884"/>
      <c r="AK497" s="792"/>
      <c r="AL497" s="853">
        <v>0</v>
      </c>
      <c r="AM497" s="884"/>
      <c r="AN497" s="792"/>
      <c r="AO497" s="126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3933</v>
      </c>
      <c r="C498" s="884"/>
      <c r="D498" s="792"/>
      <c r="E498" s="853">
        <v>0</v>
      </c>
      <c r="F498" s="884"/>
      <c r="G498" s="792"/>
      <c r="H498" s="853">
        <v>0</v>
      </c>
      <c r="I498" s="884"/>
      <c r="J498" s="792"/>
      <c r="K498" s="853">
        <v>0</v>
      </c>
      <c r="L498" s="884"/>
      <c r="M498" s="792"/>
      <c r="N498" s="853">
        <v>0</v>
      </c>
      <c r="O498" s="884"/>
      <c r="P498" s="792"/>
      <c r="Q498" s="853">
        <v>0</v>
      </c>
      <c r="R498" s="884"/>
      <c r="S498" s="792"/>
      <c r="T498" s="853">
        <v>0</v>
      </c>
      <c r="U498" s="884"/>
      <c r="V498" s="792"/>
      <c r="W498" s="853">
        <v>0</v>
      </c>
      <c r="X498" s="884"/>
      <c r="Y498" s="792"/>
      <c r="Z498" s="853">
        <v>0</v>
      </c>
      <c r="AA498" s="884"/>
      <c r="AB498" s="792"/>
      <c r="AC498" s="853">
        <v>0</v>
      </c>
      <c r="AD498" s="884"/>
      <c r="AE498" s="792"/>
      <c r="AF498" s="853">
        <v>0</v>
      </c>
      <c r="AG498" s="884"/>
      <c r="AH498" s="792"/>
      <c r="AI498" s="853">
        <v>0</v>
      </c>
      <c r="AJ498" s="884"/>
      <c r="AK498" s="792"/>
      <c r="AL498" s="853">
        <v>0</v>
      </c>
      <c r="AM498" s="884"/>
      <c r="AN498" s="792"/>
      <c r="AO498" s="853">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3935</v>
      </c>
      <c r="C499" s="884"/>
      <c r="D499" s="792"/>
      <c r="E499" s="853">
        <v>-10790</v>
      </c>
      <c r="F499" s="884"/>
      <c r="G499" s="792"/>
      <c r="H499" s="846">
        <v>-1079</v>
      </c>
      <c r="I499" s="884"/>
      <c r="J499" s="792"/>
      <c r="K499" s="846">
        <v>-1079</v>
      </c>
      <c r="L499" s="884"/>
      <c r="M499" s="792"/>
      <c r="N499" s="846">
        <v>-1079</v>
      </c>
      <c r="O499" s="884"/>
      <c r="P499" s="792"/>
      <c r="Q499" s="846">
        <v>-1079</v>
      </c>
      <c r="R499" s="884"/>
      <c r="S499" s="792"/>
      <c r="T499" s="846">
        <v>-1079</v>
      </c>
      <c r="U499" s="884"/>
      <c r="V499" s="792"/>
      <c r="W499" s="846">
        <v>-1079</v>
      </c>
      <c r="X499" s="884"/>
      <c r="Y499" s="792"/>
      <c r="Z499" s="846">
        <v>-1079</v>
      </c>
      <c r="AA499" s="884"/>
      <c r="AB499" s="792"/>
      <c r="AC499" s="846">
        <v>-1079</v>
      </c>
      <c r="AD499" s="884"/>
      <c r="AE499" s="792"/>
      <c r="AF499" s="846">
        <v>-1079</v>
      </c>
      <c r="AG499" s="884"/>
      <c r="AH499" s="792"/>
      <c r="AI499" s="846">
        <v>-1079</v>
      </c>
      <c r="AJ499" s="884"/>
      <c r="AK499" s="792"/>
      <c r="AL499" s="846">
        <v>0</v>
      </c>
      <c r="AM499" s="884"/>
      <c r="AN499" s="792"/>
      <c r="AO499" s="846">
        <v>0</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84"/>
      <c r="D500" s="792"/>
      <c r="E500" s="846"/>
      <c r="F500" s="884"/>
      <c r="G500" s="792"/>
      <c r="H500" s="846"/>
      <c r="I500" s="884"/>
      <c r="J500" s="792"/>
      <c r="K500" s="846"/>
      <c r="L500" s="884"/>
      <c r="M500" s="792"/>
      <c r="N500" s="846"/>
      <c r="O500" s="884"/>
      <c r="P500" s="792"/>
      <c r="Q500" s="846"/>
      <c r="R500" s="884"/>
      <c r="S500" s="792"/>
      <c r="T500" s="846"/>
      <c r="U500" s="884"/>
      <c r="V500" s="792"/>
      <c r="W500" s="846"/>
      <c r="X500" s="884"/>
      <c r="Y500" s="792"/>
      <c r="Z500" s="846"/>
      <c r="AA500" s="884"/>
      <c r="AB500" s="792"/>
      <c r="AC500" s="846"/>
      <c r="AD500" s="884"/>
      <c r="AE500" s="792"/>
      <c r="AF500" s="846"/>
      <c r="AG500" s="884"/>
      <c r="AH500" s="792"/>
      <c r="AI500" s="846"/>
      <c r="AJ500" s="884"/>
      <c r="AK500" s="792"/>
      <c r="AL500" s="846"/>
      <c r="AM500" s="884"/>
      <c r="AN500" s="792"/>
      <c r="AO500" s="84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888" t="s">
        <v>219</v>
      </c>
      <c r="D501" s="886">
        <v>2.7082682061338129E-2</v>
      </c>
      <c r="E501" s="889">
        <v>1721651.8899999964</v>
      </c>
      <c r="F501" s="888" t="s">
        <v>219</v>
      </c>
      <c r="G501" s="886">
        <v>3.0090147187851302</v>
      </c>
      <c r="H501" s="889">
        <v>-3669.1800000013027</v>
      </c>
      <c r="I501" s="888" t="s">
        <v>219</v>
      </c>
      <c r="J501" s="886">
        <v>3.0090147187851302</v>
      </c>
      <c r="K501" s="889">
        <v>-795.17000000047847</v>
      </c>
      <c r="L501" s="888" t="s">
        <v>219</v>
      </c>
      <c r="M501" s="886">
        <v>3.0090147187851302</v>
      </c>
      <c r="N501" s="889">
        <v>80421.769999999378</v>
      </c>
      <c r="O501" s="888" t="s">
        <v>219</v>
      </c>
      <c r="P501" s="886">
        <v>3.0090147187851302</v>
      </c>
      <c r="Q501" s="889">
        <v>113419.5099999996</v>
      </c>
      <c r="R501" s="888" t="s">
        <v>219</v>
      </c>
      <c r="S501" s="886">
        <v>3.0090147187851302</v>
      </c>
      <c r="T501" s="889">
        <v>105814.54999999981</v>
      </c>
      <c r="U501" s="888" t="s">
        <v>219</v>
      </c>
      <c r="V501" s="886">
        <v>3.0090147187851302</v>
      </c>
      <c r="W501" s="1278">
        <v>138213.38999999946</v>
      </c>
      <c r="X501" s="888" t="s">
        <v>219</v>
      </c>
      <c r="Y501" s="886">
        <v>3.0090147187851302</v>
      </c>
      <c r="Z501" s="1278">
        <v>237652.77000000048</v>
      </c>
      <c r="AA501" s="888" t="s">
        <v>219</v>
      </c>
      <c r="AB501" s="886">
        <v>3.0090147187851302</v>
      </c>
      <c r="AC501" s="1278">
        <v>174123.75999999937</v>
      </c>
      <c r="AD501" s="888" t="s">
        <v>219</v>
      </c>
      <c r="AE501" s="886">
        <v>3.0090147187851302</v>
      </c>
      <c r="AF501" s="1278">
        <v>256973.91999999975</v>
      </c>
      <c r="AG501" s="888" t="s">
        <v>219</v>
      </c>
      <c r="AH501" s="886">
        <v>3.0090147187851302</v>
      </c>
      <c r="AI501" s="889">
        <v>156769.29999999912</v>
      </c>
      <c r="AJ501" s="888" t="s">
        <v>219</v>
      </c>
      <c r="AK501" s="886">
        <v>3.0090147187851302</v>
      </c>
      <c r="AL501" s="889">
        <v>257493.6799999986</v>
      </c>
      <c r="AM501" s="888" t="s">
        <v>219</v>
      </c>
      <c r="AN501" s="886">
        <v>3.0090147187851302</v>
      </c>
      <c r="AO501" s="889">
        <v>205233.58999999971</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59765625" defaultRowHeight="15" customHeight="1"/>
  <cols>
    <col min="1" max="1" width="11.59765625" hidden="1" customWidth="1"/>
    <col min="2" max="2" width="12.09765625" customWidth="1"/>
    <col min="3" max="3" width="27" customWidth="1"/>
    <col min="4" max="4" width="22.69921875" customWidth="1"/>
    <col min="5" max="7" width="13.59765625" customWidth="1"/>
    <col min="8" max="19" width="10.5" customWidth="1"/>
    <col min="20" max="20" width="37.8984375" customWidth="1"/>
    <col min="21" max="26" width="11" customWidth="1"/>
  </cols>
  <sheetData>
    <row r="1" spans="1:26" ht="31.2">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3930</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ht="14.4">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FORECAST</v>
      </c>
      <c r="L3" s="98" t="str">
        <f>+IF(VLOOKUP(L2,Parametres!$L$3:$N$14,3,0)="X","REEL","FORECAST")</f>
        <v>FORECAST</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290" t="s">
        <v>228</v>
      </c>
      <c r="B4" s="1290"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91"/>
      <c r="B5" s="1291"/>
      <c r="C5" s="1292" t="s">
        <v>248</v>
      </c>
      <c r="D5" s="1293"/>
      <c r="E5" s="103">
        <f t="shared" ref="E5:S5" si="0">+SUM(E6:E20)</f>
        <v>30931.3</v>
      </c>
      <c r="F5" s="104">
        <f t="shared" si="0"/>
        <v>40000</v>
      </c>
      <c r="G5" s="104">
        <f t="shared" si="0"/>
        <v>-9068.7000000000007</v>
      </c>
      <c r="H5" s="105">
        <f t="shared" si="0"/>
        <v>30931.3</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t="s">
        <v>3885</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68</v>
      </c>
      <c r="Y6" s="3"/>
      <c r="Z6" s="3"/>
    </row>
    <row r="7" spans="1:26" ht="30" customHeight="1">
      <c r="A7" s="113" t="str">
        <f>+Parametres!$B$1</f>
        <v>Volks</v>
      </c>
      <c r="B7" s="114" t="s">
        <v>250</v>
      </c>
      <c r="C7" t="s">
        <v>3931</v>
      </c>
      <c r="D7" s="110"/>
      <c r="E7" s="112">
        <f t="shared" si="1"/>
        <v>0</v>
      </c>
      <c r="F7" s="111"/>
      <c r="G7" s="111">
        <f t="shared" si="2"/>
        <v>0</v>
      </c>
      <c r="H7" s="112"/>
      <c r="I7" s="111"/>
      <c r="J7" s="111"/>
      <c r="K7" s="111"/>
      <c r="L7" s="111"/>
      <c r="M7" s="111"/>
      <c r="N7" s="111"/>
      <c r="O7" s="111"/>
      <c r="P7" s="111"/>
      <c r="Q7" s="111"/>
      <c r="R7" s="111"/>
      <c r="S7" s="111"/>
      <c r="T7" s="113"/>
      <c r="U7" s="3"/>
      <c r="V7" s="3"/>
      <c r="W7" s="3"/>
      <c r="X7" s="3" t="s">
        <v>70</v>
      </c>
      <c r="Y7" s="3"/>
      <c r="Z7" s="3"/>
    </row>
    <row r="8" spans="1:26" ht="30" customHeight="1">
      <c r="A8" s="113" t="str">
        <f>+Parametres!$B$1</f>
        <v>Volks</v>
      </c>
      <c r="B8" s="114"/>
      <c r="C8" t="s">
        <v>3936</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59765625" defaultRowHeight="15" customHeight="1"/>
  <cols>
    <col min="1" max="2" width="11" customWidth="1"/>
    <col min="3" max="3" width="25.59765625" customWidth="1"/>
    <col min="4" max="4" width="18.59765625" customWidth="1"/>
    <col min="5" max="5" width="12" customWidth="1"/>
    <col min="6" max="6" width="12.59765625" customWidth="1"/>
    <col min="7" max="7" width="23.59765625" customWidth="1"/>
    <col min="8" max="9" width="11" customWidth="1"/>
    <col min="10" max="10" width="13.59765625" customWidth="1"/>
    <col min="11" max="12" width="11" customWidth="1"/>
    <col min="13" max="13" width="14.59765625" bestFit="1" customWidth="1"/>
    <col min="14" max="14" width="12.59765625" customWidth="1"/>
    <col min="15" max="15" width="13.19921875" customWidth="1"/>
    <col min="16" max="28" width="11" customWidth="1"/>
  </cols>
  <sheetData>
    <row r="1" spans="1:28" ht="14.25" customHeight="1">
      <c r="A1" s="1008" t="s">
        <v>252</v>
      </c>
      <c r="B1" s="1014" t="s">
        <v>9</v>
      </c>
      <c r="C1" s="1014" t="s">
        <v>253</v>
      </c>
      <c r="D1" s="1014" t="s">
        <v>254</v>
      </c>
      <c r="E1" s="1010" t="s">
        <v>848</v>
      </c>
      <c r="F1" s="1010" t="s">
        <v>905</v>
      </c>
      <c r="G1" s="1008" t="s">
        <v>257</v>
      </c>
      <c r="H1" s="1012" t="s">
        <v>258</v>
      </c>
      <c r="I1" s="138"/>
      <c r="J1" s="138"/>
      <c r="K1" s="138"/>
      <c r="L1" s="138"/>
      <c r="M1" s="931">
        <v>45169</v>
      </c>
      <c r="N1" s="140" t="s">
        <v>255</v>
      </c>
      <c r="O1" s="140" t="s">
        <v>256</v>
      </c>
      <c r="P1" s="138"/>
      <c r="Q1" s="138"/>
      <c r="R1" s="138"/>
      <c r="S1" s="138"/>
      <c r="T1" s="138"/>
      <c r="U1" s="138"/>
      <c r="V1" s="138"/>
      <c r="W1" s="138"/>
      <c r="X1" s="138"/>
      <c r="Y1" s="138"/>
      <c r="Z1" s="138"/>
      <c r="AA1" s="138"/>
      <c r="AB1" s="138"/>
    </row>
    <row r="2" spans="1:28" ht="14.25" customHeight="1">
      <c r="A2" s="1009" t="s">
        <v>281</v>
      </c>
      <c r="B2" s="1009" t="s">
        <v>278</v>
      </c>
      <c r="C2" s="1009" t="s">
        <v>267</v>
      </c>
      <c r="D2" s="1009" t="s">
        <v>282</v>
      </c>
      <c r="E2" s="1011">
        <v>32007.51</v>
      </c>
      <c r="F2" s="1011">
        <v>-22494.36</v>
      </c>
      <c r="G2" s="1009" t="s">
        <v>283</v>
      </c>
      <c r="H2" s="1006">
        <v>423</v>
      </c>
      <c r="I2" s="968"/>
      <c r="J2" s="967"/>
      <c r="K2" s="967"/>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09" t="s">
        <v>3340</v>
      </c>
      <c r="B3" s="1009" t="s">
        <v>278</v>
      </c>
      <c r="C3" s="1009" t="s">
        <v>267</v>
      </c>
      <c r="D3" s="1009" t="s">
        <v>282</v>
      </c>
      <c r="E3" s="1011">
        <v>24454.46</v>
      </c>
      <c r="F3" s="1007"/>
      <c r="G3" s="1009" t="s">
        <v>3341</v>
      </c>
      <c r="H3" s="1006">
        <v>306</v>
      </c>
      <c r="I3" s="967"/>
      <c r="J3" s="967"/>
      <c r="K3" s="967"/>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09" t="s">
        <v>3418</v>
      </c>
      <c r="B4" s="1009" t="s">
        <v>268</v>
      </c>
      <c r="C4" s="1009" t="s">
        <v>267</v>
      </c>
      <c r="D4" s="1009" t="s">
        <v>269</v>
      </c>
      <c r="E4" s="1011">
        <v>37735.15</v>
      </c>
      <c r="F4" s="1007"/>
      <c r="G4" s="1009" t="s">
        <v>3419</v>
      </c>
      <c r="H4" s="1006">
        <v>188</v>
      </c>
      <c r="I4" s="967"/>
      <c r="J4" s="967"/>
      <c r="K4" s="967"/>
      <c r="L4" s="138"/>
      <c r="M4" s="138"/>
      <c r="N4" s="138"/>
      <c r="O4" s="138"/>
      <c r="P4" s="138"/>
      <c r="Q4" s="138"/>
      <c r="R4" s="138"/>
      <c r="S4" s="138"/>
      <c r="T4" s="138"/>
      <c r="U4" s="138"/>
      <c r="V4" s="138"/>
      <c r="W4" s="138"/>
      <c r="X4" s="138"/>
      <c r="Y4" s="138"/>
      <c r="Z4" s="138"/>
      <c r="AA4" s="138"/>
      <c r="AB4" s="138"/>
    </row>
    <row r="5" spans="1:28" ht="14.25" customHeight="1">
      <c r="A5" s="1009" t="s">
        <v>3420</v>
      </c>
      <c r="B5" s="1009" t="s">
        <v>266</v>
      </c>
      <c r="C5" s="1009" t="s">
        <v>267</v>
      </c>
      <c r="D5" s="1009" t="s">
        <v>3407</v>
      </c>
      <c r="E5" s="1011">
        <v>29929.55</v>
      </c>
      <c r="F5" s="1007"/>
      <c r="G5" s="1009" t="s">
        <v>3421</v>
      </c>
      <c r="H5" s="1006">
        <v>187</v>
      </c>
      <c r="I5" s="967"/>
      <c r="J5" s="967"/>
      <c r="K5" s="967"/>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09" t="s">
        <v>3440</v>
      </c>
      <c r="B6" s="1009" t="s">
        <v>266</v>
      </c>
      <c r="C6" s="1009" t="s">
        <v>267</v>
      </c>
      <c r="D6" s="1009" t="s">
        <v>262</v>
      </c>
      <c r="E6" s="1011">
        <v>31306.12</v>
      </c>
      <c r="F6" s="1007"/>
      <c r="G6" s="1009" t="s">
        <v>3441</v>
      </c>
      <c r="H6" s="1006">
        <v>131</v>
      </c>
      <c r="I6" s="967"/>
      <c r="J6" s="967"/>
      <c r="K6" s="967"/>
      <c r="L6" s="138"/>
      <c r="M6" s="138"/>
      <c r="N6" s="138"/>
      <c r="O6" s="138"/>
      <c r="P6" s="138"/>
      <c r="Q6" s="138"/>
      <c r="R6" s="138"/>
      <c r="S6" s="138"/>
      <c r="T6" s="138"/>
      <c r="U6" s="138"/>
      <c r="V6" s="138"/>
      <c r="W6" s="138"/>
      <c r="X6" s="138"/>
      <c r="Y6" s="138"/>
      <c r="Z6" s="138"/>
      <c r="AA6" s="138"/>
      <c r="AB6" s="138"/>
    </row>
    <row r="7" spans="1:28" ht="14.25" customHeight="1">
      <c r="A7" s="1009" t="s">
        <v>3547</v>
      </c>
      <c r="B7" s="1009" t="s">
        <v>3548</v>
      </c>
      <c r="C7" s="1009" t="s">
        <v>3542</v>
      </c>
      <c r="D7" s="1009" t="s">
        <v>3543</v>
      </c>
      <c r="E7" s="1011">
        <v>17680.419999999998</v>
      </c>
      <c r="F7" s="1007"/>
      <c r="G7" s="1009" t="s">
        <v>3549</v>
      </c>
      <c r="H7" s="1006">
        <v>121</v>
      </c>
      <c r="I7" s="967"/>
      <c r="J7" s="967"/>
      <c r="K7" s="967"/>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09" t="s">
        <v>3462</v>
      </c>
      <c r="B8" s="1009" t="s">
        <v>268</v>
      </c>
      <c r="C8" s="1009" t="s">
        <v>267</v>
      </c>
      <c r="D8" s="1009" t="s">
        <v>260</v>
      </c>
      <c r="E8" s="1011">
        <v>28635.15</v>
      </c>
      <c r="F8" s="1011">
        <v>-31332.799999999999</v>
      </c>
      <c r="G8" s="1009" t="s">
        <v>3463</v>
      </c>
      <c r="H8" s="1006">
        <v>104</v>
      </c>
      <c r="I8" s="967"/>
      <c r="J8" s="967"/>
      <c r="K8" s="967"/>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09" t="s">
        <v>3458</v>
      </c>
      <c r="B9" s="1009" t="s">
        <v>259</v>
      </c>
      <c r="C9" s="1009" t="s">
        <v>267</v>
      </c>
      <c r="D9" s="1009" t="s">
        <v>260</v>
      </c>
      <c r="E9" s="1011">
        <v>38815.25</v>
      </c>
      <c r="F9" s="1007"/>
      <c r="G9" s="1009" t="s">
        <v>3459</v>
      </c>
      <c r="H9" s="1006">
        <v>94</v>
      </c>
      <c r="I9" s="967"/>
      <c r="J9" s="967"/>
      <c r="K9" s="967"/>
      <c r="L9" s="138"/>
      <c r="M9" s="138"/>
      <c r="N9" s="138"/>
      <c r="O9" s="138"/>
      <c r="P9" s="138"/>
      <c r="Q9" s="138"/>
      <c r="R9" s="138"/>
      <c r="S9" s="138"/>
      <c r="T9" s="138"/>
      <c r="U9" s="138"/>
      <c r="V9" s="138"/>
      <c r="W9" s="138"/>
      <c r="X9" s="138"/>
      <c r="Y9" s="138"/>
      <c r="Z9" s="138"/>
      <c r="AA9" s="138"/>
      <c r="AB9" s="138"/>
    </row>
    <row r="10" spans="1:28" ht="14.25" customHeight="1">
      <c r="A10" s="1009" t="s">
        <v>3460</v>
      </c>
      <c r="B10" s="1009" t="s">
        <v>278</v>
      </c>
      <c r="C10" s="1009" t="s">
        <v>267</v>
      </c>
      <c r="D10" s="1009" t="s">
        <v>260</v>
      </c>
      <c r="E10" s="1011">
        <v>31315.25</v>
      </c>
      <c r="F10" s="1011">
        <v>-24944.54</v>
      </c>
      <c r="G10" s="1009" t="s">
        <v>3461</v>
      </c>
      <c r="H10" s="1006">
        <v>94</v>
      </c>
      <c r="I10" s="967"/>
      <c r="J10" s="967"/>
      <c r="K10" s="967"/>
      <c r="L10" s="138"/>
      <c r="M10" s="138"/>
      <c r="N10" s="138"/>
      <c r="O10" s="138"/>
      <c r="P10" s="138"/>
      <c r="Q10" s="138"/>
      <c r="R10" s="138"/>
      <c r="S10" s="138"/>
      <c r="T10" s="138"/>
      <c r="U10" s="138"/>
      <c r="V10" s="138"/>
      <c r="W10" s="138"/>
      <c r="X10" s="138"/>
      <c r="Y10" s="138"/>
      <c r="Z10" s="138"/>
      <c r="AA10" s="138"/>
      <c r="AB10" s="138"/>
    </row>
    <row r="11" spans="1:28" ht="14.25" customHeight="1">
      <c r="A11" s="1009" t="s">
        <v>3465</v>
      </c>
      <c r="B11" s="1009" t="s">
        <v>275</v>
      </c>
      <c r="C11" s="1009" t="s">
        <v>267</v>
      </c>
      <c r="D11" s="1009" t="s">
        <v>277</v>
      </c>
      <c r="E11" s="1011">
        <v>21280.25</v>
      </c>
      <c r="F11" s="1011">
        <v>-10962</v>
      </c>
      <c r="G11" s="1009" t="s">
        <v>3466</v>
      </c>
      <c r="H11" s="1006">
        <v>94</v>
      </c>
      <c r="I11" s="967"/>
      <c r="J11" s="967"/>
      <c r="K11" s="967"/>
      <c r="L11" s="138"/>
      <c r="M11" s="138"/>
      <c r="N11" s="138"/>
      <c r="O11" s="138"/>
      <c r="P11" s="138"/>
      <c r="Q11" s="138"/>
      <c r="R11" s="138"/>
      <c r="S11" s="138"/>
      <c r="T11" s="138"/>
      <c r="U11" s="138"/>
      <c r="V11" s="138"/>
      <c r="W11" s="138"/>
      <c r="X11" s="138"/>
      <c r="Y11" s="138"/>
      <c r="Z11" s="138"/>
      <c r="AA11" s="138"/>
      <c r="AB11" s="138"/>
    </row>
    <row r="12" spans="1:28" ht="14.25" customHeight="1">
      <c r="A12" s="1009" t="s">
        <v>3467</v>
      </c>
      <c r="B12" s="1009" t="s">
        <v>266</v>
      </c>
      <c r="C12" s="1009" t="s">
        <v>3468</v>
      </c>
      <c r="D12" s="1009" t="s">
        <v>3469</v>
      </c>
      <c r="E12" s="1011">
        <v>17550</v>
      </c>
      <c r="F12" s="1007"/>
      <c r="G12" s="1009" t="s">
        <v>3470</v>
      </c>
      <c r="H12" s="1006">
        <v>93</v>
      </c>
      <c r="I12" s="967"/>
      <c r="J12" s="967"/>
      <c r="K12" s="967"/>
      <c r="L12" s="138"/>
      <c r="M12" s="138"/>
      <c r="N12" s="138"/>
      <c r="O12" s="138"/>
      <c r="P12" s="138"/>
      <c r="Q12" s="138"/>
      <c r="R12" s="138"/>
      <c r="S12" s="138"/>
      <c r="T12" s="138"/>
      <c r="U12" s="138"/>
      <c r="V12" s="138"/>
      <c r="W12" s="138"/>
      <c r="X12" s="138"/>
      <c r="Y12" s="138"/>
      <c r="Z12" s="138"/>
      <c r="AA12" s="138"/>
      <c r="AB12" s="138"/>
    </row>
    <row r="13" spans="1:28" ht="14.25" customHeight="1">
      <c r="A13" s="1009" t="s">
        <v>3533</v>
      </c>
      <c r="B13" s="1009" t="s">
        <v>275</v>
      </c>
      <c r="C13" s="1009" t="s">
        <v>267</v>
      </c>
      <c r="D13" s="1009" t="s">
        <v>279</v>
      </c>
      <c r="E13" s="1011">
        <v>27280.25</v>
      </c>
      <c r="F13" s="1011">
        <v>-17480.23</v>
      </c>
      <c r="G13" s="1009" t="s">
        <v>3534</v>
      </c>
      <c r="H13" s="1006">
        <v>90</v>
      </c>
      <c r="I13" s="967"/>
      <c r="J13" s="967"/>
      <c r="K13" s="967"/>
      <c r="L13" s="138"/>
      <c r="M13" s="138"/>
      <c r="N13" s="138"/>
      <c r="O13" s="138"/>
      <c r="P13" s="138"/>
      <c r="Q13" s="138"/>
      <c r="R13" s="138"/>
      <c r="S13" s="138"/>
      <c r="T13" s="138"/>
      <c r="U13" s="138"/>
      <c r="V13" s="138"/>
      <c r="W13" s="138"/>
      <c r="X13" s="138"/>
      <c r="Y13" s="138"/>
      <c r="Z13" s="138"/>
      <c r="AA13" s="138"/>
      <c r="AB13" s="138"/>
    </row>
    <row r="14" spans="1:28" ht="14.25" customHeight="1">
      <c r="A14" s="1009" t="s">
        <v>3510</v>
      </c>
      <c r="B14" s="1009" t="s">
        <v>259</v>
      </c>
      <c r="C14" s="1009" t="s">
        <v>267</v>
      </c>
      <c r="D14" s="1009" t="s">
        <v>269</v>
      </c>
      <c r="E14" s="1011">
        <v>44105.05</v>
      </c>
      <c r="F14" s="1011">
        <v>-38250</v>
      </c>
      <c r="G14" s="1009" t="s">
        <v>3511</v>
      </c>
      <c r="H14" s="1013">
        <v>88</v>
      </c>
      <c r="I14" s="967"/>
      <c r="J14" s="967"/>
      <c r="K14" s="967"/>
      <c r="L14" s="138"/>
      <c r="M14" s="138"/>
      <c r="N14" s="138"/>
      <c r="O14" s="138"/>
      <c r="P14" s="138"/>
      <c r="Q14" s="138"/>
      <c r="R14" s="138"/>
      <c r="S14" s="138"/>
      <c r="T14" s="138"/>
      <c r="U14" s="138"/>
      <c r="V14" s="138"/>
      <c r="W14" s="138"/>
      <c r="X14" s="138"/>
      <c r="Y14" s="138"/>
      <c r="Z14" s="138"/>
      <c r="AA14" s="138"/>
      <c r="AB14" s="138"/>
    </row>
    <row r="15" spans="1:28" ht="14.25" customHeight="1">
      <c r="A15" s="1009" t="s">
        <v>3524</v>
      </c>
      <c r="B15" s="1009" t="s">
        <v>278</v>
      </c>
      <c r="C15" s="1009" t="s">
        <v>267</v>
      </c>
      <c r="D15" s="1009" t="s">
        <v>269</v>
      </c>
      <c r="E15" s="1011">
        <v>36415.129999999997</v>
      </c>
      <c r="F15" s="1011">
        <v>-26892</v>
      </c>
      <c r="G15" s="1009" t="s">
        <v>3525</v>
      </c>
      <c r="H15" s="1013">
        <v>82</v>
      </c>
      <c r="I15" s="967"/>
      <c r="J15" s="967"/>
      <c r="K15" s="967"/>
      <c r="L15" s="138"/>
      <c r="M15" s="138"/>
      <c r="N15" s="138"/>
      <c r="O15" s="138"/>
      <c r="P15" s="138"/>
      <c r="Q15" s="138"/>
      <c r="R15" s="138"/>
      <c r="S15" s="138"/>
      <c r="T15" s="138"/>
      <c r="U15" s="138"/>
      <c r="V15" s="138"/>
      <c r="W15" s="138"/>
      <c r="X15" s="138"/>
      <c r="Y15" s="138"/>
      <c r="Z15" s="138"/>
      <c r="AA15" s="138"/>
      <c r="AB15" s="138"/>
    </row>
    <row r="16" spans="1:28" ht="14.25" customHeight="1">
      <c r="A16" s="1009" t="s">
        <v>3518</v>
      </c>
      <c r="B16" s="1009" t="s">
        <v>278</v>
      </c>
      <c r="C16" s="1009" t="s">
        <v>267</v>
      </c>
      <c r="D16" s="1009" t="s">
        <v>260</v>
      </c>
      <c r="E16" s="1011">
        <v>27935.05</v>
      </c>
      <c r="F16" s="1007"/>
      <c r="G16" s="1009" t="s">
        <v>3519</v>
      </c>
      <c r="H16" s="1013">
        <v>76</v>
      </c>
      <c r="I16" s="967"/>
      <c r="J16" s="967"/>
      <c r="K16" s="967"/>
      <c r="L16" s="138"/>
      <c r="M16" s="138"/>
      <c r="N16" s="138"/>
      <c r="O16" s="138"/>
      <c r="P16" s="138"/>
      <c r="Q16" s="138"/>
      <c r="R16" s="138"/>
      <c r="S16" s="138"/>
      <c r="T16" s="138"/>
      <c r="U16" s="138"/>
      <c r="V16" s="138"/>
      <c r="W16" s="138"/>
      <c r="X16" s="138"/>
      <c r="Y16" s="138"/>
      <c r="Z16" s="138"/>
      <c r="AA16" s="138"/>
      <c r="AB16" s="138"/>
    </row>
    <row r="17" spans="1:28" ht="14.25" customHeight="1">
      <c r="A17" s="1009" t="s">
        <v>3544</v>
      </c>
      <c r="B17" s="1009" t="s">
        <v>280</v>
      </c>
      <c r="C17" s="1009" t="s">
        <v>3350</v>
      </c>
      <c r="D17" s="1009" t="s">
        <v>3545</v>
      </c>
      <c r="E17" s="1011">
        <v>20050</v>
      </c>
      <c r="F17" s="1007"/>
      <c r="G17" s="1009" t="s">
        <v>3546</v>
      </c>
      <c r="H17" s="1013">
        <v>74</v>
      </c>
      <c r="I17" s="967"/>
      <c r="J17" s="967"/>
      <c r="K17" s="967"/>
      <c r="L17" s="138"/>
      <c r="M17" s="138"/>
      <c r="N17" s="138"/>
      <c r="O17" s="138"/>
      <c r="P17" s="138"/>
      <c r="Q17" s="138"/>
      <c r="R17" s="138"/>
      <c r="S17" s="138"/>
      <c r="T17" s="138"/>
      <c r="U17" s="138"/>
      <c r="V17" s="138"/>
      <c r="W17" s="138"/>
      <c r="X17" s="138"/>
      <c r="Y17" s="138"/>
      <c r="Z17" s="138"/>
      <c r="AA17" s="138"/>
      <c r="AB17" s="138"/>
    </row>
    <row r="18" spans="1:28" ht="14.25" customHeight="1">
      <c r="A18" s="1009" t="s">
        <v>3537</v>
      </c>
      <c r="B18" s="1009" t="s">
        <v>266</v>
      </c>
      <c r="C18" s="1009" t="s">
        <v>267</v>
      </c>
      <c r="D18" s="1009" t="s">
        <v>260</v>
      </c>
      <c r="E18" s="1011">
        <v>20497.05</v>
      </c>
      <c r="F18" s="1007"/>
      <c r="G18" s="1009" t="s">
        <v>3538</v>
      </c>
      <c r="H18" s="1013">
        <v>72</v>
      </c>
      <c r="I18" s="967"/>
      <c r="J18" s="967"/>
      <c r="K18" s="967"/>
      <c r="L18" s="138"/>
      <c r="M18" s="138"/>
      <c r="N18" s="138"/>
      <c r="O18" s="138"/>
      <c r="P18" s="138"/>
      <c r="Q18" s="138"/>
      <c r="R18" s="138"/>
      <c r="S18" s="138"/>
      <c r="T18" s="138"/>
      <c r="U18" s="138"/>
      <c r="V18" s="138"/>
      <c r="W18" s="138"/>
      <c r="X18" s="138"/>
      <c r="Y18" s="138"/>
      <c r="Z18" s="138"/>
      <c r="AA18" s="138"/>
      <c r="AB18" s="138"/>
    </row>
    <row r="19" spans="1:28" ht="14.25" customHeight="1">
      <c r="A19" s="1009" t="s">
        <v>3520</v>
      </c>
      <c r="B19" s="1009" t="s">
        <v>278</v>
      </c>
      <c r="C19" s="1009" t="s">
        <v>267</v>
      </c>
      <c r="D19" s="1009" t="s">
        <v>260</v>
      </c>
      <c r="E19" s="1011">
        <v>28075.78</v>
      </c>
      <c r="F19" s="1011">
        <v>-23850</v>
      </c>
      <c r="G19" s="1009" t="s">
        <v>3521</v>
      </c>
      <c r="H19" s="1013">
        <v>69</v>
      </c>
      <c r="I19" s="967"/>
      <c r="J19" s="967"/>
      <c r="K19" s="967"/>
      <c r="L19" s="138"/>
      <c r="M19" s="138"/>
      <c r="N19" s="138"/>
      <c r="O19" s="138"/>
      <c r="P19" s="138"/>
      <c r="Q19" s="138"/>
      <c r="R19" s="138"/>
      <c r="S19" s="138"/>
      <c r="T19" s="138"/>
      <c r="U19" s="138"/>
      <c r="V19" s="138"/>
      <c r="W19" s="138"/>
      <c r="X19" s="138"/>
      <c r="Y19" s="138"/>
      <c r="Z19" s="138"/>
      <c r="AA19" s="138"/>
      <c r="AB19" s="138"/>
    </row>
    <row r="20" spans="1:28" ht="14.25" customHeight="1">
      <c r="A20" s="1009" t="s">
        <v>3531</v>
      </c>
      <c r="B20" s="1009" t="s">
        <v>275</v>
      </c>
      <c r="C20" s="1009" t="s">
        <v>267</v>
      </c>
      <c r="D20" s="1009" t="s">
        <v>260</v>
      </c>
      <c r="E20" s="1011">
        <v>26815.25</v>
      </c>
      <c r="F20" s="1007"/>
      <c r="G20" s="1009" t="s">
        <v>3532</v>
      </c>
      <c r="H20" s="1013">
        <v>69</v>
      </c>
      <c r="I20" s="967"/>
      <c r="J20" s="967"/>
      <c r="K20" s="967"/>
      <c r="L20" s="138"/>
      <c r="M20" s="138"/>
      <c r="N20" s="138"/>
      <c r="O20" s="138"/>
      <c r="P20" s="138"/>
      <c r="Q20" s="138"/>
      <c r="R20" s="138"/>
      <c r="S20" s="138"/>
      <c r="T20" s="138"/>
      <c r="U20" s="138"/>
      <c r="V20" s="138"/>
      <c r="W20" s="138"/>
      <c r="X20" s="138"/>
      <c r="Y20" s="138"/>
      <c r="Z20" s="138"/>
      <c r="AA20" s="138"/>
      <c r="AB20" s="138"/>
    </row>
    <row r="21" spans="1:28" ht="14.25" customHeight="1">
      <c r="A21" s="1009" t="s">
        <v>3581</v>
      </c>
      <c r="B21" s="1009" t="s">
        <v>268</v>
      </c>
      <c r="C21" s="1009" t="s">
        <v>267</v>
      </c>
      <c r="D21" s="1009" t="s">
        <v>260</v>
      </c>
      <c r="E21" s="1011">
        <v>28447.25</v>
      </c>
      <c r="F21" s="1011">
        <v>-24418.799999999999</v>
      </c>
      <c r="G21" s="1009" t="s">
        <v>3582</v>
      </c>
      <c r="H21" s="1013">
        <v>68</v>
      </c>
      <c r="I21" s="967"/>
      <c r="J21" s="967"/>
      <c r="K21" s="967"/>
      <c r="L21" s="138"/>
      <c r="M21" s="138"/>
      <c r="N21" s="138"/>
      <c r="O21" s="138"/>
      <c r="P21" s="138"/>
      <c r="Q21" s="138"/>
      <c r="R21" s="138"/>
      <c r="S21" s="138"/>
      <c r="T21" s="138"/>
      <c r="U21" s="138"/>
      <c r="V21" s="138"/>
      <c r="W21" s="138"/>
      <c r="X21" s="138"/>
      <c r="Y21" s="138"/>
      <c r="Z21" s="138"/>
      <c r="AA21" s="138"/>
      <c r="AB21" s="138"/>
    </row>
    <row r="22" spans="1:28" ht="14.25" customHeight="1">
      <c r="A22" s="1009" t="s">
        <v>3535</v>
      </c>
      <c r="B22" s="1009" t="s">
        <v>275</v>
      </c>
      <c r="C22" s="1009" t="s">
        <v>267</v>
      </c>
      <c r="D22" s="1009" t="s">
        <v>262</v>
      </c>
      <c r="E22" s="1011">
        <v>29352</v>
      </c>
      <c r="F22" s="1007"/>
      <c r="G22" s="1009" t="s">
        <v>3536</v>
      </c>
      <c r="H22" s="1013">
        <v>66</v>
      </c>
      <c r="I22" s="967"/>
      <c r="J22" s="967"/>
      <c r="K22" s="967"/>
      <c r="L22" s="138"/>
      <c r="M22" s="138"/>
      <c r="N22" s="138"/>
      <c r="O22" s="138"/>
      <c r="P22" s="138"/>
      <c r="Q22" s="138"/>
      <c r="R22" s="138"/>
      <c r="S22" s="138"/>
      <c r="T22" s="138"/>
      <c r="U22" s="138"/>
      <c r="V22" s="138"/>
      <c r="W22" s="138"/>
      <c r="X22" s="138"/>
      <c r="Y22" s="138"/>
      <c r="Z22" s="138"/>
      <c r="AA22" s="138"/>
      <c r="AB22" s="138"/>
    </row>
    <row r="23" spans="1:28" ht="14.25" customHeight="1">
      <c r="A23" s="1009" t="s">
        <v>3540</v>
      </c>
      <c r="B23" s="1009" t="s">
        <v>266</v>
      </c>
      <c r="C23" s="1009" t="s">
        <v>267</v>
      </c>
      <c r="D23" s="1009" t="s">
        <v>273</v>
      </c>
      <c r="E23" s="1011">
        <v>18787.5</v>
      </c>
      <c r="F23" s="1007"/>
      <c r="G23" s="1009" t="s">
        <v>3541</v>
      </c>
      <c r="H23" s="1013">
        <v>66</v>
      </c>
      <c r="I23" s="967"/>
      <c r="J23" s="967"/>
      <c r="K23" s="967"/>
      <c r="L23" s="138"/>
      <c r="M23" s="138"/>
      <c r="N23" s="138"/>
      <c r="O23" s="138"/>
      <c r="P23" s="138"/>
      <c r="Q23" s="138"/>
      <c r="R23" s="138"/>
      <c r="S23" s="138"/>
      <c r="T23" s="138"/>
      <c r="U23" s="138"/>
      <c r="V23" s="138"/>
      <c r="W23" s="138"/>
      <c r="X23" s="138"/>
      <c r="Y23" s="138"/>
      <c r="Z23" s="138"/>
      <c r="AA23" s="138"/>
      <c r="AB23" s="138"/>
    </row>
    <row r="24" spans="1:28" ht="14.25" customHeight="1">
      <c r="A24" s="1009" t="s">
        <v>3522</v>
      </c>
      <c r="B24" s="1009" t="s">
        <v>278</v>
      </c>
      <c r="C24" s="1009" t="s">
        <v>267</v>
      </c>
      <c r="D24" s="1009" t="s">
        <v>277</v>
      </c>
      <c r="E24" s="1011">
        <v>18043.82</v>
      </c>
      <c r="F24" s="1007"/>
      <c r="G24" s="1009" t="s">
        <v>3523</v>
      </c>
      <c r="H24" s="1013">
        <v>65</v>
      </c>
      <c r="I24" s="967"/>
      <c r="J24" s="967"/>
      <c r="K24" s="967"/>
      <c r="L24" s="138"/>
      <c r="M24" s="138"/>
      <c r="N24" s="138"/>
      <c r="O24" s="138"/>
      <c r="P24" s="138"/>
      <c r="Q24" s="138"/>
      <c r="R24" s="138"/>
      <c r="S24" s="138"/>
      <c r="T24" s="138"/>
      <c r="U24" s="138"/>
      <c r="V24" s="138"/>
      <c r="W24" s="138"/>
      <c r="X24" s="138"/>
      <c r="Y24" s="138"/>
      <c r="Z24" s="138"/>
      <c r="AA24" s="138"/>
      <c r="AB24" s="138"/>
    </row>
    <row r="25" spans="1:28" ht="14.25" customHeight="1">
      <c r="A25" s="1009" t="s">
        <v>3514</v>
      </c>
      <c r="B25" s="1009" t="s">
        <v>268</v>
      </c>
      <c r="C25" s="1009" t="s">
        <v>267</v>
      </c>
      <c r="D25" s="1009" t="s">
        <v>262</v>
      </c>
      <c r="E25" s="1011">
        <v>40209.65</v>
      </c>
      <c r="F25" s="1007"/>
      <c r="G25" s="1009" t="s">
        <v>3515</v>
      </c>
      <c r="H25" s="1013">
        <v>62</v>
      </c>
      <c r="I25" s="967"/>
      <c r="J25" s="967"/>
      <c r="K25" s="967"/>
      <c r="L25" s="138"/>
      <c r="M25" s="138"/>
      <c r="N25" s="138"/>
      <c r="O25" s="138"/>
      <c r="P25" s="138"/>
      <c r="Q25" s="138"/>
      <c r="R25" s="138"/>
      <c r="S25" s="138"/>
      <c r="T25" s="138"/>
      <c r="U25" s="138"/>
      <c r="V25" s="138"/>
      <c r="W25" s="138"/>
      <c r="X25" s="138"/>
      <c r="Y25" s="138"/>
      <c r="Z25" s="138"/>
      <c r="AA25" s="138"/>
      <c r="AB25" s="138"/>
    </row>
    <row r="26" spans="1:28" ht="14.25" customHeight="1">
      <c r="A26" s="1009" t="s">
        <v>3516</v>
      </c>
      <c r="B26" s="1009" t="s">
        <v>278</v>
      </c>
      <c r="C26" s="1009" t="s">
        <v>267</v>
      </c>
      <c r="D26" s="1009" t="s">
        <v>260</v>
      </c>
      <c r="E26" s="1011">
        <v>30620.3</v>
      </c>
      <c r="F26" s="1007"/>
      <c r="G26" s="1009" t="s">
        <v>3517</v>
      </c>
      <c r="H26" s="1013">
        <v>62</v>
      </c>
      <c r="I26" s="967"/>
      <c r="J26" s="967"/>
      <c r="K26" s="967"/>
      <c r="L26" s="138"/>
      <c r="M26" s="138"/>
      <c r="N26" s="138"/>
      <c r="O26" s="138"/>
      <c r="P26" s="138"/>
      <c r="Q26" s="138"/>
      <c r="R26" s="138"/>
      <c r="S26" s="138"/>
      <c r="T26" s="138"/>
      <c r="U26" s="138"/>
      <c r="V26" s="138"/>
      <c r="W26" s="138"/>
      <c r="X26" s="138"/>
      <c r="Y26" s="138"/>
      <c r="Z26" s="138"/>
      <c r="AA26" s="138"/>
      <c r="AB26" s="138"/>
    </row>
    <row r="27" spans="1:28" ht="14.25" customHeight="1">
      <c r="A27" s="1009" t="s">
        <v>3529</v>
      </c>
      <c r="B27" s="1009" t="s">
        <v>278</v>
      </c>
      <c r="C27" s="1009" t="s">
        <v>3472</v>
      </c>
      <c r="D27" s="1009" t="s">
        <v>3473</v>
      </c>
      <c r="E27" s="1011">
        <v>28211.38</v>
      </c>
      <c r="F27" s="1007"/>
      <c r="G27" s="1009" t="s">
        <v>3530</v>
      </c>
      <c r="H27" s="1013">
        <v>62</v>
      </c>
      <c r="I27" s="967"/>
      <c r="J27" s="967"/>
      <c r="K27" s="967"/>
      <c r="L27" s="138"/>
      <c r="M27" s="138"/>
      <c r="N27" s="138"/>
      <c r="O27" s="138"/>
      <c r="P27" s="138"/>
      <c r="Q27" s="138"/>
      <c r="R27" s="138"/>
      <c r="S27" s="138"/>
      <c r="T27" s="138"/>
      <c r="U27" s="138"/>
      <c r="V27" s="138"/>
      <c r="W27" s="138"/>
      <c r="X27" s="138"/>
      <c r="Y27" s="138"/>
      <c r="Z27" s="138"/>
      <c r="AA27" s="138"/>
      <c r="AB27" s="138"/>
    </row>
    <row r="28" spans="1:28" ht="14.25" customHeight="1">
      <c r="A28" s="1009" t="s">
        <v>3526</v>
      </c>
      <c r="B28" s="1009" t="s">
        <v>278</v>
      </c>
      <c r="C28" s="1009" t="s">
        <v>3433</v>
      </c>
      <c r="D28" s="1009" t="s">
        <v>3527</v>
      </c>
      <c r="E28" s="1011">
        <v>23550</v>
      </c>
      <c r="F28" s="1007"/>
      <c r="G28" s="1009" t="s">
        <v>3528</v>
      </c>
      <c r="H28" s="1013">
        <v>61</v>
      </c>
      <c r="I28" s="967"/>
      <c r="J28" s="967"/>
      <c r="K28" s="967"/>
      <c r="L28" s="138"/>
      <c r="M28" s="138"/>
      <c r="N28" s="138"/>
      <c r="O28" s="138"/>
      <c r="P28" s="138"/>
      <c r="Q28" s="138"/>
      <c r="R28" s="138"/>
      <c r="S28" s="138"/>
      <c r="T28" s="138"/>
      <c r="U28" s="138"/>
      <c r="V28" s="138"/>
      <c r="W28" s="138"/>
      <c r="X28" s="138"/>
      <c r="Y28" s="138"/>
      <c r="Z28" s="138"/>
      <c r="AA28" s="138"/>
      <c r="AB28" s="138"/>
    </row>
    <row r="29" spans="1:28" ht="14.25" customHeight="1">
      <c r="A29" s="1009" t="s">
        <v>3583</v>
      </c>
      <c r="B29" s="1009" t="s">
        <v>259</v>
      </c>
      <c r="C29" s="1009" t="s">
        <v>267</v>
      </c>
      <c r="D29" s="1009" t="s">
        <v>260</v>
      </c>
      <c r="E29" s="1011">
        <v>36524.6</v>
      </c>
      <c r="F29" s="1007"/>
      <c r="G29" s="1009" t="s">
        <v>3584</v>
      </c>
      <c r="H29" s="1013">
        <v>60</v>
      </c>
      <c r="I29" s="967"/>
      <c r="J29" s="967"/>
      <c r="K29" s="967"/>
      <c r="L29" s="138"/>
      <c r="M29" s="138"/>
      <c r="N29" s="138"/>
      <c r="O29" s="138"/>
      <c r="P29" s="138"/>
      <c r="Q29" s="138"/>
      <c r="R29" s="138"/>
      <c r="S29" s="138"/>
      <c r="T29" s="138"/>
      <c r="U29" s="138"/>
      <c r="V29" s="138"/>
      <c r="W29" s="138"/>
      <c r="X29" s="138"/>
      <c r="Y29" s="138"/>
      <c r="Z29" s="138"/>
      <c r="AA29" s="138"/>
      <c r="AB29" s="138"/>
    </row>
    <row r="30" spans="1:28" ht="14.25" customHeight="1">
      <c r="A30" s="1009" t="s">
        <v>3585</v>
      </c>
      <c r="B30" s="1009" t="s">
        <v>278</v>
      </c>
      <c r="C30" s="1009" t="s">
        <v>267</v>
      </c>
      <c r="D30" s="1009" t="s">
        <v>260</v>
      </c>
      <c r="E30" s="1011">
        <v>24346.21</v>
      </c>
      <c r="F30" s="1011">
        <v>-16047.88</v>
      </c>
      <c r="G30" s="1009" t="s">
        <v>3586</v>
      </c>
      <c r="H30" s="1013">
        <v>60</v>
      </c>
      <c r="I30" s="967"/>
      <c r="J30" s="967"/>
      <c r="K30" s="967"/>
      <c r="L30" s="138"/>
      <c r="M30" s="138"/>
      <c r="N30" s="138"/>
      <c r="O30" s="138"/>
      <c r="P30" s="138"/>
      <c r="Q30" s="138"/>
      <c r="R30" s="138"/>
      <c r="S30" s="138"/>
      <c r="T30" s="138"/>
      <c r="U30" s="138"/>
      <c r="V30" s="138"/>
      <c r="W30" s="138"/>
      <c r="X30" s="138"/>
      <c r="Y30" s="138"/>
      <c r="Z30" s="138"/>
      <c r="AA30" s="138"/>
      <c r="AB30" s="138"/>
    </row>
    <row r="31" spans="1:28" ht="14.25" customHeight="1">
      <c r="A31" s="1009" t="s">
        <v>3587</v>
      </c>
      <c r="B31" s="1009" t="s">
        <v>275</v>
      </c>
      <c r="C31" s="1009" t="s">
        <v>267</v>
      </c>
      <c r="D31" s="1009" t="s">
        <v>273</v>
      </c>
      <c r="E31" s="1011">
        <v>18530.25</v>
      </c>
      <c r="F31" s="1007"/>
      <c r="G31" s="1009" t="s">
        <v>3588</v>
      </c>
      <c r="H31" s="1013">
        <v>60</v>
      </c>
      <c r="I31" s="967"/>
      <c r="J31" s="967"/>
      <c r="K31" s="967"/>
      <c r="L31" s="138"/>
      <c r="M31" s="138"/>
      <c r="N31" s="138"/>
      <c r="O31" s="138"/>
      <c r="P31" s="138"/>
      <c r="Q31" s="138"/>
      <c r="R31" s="138"/>
      <c r="S31" s="138"/>
      <c r="T31" s="138"/>
      <c r="U31" s="138"/>
      <c r="V31" s="138"/>
      <c r="W31" s="138"/>
      <c r="X31" s="138"/>
      <c r="Y31" s="138"/>
      <c r="Z31" s="138"/>
      <c r="AA31" s="138"/>
      <c r="AB31" s="138"/>
    </row>
    <row r="32" spans="1:28" ht="14.25" customHeight="1">
      <c r="A32" s="1009" t="s">
        <v>3512</v>
      </c>
      <c r="B32" s="1009" t="s">
        <v>268</v>
      </c>
      <c r="C32" s="1009" t="s">
        <v>267</v>
      </c>
      <c r="D32" s="1009" t="s">
        <v>260</v>
      </c>
      <c r="E32" s="1011">
        <v>29670.31</v>
      </c>
      <c r="F32" s="1011">
        <v>-25505.1</v>
      </c>
      <c r="G32" s="1009" t="s">
        <v>3513</v>
      </c>
      <c r="H32" s="1013">
        <v>59</v>
      </c>
      <c r="I32" s="967"/>
      <c r="J32" s="967"/>
      <c r="K32" s="967"/>
      <c r="L32" s="138"/>
      <c r="M32" s="138"/>
      <c r="N32" s="138"/>
      <c r="O32" s="138"/>
      <c r="P32" s="138"/>
      <c r="Q32" s="138"/>
      <c r="R32" s="138"/>
      <c r="S32" s="138"/>
      <c r="T32" s="138"/>
      <c r="U32" s="138"/>
      <c r="V32" s="138"/>
      <c r="W32" s="138"/>
      <c r="X32" s="138"/>
      <c r="Y32" s="138"/>
      <c r="Z32" s="138"/>
      <c r="AA32" s="138"/>
      <c r="AB32" s="138"/>
    </row>
    <row r="33" spans="1:28" ht="14.25" customHeight="1">
      <c r="A33" s="1009" t="s">
        <v>3589</v>
      </c>
      <c r="B33" s="1009" t="s">
        <v>278</v>
      </c>
      <c r="C33" s="1009" t="s">
        <v>267</v>
      </c>
      <c r="D33" s="1009" t="s">
        <v>277</v>
      </c>
      <c r="E33" s="1011">
        <v>22965.200000000001</v>
      </c>
      <c r="F33" s="1007"/>
      <c r="G33" s="1009" t="s">
        <v>3590</v>
      </c>
      <c r="H33" s="1013">
        <v>55</v>
      </c>
      <c r="I33" s="967"/>
      <c r="J33" s="967"/>
      <c r="K33" s="967"/>
      <c r="L33" s="943"/>
      <c r="M33" s="138"/>
      <c r="N33" s="138"/>
      <c r="O33" s="138"/>
      <c r="P33" s="138"/>
      <c r="Q33" s="138"/>
      <c r="R33" s="138"/>
      <c r="S33" s="138"/>
      <c r="T33" s="138"/>
      <c r="U33" s="138"/>
      <c r="V33" s="138"/>
      <c r="W33" s="138"/>
      <c r="X33" s="138"/>
      <c r="Y33" s="138"/>
      <c r="Z33" s="138"/>
      <c r="AA33" s="138"/>
      <c r="AB33" s="138"/>
    </row>
    <row r="34" spans="1:28" ht="14.25" customHeight="1">
      <c r="A34" s="1009" t="s">
        <v>3750</v>
      </c>
      <c r="B34" s="1009" t="s">
        <v>268</v>
      </c>
      <c r="C34" s="1009" t="s">
        <v>267</v>
      </c>
      <c r="D34" s="1009" t="s">
        <v>260</v>
      </c>
      <c r="E34" s="1011">
        <v>31666.799999999999</v>
      </c>
      <c r="F34" s="1011">
        <v>-33046.589999999997</v>
      </c>
      <c r="G34" s="1009" t="s">
        <v>3751</v>
      </c>
      <c r="H34" s="1013">
        <v>54</v>
      </c>
      <c r="I34" s="967"/>
      <c r="J34" s="967"/>
      <c r="K34" s="967"/>
      <c r="L34" s="138"/>
      <c r="M34" s="138"/>
      <c r="N34" s="138"/>
      <c r="O34" s="138"/>
      <c r="P34" s="138"/>
      <c r="Q34" s="138"/>
      <c r="R34" s="138"/>
      <c r="S34" s="138"/>
      <c r="T34" s="138"/>
      <c r="U34" s="138"/>
      <c r="V34" s="138"/>
      <c r="W34" s="138"/>
      <c r="X34" s="138"/>
      <c r="Y34" s="138"/>
      <c r="Z34" s="138"/>
      <c r="AA34" s="138"/>
      <c r="AB34" s="138"/>
    </row>
    <row r="35" spans="1:28" ht="14.25" customHeight="1">
      <c r="A35" s="1009" t="s">
        <v>3591</v>
      </c>
      <c r="B35" s="1009" t="s">
        <v>275</v>
      </c>
      <c r="C35" s="1009" t="s">
        <v>267</v>
      </c>
      <c r="D35" s="1009" t="s">
        <v>260</v>
      </c>
      <c r="E35" s="1011">
        <v>24846.26</v>
      </c>
      <c r="F35" s="1007"/>
      <c r="G35" s="1009" t="s">
        <v>3592</v>
      </c>
      <c r="H35" s="1013">
        <v>53</v>
      </c>
      <c r="I35" s="967"/>
      <c r="J35" s="967"/>
      <c r="K35" s="967"/>
      <c r="L35" s="138"/>
      <c r="M35" s="138"/>
      <c r="N35" s="138"/>
      <c r="O35" s="138"/>
      <c r="P35" s="138"/>
      <c r="Q35" s="138"/>
      <c r="R35" s="138"/>
      <c r="S35" s="138"/>
      <c r="T35" s="138"/>
      <c r="U35" s="138"/>
      <c r="V35" s="138"/>
      <c r="W35" s="138"/>
      <c r="X35" s="138"/>
      <c r="Y35" s="138"/>
      <c r="Z35" s="138"/>
      <c r="AA35" s="138"/>
      <c r="AB35" s="138"/>
    </row>
    <row r="36" spans="1:28" ht="14.25" customHeight="1">
      <c r="A36" s="1009" t="s">
        <v>3593</v>
      </c>
      <c r="B36" s="1009" t="s">
        <v>278</v>
      </c>
      <c r="C36" s="1009" t="s">
        <v>267</v>
      </c>
      <c r="D36" s="1009" t="s">
        <v>277</v>
      </c>
      <c r="E36" s="1011">
        <v>19323.740000000002</v>
      </c>
      <c r="F36" s="1007"/>
      <c r="G36" s="1009" t="s">
        <v>3594</v>
      </c>
      <c r="H36" s="1013">
        <v>51</v>
      </c>
      <c r="I36" s="967"/>
      <c r="J36" s="967"/>
      <c r="K36" s="967"/>
      <c r="L36" s="138"/>
      <c r="M36" s="138"/>
      <c r="N36" s="138"/>
      <c r="O36" s="138"/>
      <c r="P36" s="138"/>
      <c r="Q36" s="138"/>
      <c r="R36" s="138"/>
      <c r="S36" s="138"/>
      <c r="T36" s="138"/>
      <c r="U36" s="138"/>
      <c r="V36" s="138"/>
      <c r="W36" s="138"/>
      <c r="X36" s="138"/>
      <c r="Y36" s="138"/>
      <c r="Z36" s="138"/>
      <c r="AA36" s="138"/>
      <c r="AB36" s="138"/>
    </row>
    <row r="37" spans="1:28" ht="14.25" customHeight="1">
      <c r="A37" s="1009" t="s">
        <v>3595</v>
      </c>
      <c r="B37" s="1009" t="s">
        <v>275</v>
      </c>
      <c r="C37" s="1009" t="s">
        <v>267</v>
      </c>
      <c r="D37" s="1009" t="s">
        <v>273</v>
      </c>
      <c r="E37" s="1011">
        <v>18294.75</v>
      </c>
      <c r="F37" s="1007"/>
      <c r="G37" s="1009" t="s">
        <v>3596</v>
      </c>
      <c r="H37" s="1013">
        <v>48</v>
      </c>
      <c r="I37" s="967"/>
      <c r="J37" s="967"/>
      <c r="K37" s="967"/>
      <c r="L37" s="138"/>
      <c r="M37" s="138"/>
      <c r="N37" s="138"/>
      <c r="O37" s="138"/>
      <c r="P37" s="138"/>
      <c r="Q37" s="138"/>
      <c r="R37" s="138"/>
      <c r="S37" s="138"/>
      <c r="T37" s="138"/>
      <c r="U37" s="138"/>
      <c r="V37" s="138"/>
      <c r="W37" s="138"/>
      <c r="X37" s="138"/>
      <c r="Y37" s="138"/>
      <c r="Z37" s="138"/>
      <c r="AA37" s="138"/>
      <c r="AB37" s="138"/>
    </row>
    <row r="38" spans="1:28" ht="14.25" customHeight="1">
      <c r="A38" s="1009" t="s">
        <v>3597</v>
      </c>
      <c r="B38" s="1009" t="s">
        <v>266</v>
      </c>
      <c r="C38" s="1009" t="s">
        <v>267</v>
      </c>
      <c r="D38" s="1009" t="s">
        <v>273</v>
      </c>
      <c r="E38" s="1011">
        <v>16745.3</v>
      </c>
      <c r="F38" s="1007"/>
      <c r="G38" s="1009" t="s">
        <v>3598</v>
      </c>
      <c r="H38" s="1013">
        <v>48</v>
      </c>
      <c r="I38" s="967"/>
      <c r="J38" s="967"/>
      <c r="K38" s="967"/>
      <c r="L38" s="138"/>
      <c r="M38" s="138"/>
      <c r="N38" s="138"/>
      <c r="O38" s="138"/>
      <c r="P38" s="138"/>
      <c r="Q38" s="138"/>
      <c r="R38" s="138"/>
      <c r="S38" s="138"/>
      <c r="T38" s="138"/>
      <c r="U38" s="138"/>
      <c r="V38" s="138"/>
      <c r="W38" s="138"/>
      <c r="X38" s="138"/>
      <c r="Y38" s="138"/>
      <c r="Z38" s="138"/>
      <c r="AA38" s="138"/>
      <c r="AB38" s="138"/>
    </row>
    <row r="39" spans="1:28" ht="14.25" customHeight="1">
      <c r="A39" s="1009" t="s">
        <v>3599</v>
      </c>
      <c r="B39" s="1009" t="s">
        <v>259</v>
      </c>
      <c r="C39" s="1009" t="s">
        <v>267</v>
      </c>
      <c r="D39" s="1009" t="s">
        <v>262</v>
      </c>
      <c r="E39" s="1011">
        <v>49927.29</v>
      </c>
      <c r="F39" s="1007"/>
      <c r="G39" s="1009" t="s">
        <v>3600</v>
      </c>
      <c r="H39" s="1013">
        <v>47</v>
      </c>
      <c r="I39" s="967"/>
      <c r="J39" s="967"/>
      <c r="K39" s="967"/>
      <c r="L39" s="138"/>
      <c r="M39" s="138"/>
      <c r="N39" s="138"/>
      <c r="O39" s="138"/>
      <c r="P39" s="138"/>
      <c r="Q39" s="138"/>
      <c r="R39" s="138"/>
      <c r="S39" s="138"/>
      <c r="T39" s="138"/>
      <c r="U39" s="138"/>
      <c r="V39" s="138"/>
      <c r="W39" s="138"/>
      <c r="X39" s="138"/>
      <c r="Y39" s="138"/>
      <c r="Z39" s="138"/>
      <c r="AA39" s="138"/>
      <c r="AB39" s="138"/>
    </row>
    <row r="40" spans="1:28" ht="14.25" customHeight="1">
      <c r="A40" s="1009" t="s">
        <v>3601</v>
      </c>
      <c r="B40" s="1009" t="s">
        <v>278</v>
      </c>
      <c r="C40" s="1009" t="s">
        <v>267</v>
      </c>
      <c r="D40" s="1009" t="s">
        <v>260</v>
      </c>
      <c r="E40" s="1011">
        <v>24483.1</v>
      </c>
      <c r="F40" s="1011">
        <v>-18876</v>
      </c>
      <c r="G40" s="1009" t="s">
        <v>3602</v>
      </c>
      <c r="H40" s="1013">
        <v>47</v>
      </c>
      <c r="I40" s="967"/>
      <c r="J40" s="967"/>
      <c r="K40" s="967"/>
      <c r="L40" s="138"/>
      <c r="M40" s="138"/>
      <c r="N40" s="138"/>
      <c r="O40" s="138"/>
      <c r="P40" s="138"/>
      <c r="Q40" s="138"/>
      <c r="R40" s="138"/>
      <c r="S40" s="138"/>
      <c r="T40" s="138"/>
      <c r="U40" s="138"/>
      <c r="V40" s="138"/>
      <c r="W40" s="138"/>
      <c r="X40" s="138"/>
      <c r="Y40" s="138"/>
      <c r="Z40" s="138"/>
      <c r="AA40" s="138"/>
      <c r="AB40" s="138"/>
    </row>
    <row r="41" spans="1:28" ht="14.25" customHeight="1">
      <c r="A41" s="1009" t="s">
        <v>3603</v>
      </c>
      <c r="B41" s="1009" t="s">
        <v>275</v>
      </c>
      <c r="C41" s="1009" t="s">
        <v>267</v>
      </c>
      <c r="D41" s="1009" t="s">
        <v>273</v>
      </c>
      <c r="E41" s="1011">
        <v>21779.599999999999</v>
      </c>
      <c r="F41" s="1007"/>
      <c r="G41" s="1009" t="s">
        <v>3604</v>
      </c>
      <c r="H41" s="1013">
        <v>47</v>
      </c>
      <c r="I41" s="967"/>
      <c r="J41" s="967"/>
      <c r="K41" s="967"/>
      <c r="L41" s="138"/>
      <c r="M41" s="138"/>
      <c r="N41" s="138"/>
      <c r="O41" s="138"/>
      <c r="P41" s="138"/>
      <c r="Q41" s="138"/>
      <c r="R41" s="138"/>
      <c r="S41" s="138"/>
      <c r="T41" s="138"/>
      <c r="U41" s="138"/>
      <c r="V41" s="138"/>
      <c r="W41" s="138"/>
      <c r="X41" s="138"/>
      <c r="Y41" s="138"/>
      <c r="Z41" s="138"/>
      <c r="AA41" s="138"/>
      <c r="AB41" s="138"/>
    </row>
    <row r="42" spans="1:28" ht="14.25" customHeight="1">
      <c r="A42" s="1009" t="s">
        <v>3605</v>
      </c>
      <c r="B42" s="1009" t="s">
        <v>268</v>
      </c>
      <c r="C42" s="1009" t="s">
        <v>267</v>
      </c>
      <c r="D42" s="1009" t="s">
        <v>273</v>
      </c>
      <c r="E42" s="1011">
        <v>21350</v>
      </c>
      <c r="F42" s="1007"/>
      <c r="G42" s="1009" t="s">
        <v>3606</v>
      </c>
      <c r="H42" s="1013">
        <v>45</v>
      </c>
      <c r="I42" s="967"/>
      <c r="J42" s="967"/>
      <c r="K42" s="967"/>
      <c r="L42" s="138"/>
      <c r="M42" s="138"/>
      <c r="N42" s="138"/>
      <c r="O42" s="138"/>
      <c r="P42" s="138"/>
      <c r="Q42" s="138"/>
      <c r="R42" s="138"/>
      <c r="S42" s="138"/>
      <c r="T42" s="138"/>
      <c r="U42" s="138"/>
      <c r="V42" s="138"/>
      <c r="W42" s="138"/>
      <c r="X42" s="138"/>
      <c r="Y42" s="138"/>
      <c r="Z42" s="138"/>
      <c r="AA42" s="138"/>
      <c r="AB42" s="138"/>
    </row>
    <row r="43" spans="1:28" ht="14.25" customHeight="1">
      <c r="A43" s="1009" t="s">
        <v>3607</v>
      </c>
      <c r="B43" s="1009" t="s">
        <v>275</v>
      </c>
      <c r="C43" s="1009" t="s">
        <v>267</v>
      </c>
      <c r="D43" s="1009" t="s">
        <v>277</v>
      </c>
      <c r="E43" s="1011">
        <v>17488.18</v>
      </c>
      <c r="F43" s="1007"/>
      <c r="G43" s="1009" t="s">
        <v>3608</v>
      </c>
      <c r="H43" s="1013">
        <v>45</v>
      </c>
      <c r="I43" s="967"/>
      <c r="J43" s="967"/>
      <c r="K43" s="967"/>
      <c r="L43" s="138"/>
      <c r="M43" s="138"/>
      <c r="N43" s="138"/>
      <c r="O43" s="138"/>
      <c r="P43" s="138"/>
      <c r="Q43" s="138"/>
      <c r="R43" s="138"/>
      <c r="S43" s="138"/>
      <c r="T43" s="138"/>
      <c r="U43" s="138"/>
      <c r="V43" s="138"/>
      <c r="W43" s="138"/>
      <c r="X43" s="138"/>
      <c r="Y43" s="138"/>
      <c r="Z43" s="138"/>
      <c r="AA43" s="138"/>
      <c r="AB43" s="138"/>
    </row>
    <row r="44" spans="1:28" ht="14.25" customHeight="1">
      <c r="A44" s="1009" t="s">
        <v>3609</v>
      </c>
      <c r="B44" s="1009" t="s">
        <v>278</v>
      </c>
      <c r="C44" s="1009" t="s">
        <v>267</v>
      </c>
      <c r="D44" s="1009" t="s">
        <v>277</v>
      </c>
      <c r="E44" s="1011">
        <v>18370.25</v>
      </c>
      <c r="F44" s="1007"/>
      <c r="G44" s="1009" t="s">
        <v>3610</v>
      </c>
      <c r="H44" s="1013">
        <v>44</v>
      </c>
      <c r="I44" s="967"/>
      <c r="J44" s="967"/>
      <c r="K44" s="967"/>
      <c r="L44" s="138"/>
      <c r="M44" s="138"/>
      <c r="N44" s="138"/>
      <c r="O44" s="138"/>
      <c r="P44" s="138"/>
      <c r="Q44" s="138"/>
      <c r="R44" s="138"/>
      <c r="S44" s="138"/>
      <c r="T44" s="138"/>
      <c r="U44" s="138"/>
      <c r="V44" s="138"/>
      <c r="W44" s="138"/>
      <c r="X44" s="138"/>
      <c r="Y44" s="138"/>
      <c r="Z44" s="138"/>
      <c r="AA44" s="138"/>
      <c r="AB44" s="138"/>
    </row>
    <row r="45" spans="1:28" ht="14.25" customHeight="1">
      <c r="A45" s="1009" t="s">
        <v>3611</v>
      </c>
      <c r="B45" s="1009" t="s">
        <v>266</v>
      </c>
      <c r="C45" s="1009" t="s">
        <v>267</v>
      </c>
      <c r="D45" s="1009" t="s">
        <v>260</v>
      </c>
      <c r="E45" s="1011">
        <v>20165.3</v>
      </c>
      <c r="F45" s="1007"/>
      <c r="G45" s="1009" t="s">
        <v>3612</v>
      </c>
      <c r="H45" s="1013">
        <v>44</v>
      </c>
      <c r="I45" s="967"/>
      <c r="J45" s="967"/>
      <c r="K45" s="967"/>
      <c r="L45" s="138"/>
      <c r="M45" s="138"/>
      <c r="N45" s="138"/>
      <c r="O45" s="138"/>
      <c r="P45" s="138"/>
      <c r="Q45" s="138"/>
      <c r="R45" s="138"/>
      <c r="S45" s="138"/>
      <c r="T45" s="138"/>
      <c r="U45" s="138"/>
      <c r="V45" s="138"/>
      <c r="W45" s="138"/>
      <c r="X45" s="138"/>
      <c r="Y45" s="138"/>
      <c r="Z45" s="138"/>
      <c r="AA45" s="138"/>
      <c r="AB45" s="138"/>
    </row>
    <row r="46" spans="1:28" ht="14.25" customHeight="1">
      <c r="A46" s="1009" t="s">
        <v>3752</v>
      </c>
      <c r="B46" s="1009" t="s">
        <v>3339</v>
      </c>
      <c r="C46" s="1009" t="s">
        <v>3472</v>
      </c>
      <c r="D46" s="1009" t="s">
        <v>3753</v>
      </c>
      <c r="E46" s="1011">
        <v>15050</v>
      </c>
      <c r="F46" s="1007"/>
      <c r="G46" s="1009" t="s">
        <v>3754</v>
      </c>
      <c r="H46" s="1013">
        <v>44</v>
      </c>
      <c r="I46" s="967"/>
      <c r="J46" s="967"/>
      <c r="K46" s="967"/>
      <c r="L46" s="138"/>
      <c r="M46" s="138"/>
      <c r="N46" s="138"/>
      <c r="O46" s="138"/>
      <c r="P46" s="138"/>
      <c r="Q46" s="138"/>
      <c r="R46" s="138"/>
      <c r="S46" s="138"/>
      <c r="T46" s="138"/>
      <c r="U46" s="138"/>
      <c r="V46" s="138"/>
      <c r="W46" s="138"/>
      <c r="X46" s="138"/>
      <c r="Y46" s="138"/>
      <c r="Z46" s="138"/>
      <c r="AA46" s="138"/>
      <c r="AB46" s="138"/>
    </row>
    <row r="47" spans="1:28" ht="14.25" customHeight="1">
      <c r="A47" s="1009" t="s">
        <v>3613</v>
      </c>
      <c r="B47" s="1009" t="s">
        <v>278</v>
      </c>
      <c r="C47" s="1009" t="s">
        <v>267</v>
      </c>
      <c r="D47" s="1009" t="s">
        <v>277</v>
      </c>
      <c r="E47" s="1011">
        <v>21360.2</v>
      </c>
      <c r="F47" s="1007"/>
      <c r="G47" s="1009" t="s">
        <v>3614</v>
      </c>
      <c r="H47" s="1013">
        <v>41</v>
      </c>
      <c r="I47" s="967"/>
      <c r="J47" s="967"/>
      <c r="K47" s="967"/>
      <c r="L47" s="138"/>
      <c r="M47" s="138"/>
      <c r="N47" s="138"/>
      <c r="O47" s="138"/>
      <c r="P47" s="138"/>
      <c r="Q47" s="138"/>
      <c r="R47" s="138"/>
      <c r="S47" s="138"/>
      <c r="T47" s="138"/>
      <c r="U47" s="138"/>
      <c r="V47" s="138"/>
      <c r="W47" s="138"/>
      <c r="X47" s="138"/>
      <c r="Y47" s="138"/>
      <c r="Z47" s="138"/>
      <c r="AA47" s="138"/>
      <c r="AB47" s="138"/>
    </row>
    <row r="48" spans="1:28" ht="14.25" customHeight="1">
      <c r="A48" s="1009" t="s">
        <v>3615</v>
      </c>
      <c r="B48" s="1009" t="s">
        <v>268</v>
      </c>
      <c r="C48" s="1009" t="s">
        <v>267</v>
      </c>
      <c r="D48" s="1009" t="s">
        <v>277</v>
      </c>
      <c r="E48" s="1011">
        <v>25003.85</v>
      </c>
      <c r="F48" s="1011">
        <v>-21330</v>
      </c>
      <c r="G48" s="1009" t="s">
        <v>3616</v>
      </c>
      <c r="H48" s="1013">
        <v>40</v>
      </c>
      <c r="I48" s="967"/>
      <c r="J48" s="967"/>
      <c r="K48" s="967"/>
      <c r="L48" s="138"/>
      <c r="M48" s="138"/>
      <c r="N48" s="138"/>
      <c r="O48" s="138"/>
      <c r="P48" s="138"/>
      <c r="Q48" s="138"/>
      <c r="R48" s="138"/>
      <c r="S48" s="138"/>
      <c r="T48" s="138"/>
      <c r="U48" s="138"/>
      <c r="V48" s="138"/>
      <c r="W48" s="138"/>
      <c r="X48" s="138"/>
      <c r="Y48" s="138"/>
      <c r="Z48" s="138"/>
      <c r="AA48" s="138"/>
      <c r="AB48" s="138"/>
    </row>
    <row r="49" spans="1:28" ht="14.25" customHeight="1">
      <c r="A49" s="1009" t="s">
        <v>3617</v>
      </c>
      <c r="B49" s="1009" t="s">
        <v>278</v>
      </c>
      <c r="C49" s="1009" t="s">
        <v>267</v>
      </c>
      <c r="D49" s="1009" t="s">
        <v>260</v>
      </c>
      <c r="E49" s="1011">
        <v>24894.97</v>
      </c>
      <c r="F49" s="1007"/>
      <c r="G49" s="1009" t="s">
        <v>3618</v>
      </c>
      <c r="H49" s="1013">
        <v>40</v>
      </c>
      <c r="I49" s="967"/>
      <c r="J49" s="967"/>
      <c r="K49" s="967"/>
      <c r="L49" s="138"/>
      <c r="M49" s="138"/>
      <c r="N49" s="138"/>
      <c r="O49" s="138"/>
      <c r="P49" s="138"/>
      <c r="Q49" s="138"/>
      <c r="R49" s="138"/>
      <c r="S49" s="138"/>
      <c r="T49" s="138"/>
      <c r="U49" s="138"/>
      <c r="V49" s="138"/>
      <c r="W49" s="138"/>
      <c r="X49" s="138"/>
      <c r="Y49" s="138"/>
      <c r="Z49" s="138"/>
      <c r="AA49" s="138"/>
      <c r="AB49" s="138"/>
    </row>
    <row r="50" spans="1:28" ht="14.25" customHeight="1">
      <c r="A50" s="1009" t="s">
        <v>3619</v>
      </c>
      <c r="B50" s="1009" t="s">
        <v>275</v>
      </c>
      <c r="C50" s="1009" t="s">
        <v>267</v>
      </c>
      <c r="D50" s="1009" t="s">
        <v>260</v>
      </c>
      <c r="E50" s="1011">
        <v>27870.3</v>
      </c>
      <c r="F50" s="1007"/>
      <c r="G50" s="1009" t="s">
        <v>3620</v>
      </c>
      <c r="H50" s="1013">
        <v>40</v>
      </c>
      <c r="I50" s="967"/>
      <c r="J50" s="967"/>
      <c r="K50" s="967"/>
      <c r="L50" s="138"/>
      <c r="M50" s="138"/>
      <c r="N50" s="138"/>
      <c r="O50" s="138"/>
      <c r="P50" s="138"/>
      <c r="Q50" s="138"/>
      <c r="R50" s="138"/>
      <c r="S50" s="138"/>
      <c r="T50" s="138"/>
      <c r="U50" s="138"/>
      <c r="V50" s="138"/>
      <c r="W50" s="138"/>
      <c r="X50" s="138"/>
      <c r="Y50" s="138"/>
      <c r="Z50" s="138"/>
      <c r="AA50" s="138"/>
      <c r="AB50" s="138"/>
    </row>
    <row r="51" spans="1:28" ht="14.25" customHeight="1">
      <c r="A51" s="1009" t="s">
        <v>3621</v>
      </c>
      <c r="B51" s="1009" t="s">
        <v>268</v>
      </c>
      <c r="C51" s="1009" t="s">
        <v>267</v>
      </c>
      <c r="D51" s="1009" t="s">
        <v>277</v>
      </c>
      <c r="E51" s="1011">
        <v>24530.400000000001</v>
      </c>
      <c r="F51" s="1007"/>
      <c r="G51" s="1009" t="s">
        <v>3622</v>
      </c>
      <c r="H51" s="1013">
        <v>37</v>
      </c>
      <c r="I51" s="967"/>
      <c r="J51" s="967"/>
      <c r="K51" s="967"/>
      <c r="L51" s="138"/>
      <c r="M51" s="138"/>
      <c r="N51" s="138"/>
      <c r="O51" s="138"/>
      <c r="P51" s="138"/>
      <c r="Q51" s="138"/>
      <c r="R51" s="138"/>
      <c r="S51" s="138"/>
      <c r="T51" s="138"/>
      <c r="U51" s="138"/>
      <c r="V51" s="138"/>
      <c r="W51" s="138"/>
      <c r="X51" s="138"/>
      <c r="Y51" s="138"/>
      <c r="Z51" s="138"/>
      <c r="AA51" s="138"/>
      <c r="AB51" s="138"/>
    </row>
    <row r="52" spans="1:28" ht="14.25" customHeight="1">
      <c r="A52" s="1009" t="s">
        <v>3623</v>
      </c>
      <c r="B52" s="1009" t="s">
        <v>3624</v>
      </c>
      <c r="C52" s="1009" t="s">
        <v>267</v>
      </c>
      <c r="D52" s="1009" t="s">
        <v>3625</v>
      </c>
      <c r="E52" s="1011">
        <v>4314.03</v>
      </c>
      <c r="F52" s="1007"/>
      <c r="G52" s="1009" t="s">
        <v>3626</v>
      </c>
      <c r="H52" s="1013">
        <v>37</v>
      </c>
      <c r="I52" s="967"/>
      <c r="J52" s="967"/>
      <c r="K52" s="967"/>
      <c r="L52" s="138"/>
      <c r="M52" s="138"/>
      <c r="N52" s="138"/>
      <c r="O52" s="138"/>
      <c r="P52" s="138"/>
      <c r="Q52" s="138"/>
      <c r="R52" s="138"/>
      <c r="S52" s="138"/>
      <c r="T52" s="138"/>
      <c r="U52" s="138"/>
      <c r="V52" s="138"/>
      <c r="W52" s="138"/>
      <c r="X52" s="138"/>
      <c r="Y52" s="138"/>
      <c r="Z52" s="138"/>
      <c r="AA52" s="138"/>
      <c r="AB52" s="138"/>
    </row>
    <row r="53" spans="1:28" ht="14.25" customHeight="1">
      <c r="A53" s="1009" t="s">
        <v>3629</v>
      </c>
      <c r="B53" s="1009" t="s">
        <v>268</v>
      </c>
      <c r="C53" s="1009" t="s">
        <v>267</v>
      </c>
      <c r="D53" s="1009" t="s">
        <v>277</v>
      </c>
      <c r="E53" s="1011">
        <v>24447.5</v>
      </c>
      <c r="F53" s="1007"/>
      <c r="G53" s="1009" t="s">
        <v>3630</v>
      </c>
      <c r="H53" s="1013">
        <v>33</v>
      </c>
      <c r="I53" s="967"/>
      <c r="J53" s="967"/>
      <c r="K53" s="967"/>
      <c r="L53" s="138"/>
      <c r="M53" s="138"/>
      <c r="N53" s="138"/>
      <c r="O53" s="138"/>
      <c r="P53" s="138"/>
      <c r="Q53" s="138"/>
      <c r="R53" s="138"/>
      <c r="S53" s="138"/>
      <c r="T53" s="138"/>
      <c r="U53" s="138"/>
      <c r="V53" s="138"/>
      <c r="W53" s="138"/>
      <c r="X53" s="138"/>
      <c r="Y53" s="138"/>
      <c r="Z53" s="138"/>
      <c r="AA53" s="138"/>
      <c r="AB53" s="138"/>
    </row>
    <row r="54" spans="1:28" ht="14.25" customHeight="1">
      <c r="A54" s="1009" t="s">
        <v>3631</v>
      </c>
      <c r="B54" s="1009" t="s">
        <v>275</v>
      </c>
      <c r="C54" s="1009" t="s">
        <v>267</v>
      </c>
      <c r="D54" s="1009" t="s">
        <v>273</v>
      </c>
      <c r="E54" s="1011">
        <v>20373.45</v>
      </c>
      <c r="F54" s="1011">
        <v>-12553.38</v>
      </c>
      <c r="G54" s="1009" t="s">
        <v>3632</v>
      </c>
      <c r="H54" s="1013">
        <v>33</v>
      </c>
      <c r="I54" s="967"/>
      <c r="J54" s="967"/>
      <c r="K54" s="967"/>
      <c r="L54" s="138"/>
      <c r="M54" s="138"/>
      <c r="N54" s="138"/>
      <c r="O54" s="138"/>
      <c r="P54" s="138"/>
      <c r="Q54" s="138"/>
      <c r="R54" s="138"/>
      <c r="S54" s="138"/>
      <c r="T54" s="138"/>
      <c r="U54" s="138"/>
      <c r="V54" s="138"/>
      <c r="W54" s="138"/>
      <c r="X54" s="138"/>
      <c r="Y54" s="138"/>
      <c r="Z54" s="138"/>
      <c r="AA54" s="138"/>
      <c r="AB54" s="138"/>
    </row>
    <row r="55" spans="1:28" ht="14.25" customHeight="1">
      <c r="A55" s="1009" t="s">
        <v>3637</v>
      </c>
      <c r="B55" s="1009" t="s">
        <v>268</v>
      </c>
      <c r="C55" s="1009" t="s">
        <v>267</v>
      </c>
      <c r="D55" s="1009" t="s">
        <v>279</v>
      </c>
      <c r="E55" s="1011">
        <v>32388.2</v>
      </c>
      <c r="F55" s="1007"/>
      <c r="G55" s="1009" t="s">
        <v>3638</v>
      </c>
      <c r="H55" s="1013">
        <v>32</v>
      </c>
      <c r="I55" s="967"/>
      <c r="J55" s="967"/>
      <c r="K55" s="967"/>
      <c r="L55" s="138"/>
      <c r="M55" s="138"/>
      <c r="N55" s="138"/>
      <c r="O55" s="138"/>
      <c r="P55" s="138"/>
      <c r="Q55" s="138"/>
      <c r="R55" s="138"/>
      <c r="S55" s="138"/>
      <c r="T55" s="138"/>
      <c r="U55" s="138"/>
      <c r="V55" s="138"/>
      <c r="W55" s="138"/>
      <c r="X55" s="138"/>
      <c r="Y55" s="138"/>
      <c r="Z55" s="138"/>
      <c r="AA55" s="138"/>
      <c r="AB55" s="138"/>
    </row>
    <row r="56" spans="1:28" ht="14.25" customHeight="1">
      <c r="A56" s="1009" t="s">
        <v>3641</v>
      </c>
      <c r="B56" s="1009" t="s">
        <v>278</v>
      </c>
      <c r="C56" s="1009" t="s">
        <v>267</v>
      </c>
      <c r="D56" s="1009" t="s">
        <v>3642</v>
      </c>
      <c r="E56" s="1011">
        <v>23491.599999999999</v>
      </c>
      <c r="F56" s="1007"/>
      <c r="G56" s="1009" t="s">
        <v>3643</v>
      </c>
      <c r="H56" s="1013">
        <v>32</v>
      </c>
      <c r="I56" s="967"/>
      <c r="J56" s="967"/>
      <c r="K56" s="967"/>
      <c r="L56" s="138"/>
      <c r="M56" s="138"/>
      <c r="N56" s="138"/>
      <c r="O56" s="138"/>
      <c r="P56" s="138"/>
      <c r="Q56" s="138"/>
      <c r="R56" s="138"/>
      <c r="S56" s="138"/>
      <c r="T56" s="138"/>
      <c r="U56" s="138"/>
      <c r="V56" s="138"/>
      <c r="W56" s="138"/>
      <c r="X56" s="138"/>
      <c r="Y56" s="138"/>
      <c r="Z56" s="138"/>
      <c r="AA56" s="138"/>
      <c r="AB56" s="138"/>
    </row>
    <row r="57" spans="1:28" ht="14.25" customHeight="1">
      <c r="A57" s="1009" t="s">
        <v>3644</v>
      </c>
      <c r="B57" s="1009" t="s">
        <v>268</v>
      </c>
      <c r="C57" s="1009" t="s">
        <v>267</v>
      </c>
      <c r="D57" s="1009" t="s">
        <v>260</v>
      </c>
      <c r="E57" s="1011">
        <v>29343.25</v>
      </c>
      <c r="F57" s="1007"/>
      <c r="G57" s="1009" t="s">
        <v>3645</v>
      </c>
      <c r="H57" s="1013">
        <v>31</v>
      </c>
      <c r="I57" s="967"/>
      <c r="J57" s="967"/>
      <c r="K57" s="967"/>
      <c r="L57" s="138"/>
      <c r="M57" s="138"/>
      <c r="N57" s="138"/>
      <c r="O57" s="138"/>
      <c r="P57" s="138"/>
      <c r="Q57" s="138"/>
      <c r="R57" s="138"/>
      <c r="S57" s="138"/>
      <c r="T57" s="138"/>
      <c r="U57" s="138"/>
      <c r="V57" s="138"/>
      <c r="W57" s="138"/>
      <c r="X57" s="138"/>
      <c r="Y57" s="138"/>
      <c r="Z57" s="138"/>
      <c r="AA57" s="138"/>
      <c r="AB57" s="138"/>
    </row>
    <row r="58" spans="1:28" ht="14.25" customHeight="1">
      <c r="A58" s="1009" t="s">
        <v>3646</v>
      </c>
      <c r="B58" s="1009" t="s">
        <v>278</v>
      </c>
      <c r="C58" s="1009" t="s">
        <v>267</v>
      </c>
      <c r="D58" s="1009" t="s">
        <v>260</v>
      </c>
      <c r="E58" s="1011">
        <v>29950</v>
      </c>
      <c r="F58" s="1007"/>
      <c r="G58" s="1009" t="s">
        <v>3647</v>
      </c>
      <c r="H58" s="1013">
        <v>31</v>
      </c>
      <c r="I58" s="967"/>
      <c r="J58" s="967"/>
      <c r="K58" s="967"/>
      <c r="L58" s="138"/>
      <c r="M58" s="138"/>
      <c r="N58" s="138"/>
      <c r="O58" s="138"/>
      <c r="P58" s="138"/>
      <c r="Q58" s="138"/>
      <c r="R58" s="138"/>
      <c r="S58" s="138"/>
      <c r="T58" s="138"/>
      <c r="U58" s="138"/>
      <c r="V58" s="138"/>
      <c r="W58" s="138"/>
      <c r="X58" s="138"/>
      <c r="Y58" s="138"/>
      <c r="Z58" s="138"/>
      <c r="AA58" s="138"/>
      <c r="AB58" s="138"/>
    </row>
    <row r="59" spans="1:28" ht="14.25" customHeight="1">
      <c r="A59" s="1009" t="s">
        <v>3648</v>
      </c>
      <c r="B59" s="1009" t="s">
        <v>275</v>
      </c>
      <c r="C59" s="1009" t="s">
        <v>267</v>
      </c>
      <c r="D59" s="1009" t="s">
        <v>260</v>
      </c>
      <c r="E59" s="1011">
        <v>21448.99</v>
      </c>
      <c r="F59" s="1011">
        <v>-18000</v>
      </c>
      <c r="G59" s="1009" t="s">
        <v>3649</v>
      </c>
      <c r="H59" s="1013">
        <v>31</v>
      </c>
      <c r="I59" s="967"/>
      <c r="J59" s="967"/>
      <c r="K59" s="967"/>
      <c r="L59" s="138"/>
      <c r="M59" s="138"/>
      <c r="N59" s="138"/>
      <c r="O59" s="138"/>
      <c r="P59" s="138"/>
      <c r="Q59" s="138"/>
      <c r="R59" s="138"/>
      <c r="S59" s="138"/>
      <c r="T59" s="138"/>
      <c r="U59" s="138"/>
      <c r="V59" s="138"/>
      <c r="W59" s="138"/>
      <c r="X59" s="138"/>
      <c r="Y59" s="138"/>
      <c r="Z59" s="138"/>
      <c r="AA59" s="138"/>
      <c r="AB59" s="138"/>
    </row>
    <row r="60" spans="1:28" ht="14.25" customHeight="1">
      <c r="A60" s="1009" t="s">
        <v>3650</v>
      </c>
      <c r="B60" s="1009" t="s">
        <v>275</v>
      </c>
      <c r="C60" s="1009" t="s">
        <v>267</v>
      </c>
      <c r="D60" s="1009" t="s">
        <v>3539</v>
      </c>
      <c r="E60" s="1011">
        <v>23680.2</v>
      </c>
      <c r="F60" s="1007"/>
      <c r="G60" s="1009" t="s">
        <v>3651</v>
      </c>
      <c r="H60" s="1013">
        <v>31</v>
      </c>
      <c r="I60" s="967"/>
      <c r="J60" s="967"/>
      <c r="K60" s="967"/>
      <c r="L60" s="138"/>
      <c r="M60" s="138"/>
      <c r="N60" s="138"/>
      <c r="O60" s="138"/>
      <c r="P60" s="138"/>
      <c r="Q60" s="138"/>
      <c r="R60" s="138"/>
      <c r="S60" s="138"/>
      <c r="T60" s="138"/>
      <c r="U60" s="138"/>
      <c r="V60" s="138"/>
      <c r="W60" s="138"/>
      <c r="X60" s="138"/>
      <c r="Y60" s="138"/>
      <c r="Z60" s="138"/>
      <c r="AA60" s="138"/>
      <c r="AB60" s="138"/>
    </row>
    <row r="61" spans="1:28" ht="14.25" customHeight="1">
      <c r="A61" s="1009" t="s">
        <v>3652</v>
      </c>
      <c r="B61" s="1009" t="s">
        <v>275</v>
      </c>
      <c r="C61" s="1009" t="s">
        <v>267</v>
      </c>
      <c r="D61" s="1009" t="s">
        <v>273</v>
      </c>
      <c r="E61" s="1011">
        <v>19433.849999999999</v>
      </c>
      <c r="F61" s="1007"/>
      <c r="G61" s="1009" t="s">
        <v>3653</v>
      </c>
      <c r="H61" s="1013">
        <v>31</v>
      </c>
      <c r="I61" s="967"/>
      <c r="J61" s="967"/>
      <c r="K61" s="967"/>
      <c r="L61" s="138"/>
      <c r="M61" s="138"/>
      <c r="N61" s="138"/>
      <c r="O61" s="138"/>
      <c r="P61" s="138"/>
      <c r="Q61" s="138"/>
      <c r="R61" s="138"/>
      <c r="S61" s="138"/>
      <c r="T61" s="138"/>
      <c r="U61" s="138"/>
      <c r="V61" s="138"/>
      <c r="W61" s="138"/>
      <c r="X61" s="138"/>
      <c r="Y61" s="138"/>
      <c r="Z61" s="138"/>
      <c r="AA61" s="138"/>
      <c r="AB61" s="138"/>
    </row>
    <row r="62" spans="1:28" ht="14.25" customHeight="1">
      <c r="A62" s="1009" t="s">
        <v>3654</v>
      </c>
      <c r="B62" s="1009" t="s">
        <v>275</v>
      </c>
      <c r="C62" s="1009" t="s">
        <v>3433</v>
      </c>
      <c r="D62" s="1009" t="s">
        <v>3527</v>
      </c>
      <c r="E62" s="1011">
        <v>17516.849999999999</v>
      </c>
      <c r="F62" s="1007"/>
      <c r="G62" s="1009" t="s">
        <v>3655</v>
      </c>
      <c r="H62" s="1013">
        <v>31</v>
      </c>
      <c r="I62" s="967"/>
      <c r="J62" s="967"/>
      <c r="K62" s="967"/>
      <c r="L62" s="138"/>
      <c r="M62" s="138"/>
      <c r="N62" s="138"/>
      <c r="O62" s="138"/>
      <c r="P62" s="138"/>
      <c r="Q62" s="138"/>
      <c r="R62" s="138"/>
      <c r="S62" s="138"/>
      <c r="T62" s="138"/>
      <c r="U62" s="138"/>
      <c r="V62" s="138"/>
      <c r="W62" s="138"/>
      <c r="X62" s="138"/>
      <c r="Y62" s="138"/>
      <c r="Z62" s="138"/>
      <c r="AA62" s="138"/>
      <c r="AB62" s="138"/>
    </row>
    <row r="63" spans="1:28" ht="14.25" customHeight="1">
      <c r="A63" s="1009" t="s">
        <v>3635</v>
      </c>
      <c r="B63" s="1009" t="s">
        <v>268</v>
      </c>
      <c r="C63" s="1009" t="s">
        <v>267</v>
      </c>
      <c r="D63" s="1009" t="s">
        <v>260</v>
      </c>
      <c r="E63" s="1011">
        <v>28418.09</v>
      </c>
      <c r="F63" s="1007"/>
      <c r="G63" s="1009" t="s">
        <v>3636</v>
      </c>
      <c r="H63" s="1013">
        <v>30</v>
      </c>
      <c r="I63" s="967"/>
      <c r="J63" s="967"/>
      <c r="K63" s="967"/>
      <c r="L63" s="138"/>
      <c r="M63" s="138"/>
      <c r="N63" s="138"/>
      <c r="O63" s="138"/>
      <c r="P63" s="138"/>
      <c r="Q63" s="138"/>
      <c r="R63" s="138"/>
      <c r="S63" s="138"/>
      <c r="T63" s="138"/>
      <c r="U63" s="138"/>
      <c r="V63" s="138"/>
      <c r="W63" s="138"/>
      <c r="X63" s="138"/>
      <c r="Y63" s="138"/>
      <c r="Z63" s="138"/>
      <c r="AA63" s="138"/>
      <c r="AB63" s="138"/>
    </row>
    <row r="64" spans="1:28" ht="14.25" customHeight="1">
      <c r="A64" s="1009" t="s">
        <v>3639</v>
      </c>
      <c r="B64" s="1009" t="s">
        <v>278</v>
      </c>
      <c r="C64" s="1009" t="s">
        <v>267</v>
      </c>
      <c r="D64" s="1009" t="s">
        <v>260</v>
      </c>
      <c r="E64" s="1011">
        <v>26650</v>
      </c>
      <c r="F64" s="1007"/>
      <c r="G64" s="1009" t="s">
        <v>3640</v>
      </c>
      <c r="H64" s="1013">
        <v>30</v>
      </c>
      <c r="I64" s="967"/>
      <c r="J64" s="967"/>
      <c r="K64" s="967"/>
      <c r="L64" s="138"/>
      <c r="M64" s="138"/>
      <c r="N64" s="138"/>
      <c r="O64" s="138"/>
      <c r="P64" s="138"/>
      <c r="Q64" s="138"/>
      <c r="R64" s="138"/>
      <c r="S64" s="138"/>
      <c r="T64" s="138"/>
      <c r="U64" s="138"/>
      <c r="V64" s="138"/>
      <c r="W64" s="138"/>
      <c r="X64" s="138"/>
      <c r="Y64" s="138"/>
      <c r="Z64" s="138"/>
      <c r="AA64" s="138"/>
      <c r="AB64" s="138"/>
    </row>
    <row r="65" spans="1:28" ht="14.25" customHeight="1">
      <c r="A65" s="1009" t="s">
        <v>3755</v>
      </c>
      <c r="B65" s="1009" t="s">
        <v>275</v>
      </c>
      <c r="C65" s="1009" t="s">
        <v>267</v>
      </c>
      <c r="D65" s="1009" t="s">
        <v>260</v>
      </c>
      <c r="E65" s="1011">
        <v>22943.200000000001</v>
      </c>
      <c r="F65" s="1011">
        <v>-14910</v>
      </c>
      <c r="G65" s="1009" t="s">
        <v>3756</v>
      </c>
      <c r="H65" s="1013">
        <v>27</v>
      </c>
      <c r="I65" s="967"/>
      <c r="J65" s="967"/>
      <c r="K65" s="967"/>
      <c r="L65" s="138"/>
      <c r="M65" s="138"/>
      <c r="N65" s="138"/>
      <c r="O65" s="138"/>
      <c r="P65" s="138"/>
      <c r="Q65" s="138"/>
      <c r="R65" s="138"/>
      <c r="S65" s="138"/>
      <c r="T65" s="138"/>
      <c r="U65" s="138"/>
      <c r="V65" s="138"/>
      <c r="W65" s="138"/>
      <c r="X65" s="138"/>
      <c r="Y65" s="138"/>
      <c r="Z65" s="138"/>
      <c r="AA65" s="138"/>
      <c r="AB65" s="138"/>
    </row>
    <row r="66" spans="1:28" ht="14.25" customHeight="1">
      <c r="A66" s="1009" t="s">
        <v>3757</v>
      </c>
      <c r="B66" s="1009" t="s">
        <v>3438</v>
      </c>
      <c r="C66" s="1009" t="s">
        <v>267</v>
      </c>
      <c r="D66" s="1009" t="s">
        <v>3572</v>
      </c>
      <c r="E66" s="1011">
        <v>56282.9</v>
      </c>
      <c r="F66" s="1011">
        <v>-53444.44</v>
      </c>
      <c r="G66" s="1009" t="s">
        <v>3758</v>
      </c>
      <c r="H66" s="1013">
        <v>26</v>
      </c>
      <c r="I66" s="967"/>
      <c r="J66" s="967"/>
      <c r="K66" s="967"/>
      <c r="L66" s="138"/>
      <c r="M66" s="138"/>
      <c r="N66" s="138"/>
      <c r="O66" s="138"/>
      <c r="P66" s="138"/>
      <c r="Q66" s="138"/>
      <c r="R66" s="138"/>
      <c r="S66" s="138"/>
      <c r="T66" s="138"/>
      <c r="U66" s="138"/>
      <c r="V66" s="138"/>
      <c r="W66" s="138"/>
      <c r="X66" s="138"/>
      <c r="Y66" s="138"/>
      <c r="Z66" s="138"/>
      <c r="AA66" s="138"/>
      <c r="AB66" s="138"/>
    </row>
    <row r="67" spans="1:28" ht="14.25" customHeight="1">
      <c r="A67" s="1009" t="s">
        <v>3759</v>
      </c>
      <c r="B67" s="1009" t="s">
        <v>264</v>
      </c>
      <c r="C67" s="1009" t="s">
        <v>267</v>
      </c>
      <c r="D67" s="1009" t="s">
        <v>260</v>
      </c>
      <c r="E67" s="1011">
        <v>37343.25</v>
      </c>
      <c r="F67" s="1011">
        <v>-31500</v>
      </c>
      <c r="G67" s="1009" t="s">
        <v>3760</v>
      </c>
      <c r="H67" s="1013">
        <v>26</v>
      </c>
      <c r="I67" s="967"/>
      <c r="J67" s="967"/>
      <c r="K67" s="967"/>
      <c r="L67" s="138"/>
      <c r="M67" s="138"/>
      <c r="N67" s="138"/>
      <c r="O67" s="138"/>
      <c r="P67" s="138"/>
      <c r="Q67" s="138"/>
      <c r="R67" s="138"/>
      <c r="S67" s="138"/>
      <c r="T67" s="138"/>
      <c r="U67" s="138"/>
      <c r="V67" s="138"/>
      <c r="W67" s="138"/>
      <c r="X67" s="138"/>
      <c r="Y67" s="138"/>
      <c r="Z67" s="138"/>
      <c r="AA67" s="138"/>
      <c r="AB67" s="138"/>
    </row>
    <row r="68" spans="1:28" ht="14.25" customHeight="1">
      <c r="A68" s="1009" t="s">
        <v>3761</v>
      </c>
      <c r="B68" s="1009" t="s">
        <v>268</v>
      </c>
      <c r="C68" s="1009" t="s">
        <v>267</v>
      </c>
      <c r="D68" s="1009" t="s">
        <v>260</v>
      </c>
      <c r="E68" s="1011">
        <v>27555.439999999999</v>
      </c>
      <c r="F68" s="1011">
        <v>-26142.19</v>
      </c>
      <c r="G68" s="1009" t="s">
        <v>3762</v>
      </c>
      <c r="H68" s="1013">
        <v>26</v>
      </c>
      <c r="I68" s="967"/>
      <c r="J68" s="967"/>
      <c r="K68" s="967"/>
      <c r="L68" s="138"/>
      <c r="M68" s="138"/>
      <c r="N68" s="138"/>
      <c r="O68" s="138"/>
      <c r="P68" s="138"/>
      <c r="Q68" s="138"/>
      <c r="R68" s="138"/>
      <c r="S68" s="138"/>
      <c r="T68" s="138"/>
      <c r="U68" s="138"/>
      <c r="V68" s="138"/>
      <c r="W68" s="138"/>
      <c r="X68" s="138"/>
      <c r="Y68" s="138"/>
      <c r="Z68" s="138"/>
      <c r="AA68" s="138"/>
      <c r="AB68" s="138"/>
    </row>
    <row r="69" spans="1:28" ht="14.25" customHeight="1">
      <c r="A69" s="1009" t="s">
        <v>3627</v>
      </c>
      <c r="B69" s="1009" t="s">
        <v>275</v>
      </c>
      <c r="C69" s="1009" t="s">
        <v>267</v>
      </c>
      <c r="D69" s="1009" t="s">
        <v>277</v>
      </c>
      <c r="E69" s="1011">
        <v>15050</v>
      </c>
      <c r="F69" s="1007"/>
      <c r="G69" s="1009" t="s">
        <v>3628</v>
      </c>
      <c r="H69" s="1013">
        <v>26</v>
      </c>
      <c r="I69" s="967"/>
      <c r="J69" s="967"/>
      <c r="K69" s="967"/>
      <c r="L69" s="138"/>
      <c r="M69" s="138"/>
      <c r="N69" s="138"/>
      <c r="O69" s="138"/>
      <c r="P69" s="138"/>
      <c r="Q69" s="138"/>
      <c r="R69" s="138"/>
      <c r="S69" s="138"/>
      <c r="T69" s="138"/>
      <c r="U69" s="138"/>
      <c r="V69" s="138"/>
      <c r="W69" s="138"/>
      <c r="X69" s="138"/>
      <c r="Y69" s="138"/>
      <c r="Z69" s="138"/>
      <c r="AA69" s="138"/>
      <c r="AB69" s="138"/>
    </row>
    <row r="70" spans="1:28" ht="14.25" customHeight="1">
      <c r="A70" s="1009" t="s">
        <v>3763</v>
      </c>
      <c r="B70" s="1009" t="s">
        <v>278</v>
      </c>
      <c r="C70" s="1009" t="s">
        <v>267</v>
      </c>
      <c r="D70" s="1009" t="s">
        <v>282</v>
      </c>
      <c r="E70" s="1011">
        <v>24148.3</v>
      </c>
      <c r="F70" s="1011">
        <v>-13011</v>
      </c>
      <c r="G70" s="1009" t="s">
        <v>3764</v>
      </c>
      <c r="H70" s="1013">
        <v>25</v>
      </c>
      <c r="I70" s="967"/>
      <c r="J70" s="967"/>
      <c r="K70" s="967"/>
      <c r="L70" s="138"/>
      <c r="M70" s="138"/>
      <c r="N70" s="138"/>
      <c r="O70" s="138"/>
      <c r="P70" s="138"/>
      <c r="Q70" s="138"/>
      <c r="R70" s="138"/>
      <c r="S70" s="138"/>
      <c r="T70" s="138"/>
      <c r="U70" s="138"/>
      <c r="V70" s="138"/>
      <c r="W70" s="138"/>
      <c r="X70" s="138"/>
      <c r="Y70" s="138"/>
      <c r="Z70" s="138"/>
      <c r="AA70" s="138"/>
      <c r="AB70" s="138"/>
    </row>
    <row r="71" spans="1:28" ht="14.25" customHeight="1">
      <c r="A71" s="1009" t="s">
        <v>3765</v>
      </c>
      <c r="B71" s="1009" t="s">
        <v>280</v>
      </c>
      <c r="C71" s="1009" t="s">
        <v>267</v>
      </c>
      <c r="D71" s="1009" t="s">
        <v>260</v>
      </c>
      <c r="E71" s="1011">
        <v>17323.25</v>
      </c>
      <c r="F71" s="1011">
        <v>-14400</v>
      </c>
      <c r="G71" s="1009" t="s">
        <v>3766</v>
      </c>
      <c r="H71" s="1013">
        <v>25</v>
      </c>
      <c r="I71" s="967"/>
      <c r="J71" s="967"/>
      <c r="K71" s="967"/>
      <c r="L71" s="138"/>
      <c r="M71" s="138"/>
      <c r="N71" s="138"/>
      <c r="O71" s="138"/>
      <c r="P71" s="138"/>
      <c r="Q71" s="138"/>
      <c r="R71" s="138"/>
      <c r="S71" s="138"/>
      <c r="T71" s="138"/>
      <c r="U71" s="138"/>
      <c r="V71" s="138"/>
      <c r="W71" s="138"/>
      <c r="X71" s="138"/>
      <c r="Y71" s="138"/>
      <c r="Z71" s="138"/>
      <c r="AA71" s="138"/>
      <c r="AB71" s="138"/>
    </row>
    <row r="72" spans="1:28" ht="14.25" customHeight="1">
      <c r="A72" s="1009" t="s">
        <v>3767</v>
      </c>
      <c r="B72" s="1009" t="s">
        <v>278</v>
      </c>
      <c r="C72" s="1009" t="s">
        <v>267</v>
      </c>
      <c r="D72" s="1009" t="s">
        <v>260</v>
      </c>
      <c r="E72" s="1011">
        <v>24729.89</v>
      </c>
      <c r="F72" s="1011">
        <v>-21121.07</v>
      </c>
      <c r="G72" s="1009" t="s">
        <v>3768</v>
      </c>
      <c r="H72" s="1013">
        <v>24</v>
      </c>
      <c r="I72" s="967"/>
      <c r="J72" s="967"/>
      <c r="K72" s="967"/>
      <c r="L72" s="138"/>
      <c r="M72" s="138"/>
      <c r="N72" s="138"/>
      <c r="O72" s="138"/>
      <c r="P72" s="138"/>
      <c r="Q72" s="138"/>
      <c r="R72" s="138"/>
      <c r="S72" s="138"/>
      <c r="T72" s="138"/>
      <c r="U72" s="138"/>
      <c r="V72" s="138"/>
      <c r="W72" s="138"/>
      <c r="X72" s="138"/>
      <c r="Y72" s="138"/>
      <c r="Z72" s="138"/>
      <c r="AA72" s="138"/>
      <c r="AB72" s="138"/>
    </row>
    <row r="73" spans="1:28" ht="14.25" customHeight="1">
      <c r="A73" s="1009" t="s">
        <v>3769</v>
      </c>
      <c r="B73" s="1009" t="s">
        <v>264</v>
      </c>
      <c r="C73" s="1009" t="s">
        <v>3634</v>
      </c>
      <c r="D73" s="1009" t="s">
        <v>3770</v>
      </c>
      <c r="E73" s="1011">
        <v>39801.279999999999</v>
      </c>
      <c r="F73" s="1007"/>
      <c r="G73" s="1009" t="s">
        <v>3771</v>
      </c>
      <c r="H73" s="1013">
        <v>17</v>
      </c>
      <c r="I73" s="967"/>
      <c r="J73" s="967"/>
      <c r="K73" s="967"/>
      <c r="L73" s="138"/>
      <c r="M73" s="138"/>
      <c r="N73" s="138"/>
      <c r="O73" s="138"/>
      <c r="P73" s="138"/>
      <c r="Q73" s="138"/>
      <c r="R73" s="138"/>
      <c r="S73" s="138"/>
      <c r="T73" s="138"/>
      <c r="U73" s="138"/>
      <c r="V73" s="138"/>
      <c r="W73" s="138"/>
      <c r="X73" s="138"/>
      <c r="Y73" s="138"/>
      <c r="Z73" s="138"/>
      <c r="AA73" s="138"/>
      <c r="AB73" s="138"/>
    </row>
    <row r="74" spans="1:28" ht="14.25" customHeight="1">
      <c r="A74" s="1009" t="s">
        <v>3772</v>
      </c>
      <c r="B74" s="1009" t="s">
        <v>278</v>
      </c>
      <c r="C74" s="1009" t="s">
        <v>267</v>
      </c>
      <c r="D74" s="1009" t="s">
        <v>260</v>
      </c>
      <c r="E74" s="1011">
        <v>27897</v>
      </c>
      <c r="F74" s="1011">
        <v>-21259.15</v>
      </c>
      <c r="G74" s="1009" t="s">
        <v>3773</v>
      </c>
      <c r="H74" s="1013">
        <v>17</v>
      </c>
      <c r="I74" s="967"/>
      <c r="J74" s="967"/>
      <c r="K74" s="967"/>
      <c r="L74" s="138"/>
      <c r="M74" s="138"/>
      <c r="N74" s="138"/>
      <c r="O74" s="138"/>
      <c r="P74" s="138"/>
      <c r="Q74" s="138"/>
      <c r="R74" s="138"/>
      <c r="S74" s="138"/>
      <c r="T74" s="138"/>
      <c r="U74" s="138"/>
      <c r="V74" s="138"/>
      <c r="W74" s="138"/>
      <c r="X74" s="138"/>
      <c r="Y74" s="138"/>
      <c r="Z74" s="138"/>
      <c r="AA74" s="138"/>
      <c r="AB74" s="138"/>
    </row>
    <row r="75" spans="1:28" ht="14.25" customHeight="1">
      <c r="A75" s="1009" t="s">
        <v>3774</v>
      </c>
      <c r="B75" s="1009" t="s">
        <v>268</v>
      </c>
      <c r="C75" s="1009" t="s">
        <v>267</v>
      </c>
      <c r="D75" s="1009" t="s">
        <v>260</v>
      </c>
      <c r="E75" s="1011">
        <v>29849.7</v>
      </c>
      <c r="F75" s="1011">
        <v>-25650</v>
      </c>
      <c r="G75" s="1009" t="s">
        <v>3775</v>
      </c>
      <c r="H75" s="1013">
        <v>16</v>
      </c>
      <c r="I75" s="967"/>
      <c r="J75" s="967"/>
      <c r="K75" s="967"/>
      <c r="L75" s="138"/>
      <c r="M75" s="138"/>
      <c r="N75" s="138"/>
      <c r="O75" s="138"/>
      <c r="P75" s="138"/>
      <c r="Q75" s="138"/>
      <c r="R75" s="138"/>
      <c r="S75" s="138"/>
      <c r="T75" s="138"/>
      <c r="U75" s="138"/>
      <c r="V75" s="138"/>
      <c r="W75" s="138"/>
      <c r="X75" s="138"/>
      <c r="Y75" s="138"/>
      <c r="Z75" s="138"/>
      <c r="AA75" s="138"/>
      <c r="AB75" s="138"/>
    </row>
    <row r="76" spans="1:28" ht="14.25" customHeight="1">
      <c r="A76" s="1009" t="s">
        <v>3776</v>
      </c>
      <c r="B76" s="1009" t="s">
        <v>268</v>
      </c>
      <c r="C76" s="1009" t="s">
        <v>267</v>
      </c>
      <c r="D76" s="1009" t="s">
        <v>277</v>
      </c>
      <c r="E76" s="1011">
        <v>22734.85</v>
      </c>
      <c r="F76" s="1007"/>
      <c r="G76" s="1009" t="s">
        <v>3777</v>
      </c>
      <c r="H76" s="1013">
        <v>16</v>
      </c>
      <c r="I76" s="967"/>
      <c r="J76" s="967"/>
      <c r="K76" s="967"/>
      <c r="L76" s="138"/>
      <c r="M76" s="138"/>
      <c r="N76" s="138"/>
      <c r="O76" s="138"/>
      <c r="P76" s="138"/>
      <c r="Q76" s="138"/>
      <c r="R76" s="138"/>
      <c r="S76" s="138"/>
      <c r="T76" s="138"/>
      <c r="U76" s="138"/>
      <c r="V76" s="138"/>
      <c r="W76" s="138"/>
      <c r="X76" s="138"/>
      <c r="Y76" s="138"/>
      <c r="Z76" s="138"/>
      <c r="AA76" s="138"/>
      <c r="AB76" s="138"/>
    </row>
    <row r="77" spans="1:28" ht="14.25" customHeight="1">
      <c r="A77" s="1009" t="s">
        <v>3778</v>
      </c>
      <c r="B77" s="1009" t="s">
        <v>278</v>
      </c>
      <c r="C77" s="1009" t="s">
        <v>267</v>
      </c>
      <c r="D77" s="1009" t="s">
        <v>260</v>
      </c>
      <c r="E77" s="1011">
        <v>23937.85</v>
      </c>
      <c r="F77" s="1007"/>
      <c r="G77" s="1009" t="s">
        <v>3779</v>
      </c>
      <c r="H77" s="1013">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09" t="s">
        <v>3780</v>
      </c>
      <c r="B78" s="1009" t="s">
        <v>278</v>
      </c>
      <c r="C78" s="1009" t="s">
        <v>3781</v>
      </c>
      <c r="D78" s="1009" t="s">
        <v>3782</v>
      </c>
      <c r="E78" s="1011">
        <v>37860.379999999997</v>
      </c>
      <c r="F78" s="1007"/>
      <c r="G78" s="1009" t="s">
        <v>3783</v>
      </c>
      <c r="H78" s="1013">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09" t="s">
        <v>3784</v>
      </c>
      <c r="B79" s="1009" t="s">
        <v>275</v>
      </c>
      <c r="C79" s="1009" t="s">
        <v>267</v>
      </c>
      <c r="D79" s="1009" t="s">
        <v>273</v>
      </c>
      <c r="E79" s="1011">
        <v>17250</v>
      </c>
      <c r="F79" s="1011">
        <v>-10994</v>
      </c>
      <c r="G79" s="1009" t="s">
        <v>3785</v>
      </c>
      <c r="H79" s="1013">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09" t="s">
        <v>3786</v>
      </c>
      <c r="B80" s="1009" t="s">
        <v>3339</v>
      </c>
      <c r="C80" s="1009" t="s">
        <v>267</v>
      </c>
      <c r="D80" s="1009" t="s">
        <v>265</v>
      </c>
      <c r="E80" s="1011">
        <v>9050</v>
      </c>
      <c r="F80" s="1007"/>
      <c r="G80" s="1009" t="s">
        <v>3787</v>
      </c>
      <c r="H80" s="1013">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09" t="s">
        <v>3788</v>
      </c>
      <c r="B81" s="1009" t="s">
        <v>3548</v>
      </c>
      <c r="C81" s="1009" t="s">
        <v>3433</v>
      </c>
      <c r="D81" s="1009" t="s">
        <v>3789</v>
      </c>
      <c r="E81" s="1011">
        <v>10550</v>
      </c>
      <c r="F81" s="1007"/>
      <c r="G81" s="1009" t="s">
        <v>3790</v>
      </c>
      <c r="H81" s="1013">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09" t="s">
        <v>3791</v>
      </c>
      <c r="B82" s="1009" t="s">
        <v>259</v>
      </c>
      <c r="C82" s="1009" t="s">
        <v>267</v>
      </c>
      <c r="D82" s="1009" t="s">
        <v>3572</v>
      </c>
      <c r="E82" s="1011">
        <v>48197.8</v>
      </c>
      <c r="F82" s="1011">
        <v>-42300</v>
      </c>
      <c r="G82" s="1009" t="s">
        <v>3792</v>
      </c>
      <c r="H82" s="1013">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09" t="s">
        <v>3793</v>
      </c>
      <c r="B83" s="1009" t="s">
        <v>275</v>
      </c>
      <c r="C83" s="1009" t="s">
        <v>267</v>
      </c>
      <c r="D83" s="1009" t="s">
        <v>277</v>
      </c>
      <c r="E83" s="1011">
        <v>21402.85</v>
      </c>
      <c r="F83" s="1007"/>
      <c r="G83" s="1009" t="s">
        <v>3794</v>
      </c>
      <c r="H83" s="1013">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09" t="s">
        <v>3795</v>
      </c>
      <c r="B84" s="1009" t="s">
        <v>275</v>
      </c>
      <c r="C84" s="1009" t="s">
        <v>267</v>
      </c>
      <c r="D84" s="1009" t="s">
        <v>273</v>
      </c>
      <c r="E84" s="1011">
        <v>18179.95</v>
      </c>
      <c r="F84" s="1007"/>
      <c r="G84" s="1009" t="s">
        <v>3796</v>
      </c>
      <c r="H84" s="1013">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09" t="s">
        <v>3797</v>
      </c>
      <c r="B85" s="1009" t="s">
        <v>3471</v>
      </c>
      <c r="C85" s="1009" t="s">
        <v>3798</v>
      </c>
      <c r="D85" s="1009" t="s">
        <v>3799</v>
      </c>
      <c r="E85" s="1011">
        <v>22550</v>
      </c>
      <c r="F85" s="1007"/>
      <c r="G85" s="1009" t="s">
        <v>3800</v>
      </c>
      <c r="H85" s="1013">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09" t="s">
        <v>3801</v>
      </c>
      <c r="B86" s="1009" t="s">
        <v>3442</v>
      </c>
      <c r="C86" s="1009" t="s">
        <v>3431</v>
      </c>
      <c r="D86" s="1009" t="s">
        <v>3802</v>
      </c>
      <c r="E86" s="1011">
        <v>5450</v>
      </c>
      <c r="F86" s="1007"/>
      <c r="G86" s="1009" t="s">
        <v>3803</v>
      </c>
      <c r="H86" s="1013">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09" t="s">
        <v>3804</v>
      </c>
      <c r="B87" s="1009" t="s">
        <v>275</v>
      </c>
      <c r="C87" s="1009" t="s">
        <v>267</v>
      </c>
      <c r="D87" s="1009" t="s">
        <v>260</v>
      </c>
      <c r="E87" s="1011">
        <v>20650</v>
      </c>
      <c r="F87" s="1007"/>
      <c r="G87" s="1009" t="s">
        <v>3805</v>
      </c>
      <c r="H87" s="1013">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09" t="s">
        <v>3806</v>
      </c>
      <c r="B88" s="1009" t="s">
        <v>3339</v>
      </c>
      <c r="C88" s="1009" t="s">
        <v>267</v>
      </c>
      <c r="D88" s="1009" t="s">
        <v>260</v>
      </c>
      <c r="E88" s="1011">
        <v>8550</v>
      </c>
      <c r="F88" s="1007"/>
      <c r="G88" s="1009" t="s">
        <v>3807</v>
      </c>
      <c r="H88" s="1013">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09" t="s">
        <v>3808</v>
      </c>
      <c r="B89" s="1009" t="s">
        <v>278</v>
      </c>
      <c r="C89" s="1009" t="s">
        <v>267</v>
      </c>
      <c r="D89" s="1009" t="s">
        <v>260</v>
      </c>
      <c r="E89" s="1011">
        <v>25550</v>
      </c>
      <c r="F89" s="1007"/>
      <c r="G89" s="1009" t="s">
        <v>3809</v>
      </c>
      <c r="H89" s="1013">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09" t="s">
        <v>3810</v>
      </c>
      <c r="B90" s="1009" t="s">
        <v>278</v>
      </c>
      <c r="C90" s="1009" t="s">
        <v>3432</v>
      </c>
      <c r="D90" s="1009" t="s">
        <v>3811</v>
      </c>
      <c r="E90" s="1011">
        <v>28550</v>
      </c>
      <c r="F90" s="1007"/>
      <c r="G90" s="1009" t="s">
        <v>3812</v>
      </c>
      <c r="H90" s="1013">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09" t="s">
        <v>3813</v>
      </c>
      <c r="B91" s="1009" t="s">
        <v>275</v>
      </c>
      <c r="C91" s="1009" t="s">
        <v>267</v>
      </c>
      <c r="D91" s="1009" t="s">
        <v>273</v>
      </c>
      <c r="E91" s="1011">
        <v>17050</v>
      </c>
      <c r="F91" s="1007"/>
      <c r="G91" s="1009" t="s">
        <v>3814</v>
      </c>
      <c r="H91" s="1013">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09" t="s">
        <v>3815</v>
      </c>
      <c r="B92" s="1009" t="s">
        <v>259</v>
      </c>
      <c r="C92" s="1009" t="s">
        <v>267</v>
      </c>
      <c r="D92" s="1009" t="s">
        <v>260</v>
      </c>
      <c r="E92" s="1011">
        <v>31300</v>
      </c>
      <c r="F92" s="1007"/>
      <c r="G92" s="1009" t="s">
        <v>3816</v>
      </c>
      <c r="H92" s="1013">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09" t="s">
        <v>3817</v>
      </c>
      <c r="B93" s="1009" t="s">
        <v>264</v>
      </c>
      <c r="C93" s="1009" t="s">
        <v>267</v>
      </c>
      <c r="D93" s="1009" t="s">
        <v>262</v>
      </c>
      <c r="E93" s="1011">
        <v>47388.75</v>
      </c>
      <c r="F93" s="1007"/>
      <c r="G93" s="1009" t="s">
        <v>3818</v>
      </c>
      <c r="H93" s="1013">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09" t="s">
        <v>3819</v>
      </c>
      <c r="B94" s="1009" t="s">
        <v>268</v>
      </c>
      <c r="C94" s="1009" t="s">
        <v>267</v>
      </c>
      <c r="D94" s="1009" t="s">
        <v>277</v>
      </c>
      <c r="E94" s="1011">
        <v>24050</v>
      </c>
      <c r="F94" s="1007"/>
      <c r="G94" s="1009" t="s">
        <v>3820</v>
      </c>
      <c r="H94" s="1013">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09" t="s">
        <v>3821</v>
      </c>
      <c r="B95" s="1009" t="s">
        <v>278</v>
      </c>
      <c r="C95" s="1009" t="s">
        <v>267</v>
      </c>
      <c r="D95" s="1009" t="s">
        <v>260</v>
      </c>
      <c r="E95" s="1011">
        <v>29837.9</v>
      </c>
      <c r="F95" s="1007"/>
      <c r="G95" s="1009" t="s">
        <v>3822</v>
      </c>
      <c r="H95" s="1013">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09" t="s">
        <v>3823</v>
      </c>
      <c r="B96" s="1009" t="s">
        <v>278</v>
      </c>
      <c r="C96" s="1009" t="s">
        <v>267</v>
      </c>
      <c r="D96" s="1009" t="s">
        <v>277</v>
      </c>
      <c r="E96" s="1011">
        <v>18250</v>
      </c>
      <c r="F96" s="1007"/>
      <c r="G96" s="1009" t="s">
        <v>3824</v>
      </c>
      <c r="H96" s="1013">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09" t="s">
        <v>3825</v>
      </c>
      <c r="B97" s="1009" t="s">
        <v>268</v>
      </c>
      <c r="C97" s="1009" t="s">
        <v>267</v>
      </c>
      <c r="D97" s="1009" t="s">
        <v>260</v>
      </c>
      <c r="E97" s="1011">
        <v>24300</v>
      </c>
      <c r="F97" s="1007"/>
      <c r="G97" s="1009" t="s">
        <v>3826</v>
      </c>
      <c r="H97" s="1013">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09" t="s">
        <v>3827</v>
      </c>
      <c r="B98" s="1009" t="s">
        <v>278</v>
      </c>
      <c r="C98" s="1009" t="s">
        <v>267</v>
      </c>
      <c r="D98" s="1009" t="s">
        <v>277</v>
      </c>
      <c r="E98" s="1011">
        <v>16550</v>
      </c>
      <c r="F98" s="1007"/>
      <c r="G98" s="1009" t="s">
        <v>3828</v>
      </c>
      <c r="H98" s="1013">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09" t="s">
        <v>3829</v>
      </c>
      <c r="B99" s="1009" t="s">
        <v>278</v>
      </c>
      <c r="C99" s="1009" t="s">
        <v>3350</v>
      </c>
      <c r="D99" s="1009" t="s">
        <v>3830</v>
      </c>
      <c r="E99" s="1011">
        <v>53050</v>
      </c>
      <c r="F99" s="1007"/>
      <c r="G99" s="1009" t="s">
        <v>3831</v>
      </c>
      <c r="H99" s="1013">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09" t="s">
        <v>3832</v>
      </c>
      <c r="B100" s="1009" t="s">
        <v>280</v>
      </c>
      <c r="C100" s="1009" t="s">
        <v>3833</v>
      </c>
      <c r="D100" s="1009" t="s">
        <v>3834</v>
      </c>
      <c r="E100" s="1011">
        <v>10300</v>
      </c>
      <c r="F100" s="1007"/>
      <c r="G100" s="1009" t="s">
        <v>3835</v>
      </c>
      <c r="H100" s="1013">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09" t="s">
        <v>3836</v>
      </c>
      <c r="B101" s="1009" t="s">
        <v>3633</v>
      </c>
      <c r="C101" s="1009" t="s">
        <v>267</v>
      </c>
      <c r="D101" s="1009" t="s">
        <v>3642</v>
      </c>
      <c r="E101" s="1011">
        <v>2550</v>
      </c>
      <c r="F101" s="1007"/>
      <c r="G101" s="1009" t="s">
        <v>3837</v>
      </c>
      <c r="H101" s="1013">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09" t="s">
        <v>3838</v>
      </c>
      <c r="B102" s="1009" t="s">
        <v>3633</v>
      </c>
      <c r="C102" s="1009" t="s">
        <v>3464</v>
      </c>
      <c r="D102" s="1009" t="s">
        <v>3839</v>
      </c>
      <c r="E102" s="1011">
        <v>2300</v>
      </c>
      <c r="F102" s="1007"/>
      <c r="G102" s="1009" t="s">
        <v>3840</v>
      </c>
      <c r="H102" s="1013">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09" t="s">
        <v>3841</v>
      </c>
      <c r="B103" s="1009" t="s">
        <v>264</v>
      </c>
      <c r="C103" s="1009" t="s">
        <v>267</v>
      </c>
      <c r="D103" s="1009" t="s">
        <v>260</v>
      </c>
      <c r="E103" s="1011">
        <v>36050</v>
      </c>
      <c r="F103" s="1007"/>
      <c r="G103" s="1009" t="s">
        <v>3842</v>
      </c>
      <c r="H103" s="1013">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09" t="s">
        <v>3843</v>
      </c>
      <c r="B104" s="1009" t="s">
        <v>259</v>
      </c>
      <c r="C104" s="1009" t="s">
        <v>267</v>
      </c>
      <c r="D104" s="1009" t="s">
        <v>260</v>
      </c>
      <c r="E104" s="1011">
        <v>33550</v>
      </c>
      <c r="F104" s="1007"/>
      <c r="G104" s="1009" t="s">
        <v>3844</v>
      </c>
      <c r="H104" s="1013">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09" t="s">
        <v>3845</v>
      </c>
      <c r="B105" s="1009" t="s">
        <v>259</v>
      </c>
      <c r="C105" s="1009" t="s">
        <v>3542</v>
      </c>
      <c r="D105" s="1009" t="s">
        <v>3846</v>
      </c>
      <c r="E105" s="1011">
        <v>20750</v>
      </c>
      <c r="F105" s="1007"/>
      <c r="G105" s="1009" t="s">
        <v>3847</v>
      </c>
      <c r="H105" s="1013">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09" t="s">
        <v>3848</v>
      </c>
      <c r="B106" s="1009" t="s">
        <v>268</v>
      </c>
      <c r="C106" s="1009" t="s">
        <v>267</v>
      </c>
      <c r="D106" s="1009" t="s">
        <v>260</v>
      </c>
      <c r="E106" s="1011">
        <v>26050</v>
      </c>
      <c r="F106" s="1007"/>
      <c r="G106" s="1009" t="s">
        <v>3849</v>
      </c>
      <c r="H106" s="1013">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09" t="s">
        <v>3850</v>
      </c>
      <c r="B107" s="1009" t="s">
        <v>268</v>
      </c>
      <c r="C107" s="1009" t="s">
        <v>3542</v>
      </c>
      <c r="D107" s="1009" t="s">
        <v>3543</v>
      </c>
      <c r="E107" s="1011">
        <v>29050</v>
      </c>
      <c r="F107" s="1007"/>
      <c r="G107" s="1009" t="s">
        <v>3851</v>
      </c>
      <c r="H107" s="1013">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09" t="s">
        <v>3852</v>
      </c>
      <c r="B108" s="1009" t="s">
        <v>275</v>
      </c>
      <c r="C108" s="1009" t="s">
        <v>3468</v>
      </c>
      <c r="D108" s="1009" t="s">
        <v>3853</v>
      </c>
      <c r="E108" s="1011">
        <v>35550</v>
      </c>
      <c r="F108" s="1007"/>
      <c r="G108" s="1009" t="s">
        <v>3854</v>
      </c>
      <c r="H108" s="1013">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09" t="s">
        <v>3855</v>
      </c>
      <c r="B109" s="1009" t="s">
        <v>3339</v>
      </c>
      <c r="C109" s="1009" t="s">
        <v>267</v>
      </c>
      <c r="D109" s="1009" t="s">
        <v>265</v>
      </c>
      <c r="E109" s="1011">
        <v>4050</v>
      </c>
      <c r="F109" s="1007"/>
      <c r="G109" s="1009" t="s">
        <v>3856</v>
      </c>
      <c r="H109" s="1013">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991" t="s">
        <v>270</v>
      </c>
      <c r="B112" s="991" t="s">
        <v>271</v>
      </c>
      <c r="C112" s="991" t="s">
        <v>267</v>
      </c>
      <c r="D112" s="991" t="s">
        <v>265</v>
      </c>
      <c r="E112" s="989">
        <v>9521.7099999999991</v>
      </c>
      <c r="F112" s="988"/>
      <c r="G112" s="991" t="s">
        <v>272</v>
      </c>
      <c r="H112" s="990">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991" t="s">
        <v>3408</v>
      </c>
      <c r="B113" s="991" t="s">
        <v>275</v>
      </c>
      <c r="C113" s="991" t="s">
        <v>3409</v>
      </c>
      <c r="D113" s="991" t="s">
        <v>3656</v>
      </c>
      <c r="E113" s="989">
        <v>36739.79</v>
      </c>
      <c r="F113" s="988"/>
      <c r="G113" s="991" t="s">
        <v>3410</v>
      </c>
      <c r="H113" s="990">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991" t="s">
        <v>3443</v>
      </c>
      <c r="B114" s="991" t="s">
        <v>3442</v>
      </c>
      <c r="C114" s="991" t="s">
        <v>267</v>
      </c>
      <c r="D114" s="991" t="s">
        <v>1411</v>
      </c>
      <c r="E114" s="989">
        <v>11948.62</v>
      </c>
      <c r="F114" s="988"/>
      <c r="G114" s="991" t="s">
        <v>3444</v>
      </c>
      <c r="H114" s="990">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59765625" defaultRowHeight="15" customHeight="1"/>
  <cols>
    <col min="1" max="2" width="11" customWidth="1"/>
    <col min="3" max="3" width="13.8984375" customWidth="1"/>
    <col min="4" max="4" width="23.59765625" customWidth="1"/>
    <col min="5" max="5" width="11.19921875" customWidth="1"/>
    <col min="6" max="6" width="13.3984375" customWidth="1"/>
    <col min="7" max="7" width="23.59765625" customWidth="1"/>
    <col min="8" max="8" width="11.59765625" customWidth="1"/>
    <col min="9" max="10" width="11" customWidth="1"/>
    <col min="11" max="11" width="13" bestFit="1" customWidth="1"/>
    <col min="12" max="12" width="13.19921875" customWidth="1"/>
    <col min="13" max="13" width="13.69921875" customWidth="1"/>
    <col min="14" max="26" width="11" customWidth="1"/>
  </cols>
  <sheetData>
    <row r="1" spans="1:26" ht="14.25" customHeight="1">
      <c r="A1" s="999" t="s">
        <v>252</v>
      </c>
      <c r="B1" s="1005" t="s">
        <v>9</v>
      </c>
      <c r="C1" s="1005" t="s">
        <v>253</v>
      </c>
      <c r="D1" s="1005" t="s">
        <v>254</v>
      </c>
      <c r="E1" s="1001" t="s">
        <v>841</v>
      </c>
      <c r="F1" s="1001" t="s">
        <v>903</v>
      </c>
      <c r="G1" s="999" t="s">
        <v>257</v>
      </c>
      <c r="H1" s="1003" t="s">
        <v>258</v>
      </c>
      <c r="I1" s="138"/>
      <c r="J1" s="138"/>
      <c r="K1" s="931">
        <v>45230</v>
      </c>
      <c r="L1" s="140" t="s">
        <v>255</v>
      </c>
      <c r="M1" s="140" t="s">
        <v>256</v>
      </c>
      <c r="N1" s="138"/>
      <c r="O1" s="138"/>
      <c r="P1" s="138"/>
      <c r="Q1" s="138"/>
      <c r="R1" s="138"/>
      <c r="S1" s="138"/>
      <c r="T1" s="138"/>
      <c r="U1" s="138"/>
      <c r="V1" s="138"/>
      <c r="W1" s="138"/>
      <c r="X1" s="138"/>
      <c r="Y1" s="138"/>
      <c r="Z1" s="138"/>
    </row>
    <row r="2" spans="1:26" ht="14.25" customHeight="1">
      <c r="A2" s="1000" t="s">
        <v>3436</v>
      </c>
      <c r="B2" s="1000" t="s">
        <v>264</v>
      </c>
      <c r="C2" s="1000" t="s">
        <v>267</v>
      </c>
      <c r="D2" s="1000" t="s">
        <v>265</v>
      </c>
      <c r="E2" s="1002">
        <v>33666.97</v>
      </c>
      <c r="F2" s="1002">
        <v>-31504.85</v>
      </c>
      <c r="G2" s="1000" t="s">
        <v>3437</v>
      </c>
      <c r="H2" s="997">
        <v>142</v>
      </c>
      <c r="I2" s="138"/>
      <c r="J2" s="138"/>
      <c r="K2" s="140" t="s">
        <v>261</v>
      </c>
      <c r="L2" s="948">
        <f t="shared" ref="L2:M2" si="0">+SUM(E2:E9963)</f>
        <v>3059537.15</v>
      </c>
      <c r="M2" s="949">
        <f t="shared" si="0"/>
        <v>-2668371.9500000002</v>
      </c>
      <c r="N2" s="138"/>
      <c r="O2" s="138"/>
      <c r="P2" s="138"/>
      <c r="Q2" s="138"/>
      <c r="R2" s="138"/>
      <c r="S2" s="138"/>
      <c r="T2" s="138"/>
      <c r="U2" s="138"/>
      <c r="V2" s="138"/>
      <c r="W2" s="138"/>
      <c r="X2" s="138"/>
      <c r="Y2" s="138"/>
      <c r="Z2" s="138"/>
    </row>
    <row r="3" spans="1:26" ht="14.25" customHeight="1">
      <c r="A3" s="1000" t="s">
        <v>3434</v>
      </c>
      <c r="B3" s="1000" t="s">
        <v>3438</v>
      </c>
      <c r="C3" s="1000" t="s">
        <v>267</v>
      </c>
      <c r="D3" s="1000" t="s">
        <v>262</v>
      </c>
      <c r="E3" s="1002">
        <v>56706.1</v>
      </c>
      <c r="F3" s="1002">
        <v>-57628.2</v>
      </c>
      <c r="G3" s="1000" t="s">
        <v>3435</v>
      </c>
      <c r="H3" s="997">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00" t="s">
        <v>3455</v>
      </c>
      <c r="B4" s="1000" t="s">
        <v>264</v>
      </c>
      <c r="C4" s="1000" t="s">
        <v>267</v>
      </c>
      <c r="D4" s="1000" t="s">
        <v>265</v>
      </c>
      <c r="E4" s="1002">
        <v>31163.98</v>
      </c>
      <c r="F4" s="1002">
        <v>-32628.75</v>
      </c>
      <c r="G4" s="1000" t="s">
        <v>3456</v>
      </c>
      <c r="H4" s="997">
        <v>116</v>
      </c>
      <c r="I4" s="138"/>
      <c r="J4" s="138"/>
      <c r="K4" s="138"/>
      <c r="L4" s="138"/>
      <c r="M4" s="138"/>
      <c r="N4" s="138"/>
      <c r="O4" s="138"/>
      <c r="P4" s="138"/>
      <c r="Q4" s="138"/>
      <c r="R4" s="138"/>
      <c r="S4" s="138"/>
      <c r="T4" s="138"/>
      <c r="U4" s="138"/>
      <c r="V4" s="138"/>
      <c r="W4" s="138"/>
      <c r="X4" s="138"/>
      <c r="Y4" s="138"/>
      <c r="Z4" s="138"/>
    </row>
    <row r="5" spans="1:26" ht="14.25" customHeight="1">
      <c r="A5" s="1000" t="s">
        <v>3453</v>
      </c>
      <c r="B5" s="1000" t="s">
        <v>264</v>
      </c>
      <c r="C5" s="1000" t="s">
        <v>267</v>
      </c>
      <c r="D5" s="1000" t="s">
        <v>976</v>
      </c>
      <c r="E5" s="1002">
        <v>38081.07</v>
      </c>
      <c r="F5" s="1002">
        <v>-39936.75</v>
      </c>
      <c r="G5" s="1000" t="s">
        <v>3454</v>
      </c>
      <c r="H5" s="997">
        <v>111</v>
      </c>
      <c r="I5" s="138"/>
      <c r="J5" s="138"/>
      <c r="K5" s="138"/>
      <c r="L5" s="138"/>
      <c r="M5" s="138"/>
      <c r="N5" s="138"/>
      <c r="O5" s="138"/>
      <c r="P5" s="138"/>
      <c r="Q5" s="138"/>
      <c r="R5" s="138"/>
      <c r="S5" s="138"/>
      <c r="T5" s="138"/>
      <c r="U5" s="138"/>
      <c r="V5" s="138"/>
      <c r="W5" s="138"/>
      <c r="X5" s="138"/>
      <c r="Y5" s="138"/>
      <c r="Z5" s="138"/>
    </row>
    <row r="6" spans="1:26" ht="14.25" customHeight="1">
      <c r="A6" s="1000" t="s">
        <v>3449</v>
      </c>
      <c r="B6" s="1000" t="s">
        <v>3438</v>
      </c>
      <c r="C6" s="1000" t="s">
        <v>267</v>
      </c>
      <c r="D6" s="1000" t="s">
        <v>262</v>
      </c>
      <c r="E6" s="1002">
        <v>50511.98</v>
      </c>
      <c r="F6" s="1002">
        <v>-51427.95</v>
      </c>
      <c r="G6" s="1000" t="s">
        <v>3450</v>
      </c>
      <c r="H6" s="997">
        <v>108</v>
      </c>
      <c r="I6" s="138"/>
      <c r="J6" s="138"/>
      <c r="K6" s="139" t="s">
        <v>3318</v>
      </c>
      <c r="L6" s="947">
        <f>SUM(E2:E12)</f>
        <v>532950.78999999992</v>
      </c>
      <c r="M6" s="947">
        <f>SUM(F2:F12)</f>
        <v>-378366.05</v>
      </c>
      <c r="N6" s="138"/>
      <c r="O6" s="138"/>
      <c r="P6" s="138"/>
      <c r="Q6" s="138"/>
      <c r="R6" s="138"/>
      <c r="S6" s="138"/>
      <c r="T6" s="138"/>
      <c r="U6" s="138"/>
      <c r="V6" s="138"/>
      <c r="W6" s="138"/>
      <c r="X6" s="138"/>
      <c r="Y6" s="138"/>
      <c r="Z6" s="138"/>
    </row>
    <row r="7" spans="1:26" ht="14.25" customHeight="1">
      <c r="A7" s="1000" t="s">
        <v>3447</v>
      </c>
      <c r="B7" s="1000" t="s">
        <v>3438</v>
      </c>
      <c r="C7" s="1000" t="s">
        <v>267</v>
      </c>
      <c r="D7" s="1000" t="s">
        <v>3457</v>
      </c>
      <c r="E7" s="1002">
        <v>54659.17</v>
      </c>
      <c r="F7" s="1002">
        <v>-57051.75</v>
      </c>
      <c r="G7" s="1000" t="s">
        <v>3448</v>
      </c>
      <c r="H7" s="997">
        <v>104</v>
      </c>
      <c r="I7" s="138"/>
      <c r="J7" s="138"/>
      <c r="K7" s="138"/>
      <c r="L7" s="953">
        <v>2</v>
      </c>
      <c r="M7" s="145"/>
      <c r="N7" s="138"/>
      <c r="O7" s="138"/>
      <c r="P7" s="138"/>
      <c r="Q7" s="138"/>
      <c r="R7" s="138"/>
      <c r="S7" s="138"/>
      <c r="T7" s="138"/>
      <c r="U7" s="138"/>
      <c r="V7" s="138"/>
      <c r="W7" s="138"/>
      <c r="X7" s="138"/>
      <c r="Y7" s="138"/>
      <c r="Z7" s="138"/>
    </row>
    <row r="8" spans="1:26" ht="14.25" customHeight="1">
      <c r="A8" s="1000" t="s">
        <v>3451</v>
      </c>
      <c r="B8" s="1000" t="s">
        <v>3438</v>
      </c>
      <c r="C8" s="1000" t="s">
        <v>267</v>
      </c>
      <c r="D8" s="1000" t="s">
        <v>3457</v>
      </c>
      <c r="E8" s="1002">
        <v>48328.17</v>
      </c>
      <c r="F8" s="1002">
        <v>-51136.05</v>
      </c>
      <c r="G8" s="1000" t="s">
        <v>3452</v>
      </c>
      <c r="H8" s="997">
        <v>97</v>
      </c>
      <c r="I8" s="138"/>
      <c r="J8" s="138"/>
      <c r="K8" s="138"/>
      <c r="L8" s="4"/>
      <c r="M8" s="144"/>
      <c r="N8" s="138"/>
      <c r="O8" s="138"/>
      <c r="P8" s="138"/>
      <c r="Q8" s="138"/>
      <c r="R8" s="138"/>
      <c r="S8" s="138"/>
      <c r="T8" s="138"/>
      <c r="U8" s="138"/>
      <c r="V8" s="138"/>
      <c r="W8" s="138"/>
      <c r="X8" s="138"/>
      <c r="Y8" s="138"/>
      <c r="Z8" s="138"/>
    </row>
    <row r="9" spans="1:26" ht="14.25" customHeight="1">
      <c r="A9" s="1000" t="s">
        <v>3445</v>
      </c>
      <c r="B9" s="1000" t="s">
        <v>3438</v>
      </c>
      <c r="C9" s="1000" t="s">
        <v>267</v>
      </c>
      <c r="D9" s="1000" t="s">
        <v>3457</v>
      </c>
      <c r="E9" s="1002">
        <v>57229.1</v>
      </c>
      <c r="F9" s="998"/>
      <c r="G9" s="1000" t="s">
        <v>3446</v>
      </c>
      <c r="H9" s="997">
        <v>93</v>
      </c>
      <c r="I9" s="138"/>
      <c r="J9" s="138"/>
      <c r="K9" s="139" t="s">
        <v>3342</v>
      </c>
      <c r="L9" s="947">
        <v>0</v>
      </c>
      <c r="M9" s="947">
        <v>0</v>
      </c>
      <c r="N9" s="138"/>
      <c r="O9" s="138"/>
      <c r="P9" s="138"/>
      <c r="Q9" s="138"/>
      <c r="R9" s="138"/>
      <c r="S9" s="138"/>
      <c r="T9" s="138"/>
      <c r="U9" s="138"/>
      <c r="V9" s="138"/>
      <c r="W9" s="138"/>
      <c r="X9" s="138"/>
      <c r="Y9" s="138"/>
      <c r="Z9" s="138"/>
    </row>
    <row r="10" spans="1:26" ht="14.25" customHeight="1">
      <c r="A10" s="1000" t="s">
        <v>3480</v>
      </c>
      <c r="B10" s="1000" t="s">
        <v>3438</v>
      </c>
      <c r="C10" s="1000" t="s">
        <v>267</v>
      </c>
      <c r="D10" s="1000" t="s">
        <v>262</v>
      </c>
      <c r="E10" s="1002">
        <v>58141.01</v>
      </c>
      <c r="F10" s="998"/>
      <c r="G10" s="1000" t="s">
        <v>3481</v>
      </c>
      <c r="H10" s="997">
        <v>90</v>
      </c>
      <c r="I10" s="138"/>
      <c r="J10" s="138"/>
      <c r="K10" s="138"/>
      <c r="L10" s="954">
        <v>0</v>
      </c>
      <c r="M10" s="145"/>
      <c r="N10" s="138"/>
      <c r="O10" s="138"/>
      <c r="P10" s="138"/>
      <c r="Q10" s="138"/>
      <c r="R10" s="138"/>
      <c r="S10" s="138"/>
      <c r="T10" s="138"/>
      <c r="U10" s="138"/>
      <c r="V10" s="138"/>
      <c r="W10" s="138"/>
      <c r="X10" s="138"/>
      <c r="Y10" s="138"/>
      <c r="Z10" s="138"/>
    </row>
    <row r="11" spans="1:26" ht="14.25" customHeight="1">
      <c r="A11" s="1000" t="s">
        <v>3484</v>
      </c>
      <c r="B11" s="1000" t="s">
        <v>3438</v>
      </c>
      <c r="C11" s="1000" t="s">
        <v>267</v>
      </c>
      <c r="D11" s="1000" t="s">
        <v>262</v>
      </c>
      <c r="E11" s="1002">
        <v>48171.23</v>
      </c>
      <c r="F11" s="998"/>
      <c r="G11" s="1000" t="s">
        <v>3485</v>
      </c>
      <c r="H11" s="997">
        <v>90</v>
      </c>
      <c r="I11" s="138"/>
      <c r="J11" s="138"/>
      <c r="K11" s="138"/>
      <c r="L11" s="138"/>
      <c r="M11" s="138"/>
      <c r="N11" s="138"/>
      <c r="O11" s="138"/>
      <c r="P11" s="138"/>
      <c r="Q11" s="138"/>
      <c r="R11" s="138"/>
      <c r="S11" s="138"/>
      <c r="T11" s="138"/>
      <c r="U11" s="138"/>
      <c r="V11" s="138"/>
      <c r="W11" s="138"/>
      <c r="X11" s="138"/>
      <c r="Y11" s="138"/>
      <c r="Z11" s="138"/>
    </row>
    <row r="12" spans="1:26" ht="14.25" customHeight="1">
      <c r="A12" s="1000" t="s">
        <v>3494</v>
      </c>
      <c r="B12" s="1000" t="s">
        <v>3438</v>
      </c>
      <c r="C12" s="1000" t="s">
        <v>267</v>
      </c>
      <c r="D12" s="1000" t="s">
        <v>3457</v>
      </c>
      <c r="E12" s="1002">
        <v>56292.01</v>
      </c>
      <c r="F12" s="1002">
        <v>-57051.75</v>
      </c>
      <c r="G12" s="1000" t="s">
        <v>3495</v>
      </c>
      <c r="H12" s="997">
        <v>90</v>
      </c>
      <c r="I12" s="138"/>
      <c r="J12" s="138"/>
      <c r="K12" s="138"/>
      <c r="L12" s="138"/>
      <c r="M12" s="138"/>
      <c r="N12" s="138"/>
      <c r="O12" s="138"/>
      <c r="P12" s="138"/>
      <c r="Q12" s="138"/>
      <c r="R12" s="138"/>
      <c r="S12" s="138"/>
      <c r="T12" s="138"/>
      <c r="U12" s="138"/>
      <c r="V12" s="138"/>
      <c r="W12" s="138"/>
      <c r="X12" s="138"/>
      <c r="Y12" s="138"/>
      <c r="Z12" s="138"/>
    </row>
    <row r="13" spans="1:26" ht="14.25" customHeight="1">
      <c r="A13" s="1000" t="s">
        <v>3482</v>
      </c>
      <c r="B13" s="1000" t="s">
        <v>3438</v>
      </c>
      <c r="C13" s="1000" t="s">
        <v>267</v>
      </c>
      <c r="D13" s="1000" t="s">
        <v>262</v>
      </c>
      <c r="E13" s="1002">
        <v>56073.919999999998</v>
      </c>
      <c r="F13" s="1002">
        <v>-58869.3</v>
      </c>
      <c r="G13" s="1000" t="s">
        <v>3483</v>
      </c>
      <c r="H13" s="1004">
        <v>86</v>
      </c>
      <c r="I13" s="138"/>
      <c r="J13" s="138"/>
      <c r="K13" s="138"/>
      <c r="L13" s="138"/>
      <c r="M13" s="138"/>
      <c r="N13" s="138"/>
      <c r="O13" s="138"/>
      <c r="P13" s="138"/>
      <c r="Q13" s="138"/>
      <c r="R13" s="138"/>
      <c r="S13" s="138"/>
      <c r="T13" s="138"/>
      <c r="U13" s="138"/>
      <c r="V13" s="138"/>
      <c r="W13" s="138"/>
      <c r="X13" s="138"/>
      <c r="Y13" s="138"/>
      <c r="Z13" s="138"/>
    </row>
    <row r="14" spans="1:26" ht="14.25" customHeight="1">
      <c r="A14" s="1000" t="s">
        <v>3498</v>
      </c>
      <c r="B14" s="1000" t="s">
        <v>3438</v>
      </c>
      <c r="C14" s="1000" t="s">
        <v>267</v>
      </c>
      <c r="D14" s="1000" t="s">
        <v>279</v>
      </c>
      <c r="E14" s="1002">
        <v>37397</v>
      </c>
      <c r="F14" s="1002">
        <v>-39440.1</v>
      </c>
      <c r="G14" s="1000" t="s">
        <v>3499</v>
      </c>
      <c r="H14" s="1004">
        <v>86</v>
      </c>
      <c r="I14" s="138"/>
      <c r="J14" s="138"/>
      <c r="K14" s="138"/>
      <c r="L14" s="138"/>
      <c r="M14" s="138"/>
      <c r="N14" s="138"/>
      <c r="O14" s="138"/>
      <c r="P14" s="138"/>
      <c r="Q14" s="138"/>
      <c r="R14" s="138"/>
      <c r="S14" s="138"/>
      <c r="T14" s="138"/>
      <c r="U14" s="138"/>
      <c r="V14" s="138"/>
      <c r="W14" s="138"/>
      <c r="X14" s="138"/>
      <c r="Y14" s="138"/>
      <c r="Z14" s="138"/>
    </row>
    <row r="15" spans="1:26" ht="14.25" customHeight="1">
      <c r="A15" s="1000" t="s">
        <v>3486</v>
      </c>
      <c r="B15" s="1000" t="s">
        <v>3438</v>
      </c>
      <c r="C15" s="1000" t="s">
        <v>267</v>
      </c>
      <c r="D15" s="1000" t="s">
        <v>3457</v>
      </c>
      <c r="E15" s="1002">
        <v>56197.99</v>
      </c>
      <c r="F15" s="1002">
        <v>-58834.65</v>
      </c>
      <c r="G15" s="1000" t="s">
        <v>3487</v>
      </c>
      <c r="H15" s="1004">
        <v>82</v>
      </c>
      <c r="I15" s="138"/>
      <c r="J15" s="138"/>
      <c r="K15" s="138"/>
      <c r="L15" s="138"/>
      <c r="M15" s="138"/>
      <c r="N15" s="138"/>
      <c r="O15" s="138"/>
      <c r="P15" s="138"/>
      <c r="Q15" s="138"/>
      <c r="R15" s="138"/>
      <c r="S15" s="138"/>
      <c r="T15" s="138"/>
      <c r="U15" s="138"/>
      <c r="V15" s="138"/>
      <c r="W15" s="138"/>
      <c r="X15" s="138"/>
      <c r="Y15" s="138"/>
      <c r="Z15" s="138"/>
    </row>
    <row r="16" spans="1:26" ht="14.25" customHeight="1">
      <c r="A16" s="1000" t="s">
        <v>3476</v>
      </c>
      <c r="B16" s="1000" t="s">
        <v>264</v>
      </c>
      <c r="C16" s="1000" t="s">
        <v>267</v>
      </c>
      <c r="D16" s="1000" t="s">
        <v>976</v>
      </c>
      <c r="E16" s="1002">
        <v>32135.51</v>
      </c>
      <c r="F16" s="1002">
        <v>-34034.699999999997</v>
      </c>
      <c r="G16" s="1000" t="s">
        <v>3477</v>
      </c>
      <c r="H16" s="1004">
        <v>80</v>
      </c>
      <c r="I16" s="138"/>
      <c r="J16" s="138"/>
      <c r="K16" s="138"/>
      <c r="L16" s="138"/>
      <c r="M16" s="138"/>
      <c r="N16" s="138"/>
      <c r="O16" s="138"/>
      <c r="P16" s="138"/>
      <c r="Q16" s="138"/>
      <c r="R16" s="138"/>
      <c r="S16" s="138"/>
      <c r="T16" s="138"/>
      <c r="U16" s="138"/>
      <c r="V16" s="138"/>
      <c r="W16" s="138"/>
      <c r="X16" s="138"/>
      <c r="Y16" s="138"/>
      <c r="Z16" s="138"/>
    </row>
    <row r="17" spans="1:26" ht="14.25" customHeight="1">
      <c r="A17" s="1000" t="s">
        <v>3488</v>
      </c>
      <c r="B17" s="1000" t="s">
        <v>3438</v>
      </c>
      <c r="C17" s="1000" t="s">
        <v>267</v>
      </c>
      <c r="D17" s="1000" t="s">
        <v>3457</v>
      </c>
      <c r="E17" s="1002">
        <v>55950.97</v>
      </c>
      <c r="F17" s="1002">
        <v>-58834.65</v>
      </c>
      <c r="G17" s="1000" t="s">
        <v>3489</v>
      </c>
      <c r="H17" s="1004">
        <v>74</v>
      </c>
      <c r="I17" s="138"/>
      <c r="J17" s="138"/>
      <c r="K17" s="138"/>
      <c r="L17" s="138"/>
      <c r="M17" s="138"/>
      <c r="N17" s="138"/>
      <c r="O17" s="138"/>
      <c r="P17" s="138"/>
      <c r="Q17" s="138"/>
      <c r="R17" s="138"/>
      <c r="S17" s="138"/>
      <c r="T17" s="138"/>
      <c r="U17" s="138"/>
      <c r="V17" s="138"/>
      <c r="W17" s="138"/>
      <c r="X17" s="138"/>
      <c r="Y17" s="138"/>
      <c r="Z17" s="138"/>
    </row>
    <row r="18" spans="1:26" ht="14.25" customHeight="1">
      <c r="A18" s="1000" t="s">
        <v>3490</v>
      </c>
      <c r="B18" s="1000" t="s">
        <v>3438</v>
      </c>
      <c r="C18" s="1000" t="s">
        <v>267</v>
      </c>
      <c r="D18" s="1000" t="s">
        <v>3457</v>
      </c>
      <c r="E18" s="1002">
        <v>55950.97</v>
      </c>
      <c r="F18" s="1002">
        <v>-58834.65</v>
      </c>
      <c r="G18" s="1000" t="s">
        <v>3491</v>
      </c>
      <c r="H18" s="1004">
        <v>74</v>
      </c>
      <c r="I18" s="138"/>
      <c r="J18" s="138"/>
      <c r="K18" s="138"/>
      <c r="L18" s="138"/>
      <c r="M18" s="138"/>
      <c r="N18" s="138"/>
      <c r="O18" s="138"/>
      <c r="P18" s="138"/>
      <c r="Q18" s="138"/>
      <c r="R18" s="138"/>
      <c r="S18" s="138"/>
      <c r="T18" s="138"/>
      <c r="U18" s="138"/>
      <c r="V18" s="138"/>
      <c r="W18" s="138"/>
      <c r="X18" s="138"/>
      <c r="Y18" s="138"/>
      <c r="Z18" s="138"/>
    </row>
    <row r="19" spans="1:26" ht="14.25" customHeight="1">
      <c r="A19" s="1000" t="s">
        <v>3508</v>
      </c>
      <c r="B19" s="1000" t="s">
        <v>3438</v>
      </c>
      <c r="C19" s="1000" t="s">
        <v>267</v>
      </c>
      <c r="D19" s="1000" t="s">
        <v>265</v>
      </c>
      <c r="E19" s="1002">
        <v>26927</v>
      </c>
      <c r="F19" s="1002">
        <v>-28367.85</v>
      </c>
      <c r="G19" s="1000" t="s">
        <v>3509</v>
      </c>
      <c r="H19" s="1004">
        <v>74</v>
      </c>
      <c r="I19" s="138"/>
      <c r="J19" s="138"/>
      <c r="K19" s="138"/>
      <c r="L19" s="138"/>
      <c r="M19" s="138"/>
      <c r="N19" s="138"/>
      <c r="O19" s="138"/>
      <c r="P19" s="138"/>
      <c r="Q19" s="138"/>
      <c r="R19" s="138"/>
      <c r="S19" s="138"/>
      <c r="T19" s="138"/>
      <c r="U19" s="138"/>
      <c r="V19" s="138"/>
      <c r="W19" s="138"/>
      <c r="X19" s="138"/>
      <c r="Y19" s="138"/>
      <c r="Z19" s="138"/>
    </row>
    <row r="20" spans="1:26" ht="14.25" customHeight="1">
      <c r="A20" s="1000" t="s">
        <v>3474</v>
      </c>
      <c r="B20" s="1000" t="s">
        <v>264</v>
      </c>
      <c r="C20" s="1000" t="s">
        <v>267</v>
      </c>
      <c r="D20" s="1000" t="s">
        <v>976</v>
      </c>
      <c r="E20" s="1002">
        <v>37610</v>
      </c>
      <c r="F20" s="1002">
        <v>-39461.1</v>
      </c>
      <c r="G20" s="1000" t="s">
        <v>3475</v>
      </c>
      <c r="H20" s="1004">
        <v>73</v>
      </c>
      <c r="I20" s="138"/>
      <c r="J20" s="138"/>
      <c r="K20" s="138"/>
      <c r="L20" s="138"/>
      <c r="M20" s="138"/>
      <c r="N20" s="138"/>
      <c r="O20" s="138"/>
      <c r="P20" s="138"/>
      <c r="Q20" s="138"/>
      <c r="R20" s="138"/>
      <c r="S20" s="138"/>
      <c r="T20" s="138"/>
      <c r="U20" s="138"/>
      <c r="V20" s="138"/>
      <c r="W20" s="138"/>
      <c r="X20" s="138"/>
      <c r="Y20" s="138"/>
      <c r="Z20" s="138"/>
    </row>
    <row r="21" spans="1:26" ht="14.25" customHeight="1">
      <c r="A21" s="1000" t="s">
        <v>3492</v>
      </c>
      <c r="B21" s="1000" t="s">
        <v>3438</v>
      </c>
      <c r="C21" s="1000" t="s">
        <v>267</v>
      </c>
      <c r="D21" s="1000" t="s">
        <v>3457</v>
      </c>
      <c r="E21" s="1002">
        <v>55950.97</v>
      </c>
      <c r="F21" s="1002">
        <v>-58834.65</v>
      </c>
      <c r="G21" s="1000" t="s">
        <v>3493</v>
      </c>
      <c r="H21" s="1004">
        <v>73</v>
      </c>
      <c r="I21" s="138"/>
      <c r="J21" s="138"/>
      <c r="K21" s="138"/>
      <c r="L21" s="138"/>
      <c r="M21" s="138"/>
      <c r="N21" s="138"/>
      <c r="O21" s="138"/>
      <c r="P21" s="138"/>
      <c r="Q21" s="138"/>
      <c r="R21" s="138"/>
      <c r="S21" s="138"/>
      <c r="T21" s="138"/>
      <c r="U21" s="138"/>
      <c r="V21" s="138"/>
      <c r="W21" s="138"/>
      <c r="X21" s="138"/>
      <c r="Y21" s="138"/>
      <c r="Z21" s="138"/>
    </row>
    <row r="22" spans="1:26" ht="14.25" customHeight="1">
      <c r="A22" s="1000" t="s">
        <v>3506</v>
      </c>
      <c r="B22" s="1000" t="s">
        <v>3438</v>
      </c>
      <c r="C22" s="1000" t="s">
        <v>267</v>
      </c>
      <c r="D22" s="1000" t="s">
        <v>265</v>
      </c>
      <c r="E22" s="1002">
        <v>29531</v>
      </c>
      <c r="F22" s="1002">
        <v>-31102.05</v>
      </c>
      <c r="G22" s="1000" t="s">
        <v>3507</v>
      </c>
      <c r="H22" s="1004">
        <v>73</v>
      </c>
      <c r="I22" s="138"/>
      <c r="J22" s="138"/>
      <c r="K22" s="138"/>
      <c r="L22" s="138"/>
      <c r="M22" s="138"/>
      <c r="N22" s="138"/>
      <c r="O22" s="138"/>
      <c r="P22" s="138"/>
      <c r="Q22" s="138"/>
      <c r="R22" s="138"/>
      <c r="S22" s="138"/>
      <c r="T22" s="138"/>
      <c r="U22" s="138"/>
      <c r="V22" s="138"/>
      <c r="W22" s="138"/>
      <c r="X22" s="138"/>
      <c r="Y22" s="138"/>
      <c r="Z22" s="138"/>
    </row>
    <row r="23" spans="1:26" ht="14.25" customHeight="1">
      <c r="A23" s="1000" t="s">
        <v>3496</v>
      </c>
      <c r="B23" s="1000" t="s">
        <v>3438</v>
      </c>
      <c r="C23" s="1000" t="s">
        <v>267</v>
      </c>
      <c r="D23" s="1000" t="s">
        <v>3457</v>
      </c>
      <c r="E23" s="1002">
        <v>54250</v>
      </c>
      <c r="F23" s="1002">
        <v>-57051.75</v>
      </c>
      <c r="G23" s="1000" t="s">
        <v>3497</v>
      </c>
      <c r="H23" s="1004">
        <v>68</v>
      </c>
      <c r="I23" s="138"/>
      <c r="J23" s="138"/>
      <c r="K23" s="138"/>
      <c r="L23" s="138"/>
      <c r="M23" s="138"/>
      <c r="N23" s="138"/>
      <c r="O23" s="138"/>
      <c r="P23" s="138"/>
      <c r="Q23" s="138"/>
      <c r="R23" s="138"/>
      <c r="S23" s="138"/>
      <c r="T23" s="138"/>
      <c r="U23" s="138"/>
      <c r="V23" s="138"/>
      <c r="W23" s="138"/>
      <c r="X23" s="138"/>
      <c r="Y23" s="138"/>
      <c r="Z23" s="138"/>
    </row>
    <row r="24" spans="1:26" ht="14.25" customHeight="1">
      <c r="A24" s="1000" t="s">
        <v>3500</v>
      </c>
      <c r="B24" s="1000" t="s">
        <v>3438</v>
      </c>
      <c r="C24" s="1000" t="s">
        <v>267</v>
      </c>
      <c r="D24" s="1000" t="s">
        <v>279</v>
      </c>
      <c r="E24" s="1002">
        <v>37506.9</v>
      </c>
      <c r="F24" s="1002">
        <v>-39440.1</v>
      </c>
      <c r="G24" s="1000" t="s">
        <v>3501</v>
      </c>
      <c r="H24" s="1004">
        <v>68</v>
      </c>
      <c r="I24" s="138"/>
      <c r="J24" s="138"/>
      <c r="K24" s="138"/>
      <c r="L24" s="138"/>
      <c r="M24" s="138"/>
      <c r="N24" s="138"/>
      <c r="O24" s="138"/>
      <c r="P24" s="138"/>
      <c r="Q24" s="138"/>
      <c r="R24" s="138"/>
      <c r="S24" s="138"/>
      <c r="T24" s="138"/>
      <c r="U24" s="138"/>
      <c r="V24" s="138"/>
      <c r="W24" s="138"/>
      <c r="X24" s="138"/>
      <c r="Y24" s="138"/>
      <c r="Z24" s="138"/>
    </row>
    <row r="25" spans="1:26" ht="14.25" customHeight="1">
      <c r="A25" s="1000" t="s">
        <v>3502</v>
      </c>
      <c r="B25" s="1000" t="s">
        <v>3438</v>
      </c>
      <c r="C25" s="1000" t="s">
        <v>267</v>
      </c>
      <c r="D25" s="1000" t="s">
        <v>3439</v>
      </c>
      <c r="E25" s="1002">
        <v>32637</v>
      </c>
      <c r="F25" s="1002">
        <v>-34363.35</v>
      </c>
      <c r="G25" s="1000" t="s">
        <v>3503</v>
      </c>
      <c r="H25" s="1004">
        <v>68</v>
      </c>
      <c r="I25" s="138"/>
      <c r="J25" s="138"/>
      <c r="K25" s="138"/>
      <c r="L25" s="138"/>
      <c r="M25" s="138"/>
      <c r="N25" s="138"/>
      <c r="O25" s="138"/>
      <c r="P25" s="138"/>
      <c r="Q25" s="138"/>
      <c r="R25" s="138"/>
      <c r="S25" s="138"/>
      <c r="T25" s="138"/>
      <c r="U25" s="138"/>
      <c r="V25" s="138"/>
      <c r="W25" s="138"/>
      <c r="X25" s="138"/>
      <c r="Y25" s="138"/>
      <c r="Z25" s="138"/>
    </row>
    <row r="26" spans="1:26" ht="14.25" customHeight="1">
      <c r="A26" s="1000" t="s">
        <v>3478</v>
      </c>
      <c r="B26" s="1000" t="s">
        <v>264</v>
      </c>
      <c r="C26" s="1000" t="s">
        <v>267</v>
      </c>
      <c r="D26" s="1000" t="s">
        <v>976</v>
      </c>
      <c r="E26" s="1002">
        <v>28066.02</v>
      </c>
      <c r="F26" s="1002">
        <v>-28951.65</v>
      </c>
      <c r="G26" s="1000" t="s">
        <v>3479</v>
      </c>
      <c r="H26" s="1004">
        <v>62</v>
      </c>
      <c r="I26" s="138"/>
      <c r="J26" s="138"/>
      <c r="K26" s="138"/>
      <c r="L26" s="138"/>
      <c r="M26" s="138"/>
      <c r="N26" s="138"/>
      <c r="O26" s="138"/>
      <c r="P26" s="138"/>
      <c r="Q26" s="138"/>
      <c r="R26" s="138"/>
      <c r="S26" s="138"/>
      <c r="T26" s="138"/>
      <c r="U26" s="138"/>
      <c r="V26" s="138"/>
      <c r="W26" s="138"/>
      <c r="X26" s="138"/>
      <c r="Y26" s="138"/>
      <c r="Z26" s="138"/>
    </row>
    <row r="27" spans="1:26" ht="14.25" customHeight="1">
      <c r="A27" s="1000" t="s">
        <v>3504</v>
      </c>
      <c r="B27" s="1000" t="s">
        <v>3438</v>
      </c>
      <c r="C27" s="1000" t="s">
        <v>267</v>
      </c>
      <c r="D27" s="1000" t="s">
        <v>265</v>
      </c>
      <c r="E27" s="1002">
        <v>32017.87</v>
      </c>
      <c r="F27" s="1002">
        <v>-33204.15</v>
      </c>
      <c r="G27" s="1000" t="s">
        <v>3505</v>
      </c>
      <c r="H27" s="1004">
        <v>62</v>
      </c>
      <c r="I27" s="138"/>
      <c r="J27" s="138"/>
      <c r="K27" s="138"/>
      <c r="L27" s="138"/>
      <c r="M27" s="138"/>
      <c r="N27" s="138"/>
      <c r="O27" s="138"/>
      <c r="P27" s="138"/>
      <c r="Q27" s="138"/>
      <c r="R27" s="138"/>
      <c r="S27" s="138"/>
      <c r="T27" s="138"/>
      <c r="U27" s="138"/>
      <c r="V27" s="138"/>
      <c r="W27" s="138"/>
      <c r="X27" s="138"/>
      <c r="Y27" s="138"/>
      <c r="Z27" s="138"/>
    </row>
    <row r="28" spans="1:26" ht="14.25" customHeight="1">
      <c r="A28" s="1000" t="s">
        <v>3555</v>
      </c>
      <c r="B28" s="1000" t="s">
        <v>3438</v>
      </c>
      <c r="C28" s="1000" t="s">
        <v>267</v>
      </c>
      <c r="D28" s="1000" t="s">
        <v>3439</v>
      </c>
      <c r="E28" s="1002">
        <v>31816.52</v>
      </c>
      <c r="F28" s="998"/>
      <c r="G28" s="1000" t="s">
        <v>3562</v>
      </c>
      <c r="H28" s="1004">
        <v>52</v>
      </c>
      <c r="I28" s="138"/>
      <c r="J28" s="138"/>
      <c r="K28" s="138"/>
      <c r="L28" s="138"/>
      <c r="M28" s="138"/>
      <c r="N28" s="138"/>
      <c r="O28" s="138"/>
      <c r="P28" s="138"/>
      <c r="Q28" s="138"/>
      <c r="R28" s="138"/>
      <c r="S28" s="138"/>
      <c r="T28" s="138"/>
      <c r="U28" s="138"/>
      <c r="V28" s="138"/>
      <c r="W28" s="138"/>
      <c r="X28" s="138"/>
      <c r="Y28" s="138"/>
      <c r="Z28" s="138"/>
    </row>
    <row r="29" spans="1:26" ht="14.25" customHeight="1">
      <c r="A29" s="1000" t="s">
        <v>3686</v>
      </c>
      <c r="B29" s="1000" t="s">
        <v>3438</v>
      </c>
      <c r="C29" s="1000" t="s">
        <v>267</v>
      </c>
      <c r="D29" s="1000" t="s">
        <v>3439</v>
      </c>
      <c r="E29" s="1002">
        <v>31513</v>
      </c>
      <c r="F29" s="998"/>
      <c r="G29" s="1000" t="s">
        <v>3687</v>
      </c>
      <c r="H29" s="1004">
        <v>51</v>
      </c>
      <c r="I29" s="138"/>
      <c r="J29" s="138"/>
      <c r="K29" s="138"/>
      <c r="L29" s="138"/>
      <c r="M29" s="138"/>
      <c r="N29" s="138"/>
      <c r="O29" s="138"/>
      <c r="P29" s="138"/>
      <c r="Q29" s="138"/>
      <c r="R29" s="138"/>
      <c r="S29" s="138"/>
      <c r="T29" s="138"/>
      <c r="U29" s="138"/>
      <c r="V29" s="138"/>
      <c r="W29" s="138"/>
      <c r="X29" s="138"/>
      <c r="Y29" s="138"/>
      <c r="Z29" s="138"/>
    </row>
    <row r="30" spans="1:26" ht="14.25" customHeight="1">
      <c r="A30" s="1000" t="s">
        <v>3559</v>
      </c>
      <c r="B30" s="1000" t="s">
        <v>3438</v>
      </c>
      <c r="C30" s="1000" t="s">
        <v>267</v>
      </c>
      <c r="D30" s="1000" t="s">
        <v>262</v>
      </c>
      <c r="E30" s="1002">
        <v>48894</v>
      </c>
      <c r="F30" s="1002">
        <v>-51427.95</v>
      </c>
      <c r="G30" s="1000" t="s">
        <v>3565</v>
      </c>
      <c r="H30" s="1004">
        <v>48</v>
      </c>
      <c r="I30" s="138"/>
      <c r="J30" s="138"/>
      <c r="K30" s="138"/>
      <c r="L30" s="138"/>
      <c r="M30" s="138"/>
      <c r="N30" s="138"/>
      <c r="O30" s="138"/>
      <c r="P30" s="138"/>
      <c r="Q30" s="138"/>
      <c r="R30" s="138"/>
      <c r="S30" s="138"/>
      <c r="T30" s="138"/>
      <c r="U30" s="138"/>
      <c r="V30" s="138"/>
      <c r="W30" s="138"/>
      <c r="X30" s="138"/>
      <c r="Y30" s="138"/>
      <c r="Z30" s="138"/>
    </row>
    <row r="31" spans="1:26" ht="14.25" customHeight="1">
      <c r="A31" s="1000" t="s">
        <v>3574</v>
      </c>
      <c r="B31" s="1000" t="s">
        <v>3438</v>
      </c>
      <c r="C31" s="1000" t="s">
        <v>267</v>
      </c>
      <c r="D31" s="1000" t="s">
        <v>3457</v>
      </c>
      <c r="E31" s="1002">
        <v>55948</v>
      </c>
      <c r="F31" s="1002">
        <v>-58834.65</v>
      </c>
      <c r="G31" s="1000" t="s">
        <v>3564</v>
      </c>
      <c r="H31" s="1004">
        <v>48</v>
      </c>
      <c r="I31" s="138"/>
      <c r="J31" s="138"/>
      <c r="K31" s="138"/>
      <c r="L31" s="138"/>
      <c r="M31" s="138"/>
      <c r="N31" s="138"/>
      <c r="O31" s="138"/>
      <c r="P31" s="138"/>
      <c r="Q31" s="138"/>
      <c r="R31" s="138"/>
      <c r="S31" s="138"/>
      <c r="T31" s="138"/>
      <c r="U31" s="138"/>
      <c r="V31" s="138"/>
      <c r="W31" s="138"/>
      <c r="X31" s="138"/>
      <c r="Y31" s="138"/>
      <c r="Z31" s="138"/>
    </row>
    <row r="32" spans="1:26" ht="14.25" customHeight="1">
      <c r="A32" s="1000" t="s">
        <v>3688</v>
      </c>
      <c r="B32" s="1000" t="s">
        <v>3438</v>
      </c>
      <c r="C32" s="1000" t="s">
        <v>267</v>
      </c>
      <c r="D32" s="1000" t="s">
        <v>3457</v>
      </c>
      <c r="E32" s="1002">
        <v>54236.5</v>
      </c>
      <c r="F32" s="998"/>
      <c r="G32" s="1000" t="s">
        <v>3689</v>
      </c>
      <c r="H32" s="1004">
        <v>48</v>
      </c>
      <c r="I32" s="138"/>
      <c r="J32" s="138"/>
      <c r="K32" s="138"/>
      <c r="L32" s="138"/>
      <c r="M32" s="138"/>
      <c r="N32" s="138"/>
      <c r="O32" s="138"/>
      <c r="P32" s="138"/>
      <c r="Q32" s="138"/>
      <c r="R32" s="138"/>
      <c r="S32" s="138"/>
      <c r="T32" s="138"/>
      <c r="U32" s="138"/>
      <c r="V32" s="138"/>
      <c r="W32" s="138"/>
      <c r="X32" s="138"/>
      <c r="Y32" s="138"/>
      <c r="Z32" s="138"/>
    </row>
    <row r="33" spans="1:26" ht="14.25" customHeight="1">
      <c r="A33" s="1000" t="s">
        <v>3578</v>
      </c>
      <c r="B33" s="1000" t="s">
        <v>3438</v>
      </c>
      <c r="C33" s="1000" t="s">
        <v>267</v>
      </c>
      <c r="D33" s="1000" t="s">
        <v>976</v>
      </c>
      <c r="E33" s="1002">
        <v>32864</v>
      </c>
      <c r="F33" s="1002">
        <v>-34706.699999999997</v>
      </c>
      <c r="G33" s="1000" t="s">
        <v>3563</v>
      </c>
      <c r="H33" s="1004">
        <v>48</v>
      </c>
      <c r="I33" s="138"/>
      <c r="J33" s="138"/>
      <c r="K33" s="138"/>
      <c r="L33" s="138"/>
      <c r="M33" s="138"/>
      <c r="N33" s="138"/>
      <c r="O33" s="138"/>
      <c r="P33" s="138"/>
      <c r="Q33" s="138"/>
      <c r="R33" s="138"/>
      <c r="S33" s="138"/>
      <c r="T33" s="138"/>
      <c r="U33" s="138"/>
      <c r="V33" s="138"/>
      <c r="W33" s="138"/>
      <c r="X33" s="138"/>
      <c r="Y33" s="138"/>
      <c r="Z33" s="138"/>
    </row>
    <row r="34" spans="1:26" ht="14.25" customHeight="1">
      <c r="A34" s="1000" t="s">
        <v>3566</v>
      </c>
      <c r="B34" s="1000" t="s">
        <v>3438</v>
      </c>
      <c r="C34" s="1000" t="s">
        <v>267</v>
      </c>
      <c r="D34" s="1000" t="s">
        <v>262</v>
      </c>
      <c r="E34" s="1002">
        <v>55259.97</v>
      </c>
      <c r="F34" s="1002">
        <v>-58109.1</v>
      </c>
      <c r="G34" s="1000" t="s">
        <v>3567</v>
      </c>
      <c r="H34" s="1004">
        <v>47</v>
      </c>
      <c r="I34" s="138"/>
      <c r="J34" s="138"/>
      <c r="K34" s="138"/>
      <c r="L34" s="138"/>
      <c r="M34" s="138"/>
      <c r="N34" s="138"/>
      <c r="O34" s="138"/>
      <c r="P34" s="138"/>
      <c r="Q34" s="138"/>
      <c r="R34" s="138"/>
      <c r="S34" s="138"/>
      <c r="T34" s="138"/>
      <c r="U34" s="138"/>
      <c r="V34" s="138"/>
      <c r="W34" s="138"/>
      <c r="X34" s="138"/>
      <c r="Y34" s="138"/>
      <c r="Z34" s="138"/>
    </row>
    <row r="35" spans="1:26" ht="14.25" customHeight="1">
      <c r="A35" s="1000" t="s">
        <v>3558</v>
      </c>
      <c r="B35" s="1000" t="s">
        <v>3438</v>
      </c>
      <c r="C35" s="1000" t="s">
        <v>267</v>
      </c>
      <c r="D35" s="1000" t="s">
        <v>3457</v>
      </c>
      <c r="E35" s="1002">
        <v>53794.97</v>
      </c>
      <c r="F35" s="1002">
        <v>-56570.85</v>
      </c>
      <c r="G35" s="1000" t="s">
        <v>3568</v>
      </c>
      <c r="H35" s="1004">
        <v>45</v>
      </c>
      <c r="I35" s="138"/>
      <c r="J35" s="138"/>
      <c r="K35" s="138"/>
      <c r="L35" s="138"/>
      <c r="M35" s="138"/>
      <c r="N35" s="138"/>
      <c r="O35" s="138"/>
      <c r="P35" s="138"/>
      <c r="Q35" s="138"/>
      <c r="R35" s="138"/>
      <c r="S35" s="138"/>
      <c r="T35" s="138"/>
      <c r="U35" s="138"/>
      <c r="V35" s="138"/>
      <c r="W35" s="138"/>
      <c r="X35" s="138"/>
      <c r="Y35" s="138"/>
      <c r="Z35" s="138"/>
    </row>
    <row r="36" spans="1:26" ht="14.25" customHeight="1">
      <c r="A36" s="1000" t="s">
        <v>3561</v>
      </c>
      <c r="B36" s="1000" t="s">
        <v>3438</v>
      </c>
      <c r="C36" s="1000" t="s">
        <v>267</v>
      </c>
      <c r="D36" s="1000" t="s">
        <v>265</v>
      </c>
      <c r="E36" s="1002">
        <v>28629</v>
      </c>
      <c r="F36" s="998"/>
      <c r="G36" s="1000" t="s">
        <v>3570</v>
      </c>
      <c r="H36" s="1004">
        <v>44</v>
      </c>
      <c r="I36" s="138"/>
      <c r="J36" s="138"/>
      <c r="K36" s="138"/>
      <c r="L36" s="138"/>
      <c r="M36" s="138"/>
      <c r="N36" s="138"/>
      <c r="O36" s="138"/>
      <c r="P36" s="138"/>
      <c r="Q36" s="138"/>
      <c r="R36" s="138"/>
      <c r="S36" s="138"/>
      <c r="T36" s="138"/>
      <c r="U36" s="138"/>
      <c r="V36" s="138"/>
      <c r="W36" s="138"/>
      <c r="X36" s="138"/>
      <c r="Y36" s="138"/>
      <c r="Z36" s="138"/>
    </row>
    <row r="37" spans="1:26" ht="14.25" customHeight="1">
      <c r="A37" s="1000" t="s">
        <v>3557</v>
      </c>
      <c r="B37" s="1000" t="s">
        <v>3438</v>
      </c>
      <c r="C37" s="1000" t="s">
        <v>267</v>
      </c>
      <c r="D37" s="1000" t="s">
        <v>262</v>
      </c>
      <c r="E37" s="1002">
        <v>54801.97</v>
      </c>
      <c r="F37" s="1002">
        <v>-57628.2</v>
      </c>
      <c r="G37" s="1000" t="s">
        <v>3573</v>
      </c>
      <c r="H37" s="1004">
        <v>41</v>
      </c>
      <c r="I37" s="138"/>
      <c r="J37" s="138"/>
      <c r="K37" s="138"/>
      <c r="L37" s="138"/>
      <c r="M37" s="138"/>
      <c r="N37" s="138"/>
      <c r="O37" s="138"/>
      <c r="P37" s="138"/>
      <c r="Q37" s="138"/>
      <c r="R37" s="138"/>
      <c r="S37" s="138"/>
      <c r="T37" s="138"/>
      <c r="U37" s="138"/>
      <c r="V37" s="138"/>
      <c r="W37" s="138"/>
      <c r="X37" s="138"/>
      <c r="Y37" s="138"/>
      <c r="Z37" s="138"/>
    </row>
    <row r="38" spans="1:26" ht="14.25" customHeight="1">
      <c r="A38" s="1000" t="s">
        <v>3571</v>
      </c>
      <c r="B38" s="1000" t="s">
        <v>3438</v>
      </c>
      <c r="C38" s="1000" t="s">
        <v>267</v>
      </c>
      <c r="D38" s="1000" t="s">
        <v>262</v>
      </c>
      <c r="E38" s="1002">
        <v>58249.97</v>
      </c>
      <c r="F38" s="998"/>
      <c r="G38" s="1000" t="s">
        <v>3575</v>
      </c>
      <c r="H38" s="1004">
        <v>38</v>
      </c>
      <c r="I38" s="138"/>
      <c r="J38" s="138"/>
      <c r="K38" s="138"/>
      <c r="L38" s="138"/>
      <c r="M38" s="138"/>
      <c r="N38" s="138"/>
      <c r="O38" s="138"/>
      <c r="P38" s="138"/>
      <c r="Q38" s="138"/>
      <c r="R38" s="138"/>
      <c r="S38" s="138"/>
      <c r="T38" s="138"/>
      <c r="U38" s="138"/>
      <c r="V38" s="138"/>
      <c r="W38" s="138"/>
      <c r="X38" s="138"/>
      <c r="Y38" s="138"/>
      <c r="Z38" s="138"/>
    </row>
    <row r="39" spans="1:26" ht="14.25" customHeight="1">
      <c r="A39" s="1000" t="s">
        <v>3554</v>
      </c>
      <c r="B39" s="1000" t="s">
        <v>3438</v>
      </c>
      <c r="C39" s="1000" t="s">
        <v>267</v>
      </c>
      <c r="D39" s="1000" t="s">
        <v>260</v>
      </c>
      <c r="E39" s="1002">
        <v>45175.95</v>
      </c>
      <c r="F39" s="1002">
        <v>-47526.15</v>
      </c>
      <c r="G39" s="1000" t="s">
        <v>3576</v>
      </c>
      <c r="H39" s="1004">
        <v>37</v>
      </c>
      <c r="I39" s="138"/>
      <c r="J39" s="138"/>
      <c r="K39" s="138"/>
      <c r="L39" s="138"/>
      <c r="M39" s="138"/>
      <c r="N39" s="138"/>
      <c r="O39" s="138"/>
      <c r="P39" s="138"/>
      <c r="Q39" s="138"/>
      <c r="R39" s="138"/>
      <c r="S39" s="138"/>
      <c r="T39" s="138"/>
      <c r="U39" s="138"/>
      <c r="V39" s="138"/>
      <c r="W39" s="138"/>
      <c r="X39" s="138"/>
      <c r="Y39" s="138"/>
      <c r="Z39" s="138"/>
    </row>
    <row r="40" spans="1:26" ht="14.25" customHeight="1">
      <c r="A40" s="1000" t="s">
        <v>3556</v>
      </c>
      <c r="B40" s="1000" t="s">
        <v>3438</v>
      </c>
      <c r="C40" s="1000" t="s">
        <v>267</v>
      </c>
      <c r="D40" s="1000" t="s">
        <v>260</v>
      </c>
      <c r="E40" s="1002">
        <v>44101</v>
      </c>
      <c r="F40" s="1002">
        <v>-46474.05</v>
      </c>
      <c r="G40" s="1000" t="s">
        <v>3577</v>
      </c>
      <c r="H40" s="1004">
        <v>34</v>
      </c>
      <c r="I40" s="138"/>
      <c r="J40" s="138"/>
      <c r="K40" s="138"/>
      <c r="L40" s="138"/>
      <c r="M40" s="138"/>
      <c r="N40" s="138"/>
      <c r="O40" s="138"/>
      <c r="P40" s="138"/>
      <c r="Q40" s="138"/>
      <c r="R40" s="138"/>
      <c r="S40" s="138"/>
      <c r="T40" s="138"/>
      <c r="U40" s="138"/>
      <c r="V40" s="138"/>
      <c r="W40" s="138"/>
      <c r="X40" s="138"/>
      <c r="Y40" s="138"/>
      <c r="Z40" s="138"/>
    </row>
    <row r="41" spans="1:26" ht="14.25" customHeight="1">
      <c r="A41" s="1000" t="s">
        <v>3569</v>
      </c>
      <c r="B41" s="1000" t="s">
        <v>3438</v>
      </c>
      <c r="C41" s="1000" t="s">
        <v>267</v>
      </c>
      <c r="D41" s="1000" t="s">
        <v>262</v>
      </c>
      <c r="E41" s="1002">
        <v>54806.97</v>
      </c>
      <c r="F41" s="1002">
        <v>-57628.2</v>
      </c>
      <c r="G41" s="1000" t="s">
        <v>3580</v>
      </c>
      <c r="H41" s="1004">
        <v>33</v>
      </c>
      <c r="I41" s="138"/>
      <c r="J41" s="138"/>
      <c r="K41" s="138"/>
      <c r="L41" s="138"/>
      <c r="M41" s="138"/>
      <c r="N41" s="138"/>
      <c r="O41" s="138"/>
      <c r="P41" s="138"/>
      <c r="Q41" s="138"/>
      <c r="R41" s="138"/>
      <c r="S41" s="138"/>
      <c r="T41" s="138"/>
      <c r="U41" s="138"/>
      <c r="V41" s="138"/>
      <c r="W41" s="138"/>
      <c r="X41" s="138"/>
      <c r="Y41" s="138"/>
      <c r="Z41" s="138"/>
    </row>
    <row r="42" spans="1:26" ht="14.25" customHeight="1">
      <c r="A42" s="1000" t="s">
        <v>3560</v>
      </c>
      <c r="B42" s="1000" t="s">
        <v>3438</v>
      </c>
      <c r="C42" s="1000" t="s">
        <v>267</v>
      </c>
      <c r="D42" s="1000" t="s">
        <v>976</v>
      </c>
      <c r="E42" s="1002">
        <v>38195</v>
      </c>
      <c r="F42" s="1002">
        <v>-40225.5</v>
      </c>
      <c r="G42" s="1000" t="s">
        <v>3579</v>
      </c>
      <c r="H42" s="1004">
        <v>33</v>
      </c>
      <c r="I42" s="138"/>
      <c r="J42" s="138"/>
      <c r="K42" s="138"/>
      <c r="L42" s="138"/>
      <c r="M42" s="138"/>
      <c r="N42" s="138"/>
      <c r="O42" s="138"/>
      <c r="P42" s="138"/>
      <c r="Q42" s="138"/>
      <c r="R42" s="138"/>
      <c r="S42" s="138"/>
      <c r="T42" s="138"/>
      <c r="U42" s="138"/>
      <c r="V42" s="138"/>
      <c r="W42" s="138"/>
      <c r="X42" s="138"/>
      <c r="Y42" s="138"/>
      <c r="Z42" s="138"/>
    </row>
    <row r="43" spans="1:26" ht="14.25" customHeight="1">
      <c r="A43" s="1000" t="s">
        <v>3690</v>
      </c>
      <c r="B43" s="1000" t="s">
        <v>3438</v>
      </c>
      <c r="C43" s="1000" t="s">
        <v>267</v>
      </c>
      <c r="D43" s="1000" t="s">
        <v>3457</v>
      </c>
      <c r="E43" s="1002">
        <v>56348.1</v>
      </c>
      <c r="F43" s="1002">
        <v>-58834.65</v>
      </c>
      <c r="G43" s="1000" t="s">
        <v>3691</v>
      </c>
      <c r="H43" s="1004">
        <v>30</v>
      </c>
      <c r="I43" s="138"/>
      <c r="J43" s="138"/>
      <c r="K43" s="138"/>
      <c r="L43" s="138"/>
      <c r="M43" s="138"/>
      <c r="N43" s="138"/>
      <c r="O43" s="138"/>
      <c r="P43" s="138"/>
      <c r="Q43" s="138"/>
      <c r="R43" s="138"/>
      <c r="S43" s="138"/>
      <c r="T43" s="138"/>
      <c r="U43" s="138"/>
      <c r="V43" s="138"/>
      <c r="W43" s="138"/>
      <c r="X43" s="138"/>
      <c r="Y43" s="138"/>
      <c r="Z43" s="138"/>
    </row>
    <row r="44" spans="1:26" ht="14.25" customHeight="1">
      <c r="A44" s="1000" t="s">
        <v>3692</v>
      </c>
      <c r="B44" s="1000" t="s">
        <v>3438</v>
      </c>
      <c r="C44" s="1000" t="s">
        <v>267</v>
      </c>
      <c r="D44" s="1000" t="s">
        <v>260</v>
      </c>
      <c r="E44" s="1002">
        <v>45762.95</v>
      </c>
      <c r="F44" s="998"/>
      <c r="G44" s="1000" t="s">
        <v>3693</v>
      </c>
      <c r="H44" s="1004">
        <v>30</v>
      </c>
      <c r="I44" s="138"/>
      <c r="J44" s="138"/>
      <c r="K44" s="138"/>
      <c r="L44" s="138"/>
      <c r="M44" s="138"/>
      <c r="N44" s="138"/>
      <c r="O44" s="138"/>
      <c r="P44" s="138"/>
      <c r="Q44" s="138"/>
      <c r="R44" s="138"/>
      <c r="S44" s="138"/>
      <c r="T44" s="138"/>
      <c r="U44" s="138"/>
      <c r="V44" s="138"/>
      <c r="W44" s="138"/>
      <c r="X44" s="138"/>
      <c r="Y44" s="138"/>
      <c r="Z44" s="138"/>
    </row>
    <row r="45" spans="1:26" ht="14.25" customHeight="1">
      <c r="A45" s="1000" t="s">
        <v>3694</v>
      </c>
      <c r="B45" s="1000" t="s">
        <v>3438</v>
      </c>
      <c r="C45" s="1000" t="s">
        <v>267</v>
      </c>
      <c r="D45" s="1000" t="s">
        <v>976</v>
      </c>
      <c r="E45" s="1002">
        <v>37908</v>
      </c>
      <c r="F45" s="1002">
        <v>-39749.85</v>
      </c>
      <c r="G45" s="1000" t="s">
        <v>3695</v>
      </c>
      <c r="H45" s="1004">
        <v>25</v>
      </c>
      <c r="I45" s="138"/>
      <c r="J45" s="138"/>
      <c r="K45" s="138"/>
      <c r="L45" s="138"/>
      <c r="M45" s="138"/>
      <c r="N45" s="138"/>
      <c r="O45" s="138"/>
      <c r="P45" s="138"/>
      <c r="Q45" s="138"/>
      <c r="R45" s="138"/>
      <c r="S45" s="138"/>
      <c r="T45" s="138"/>
      <c r="U45" s="138"/>
      <c r="V45" s="138"/>
      <c r="W45" s="138"/>
      <c r="X45" s="138"/>
      <c r="Y45" s="138"/>
      <c r="Z45" s="138"/>
    </row>
    <row r="46" spans="1:26" ht="14.25" customHeight="1">
      <c r="A46" s="1000" t="s">
        <v>3696</v>
      </c>
      <c r="B46" s="1000" t="s">
        <v>3438</v>
      </c>
      <c r="C46" s="1000" t="s">
        <v>267</v>
      </c>
      <c r="D46" s="1000" t="s">
        <v>976</v>
      </c>
      <c r="E46" s="1002">
        <v>32705</v>
      </c>
      <c r="F46" s="1002">
        <v>-34423.199999999997</v>
      </c>
      <c r="G46" s="1000" t="s">
        <v>3697</v>
      </c>
      <c r="H46" s="1004">
        <v>25</v>
      </c>
      <c r="I46" s="138"/>
      <c r="J46" s="138"/>
      <c r="K46" s="138"/>
      <c r="L46" s="138"/>
      <c r="M46" s="138"/>
      <c r="N46" s="138"/>
      <c r="O46" s="138"/>
      <c r="P46" s="138"/>
      <c r="Q46" s="138"/>
      <c r="R46" s="138"/>
      <c r="S46" s="138"/>
      <c r="T46" s="138"/>
      <c r="U46" s="138"/>
      <c r="V46" s="138"/>
      <c r="W46" s="138"/>
      <c r="X46" s="138"/>
      <c r="Y46" s="138"/>
      <c r="Z46" s="138"/>
    </row>
    <row r="47" spans="1:26" ht="14.25" customHeight="1">
      <c r="A47" s="1000" t="s">
        <v>3698</v>
      </c>
      <c r="B47" s="1000" t="s">
        <v>3438</v>
      </c>
      <c r="C47" s="1000" t="s">
        <v>267</v>
      </c>
      <c r="D47" s="1000" t="s">
        <v>976</v>
      </c>
      <c r="E47" s="1002">
        <v>32705</v>
      </c>
      <c r="F47" s="1002">
        <v>-34423.199999999997</v>
      </c>
      <c r="G47" s="1000" t="s">
        <v>3699</v>
      </c>
      <c r="H47" s="1004">
        <v>25</v>
      </c>
      <c r="I47" s="138"/>
      <c r="J47" s="138"/>
      <c r="K47" s="138"/>
      <c r="L47" s="138"/>
      <c r="M47" s="138"/>
      <c r="N47" s="138"/>
      <c r="O47" s="138"/>
      <c r="P47" s="138"/>
      <c r="Q47" s="138"/>
      <c r="R47" s="138"/>
      <c r="S47" s="138"/>
      <c r="T47" s="138"/>
      <c r="U47" s="138"/>
      <c r="V47" s="138"/>
      <c r="W47" s="138"/>
      <c r="X47" s="138"/>
      <c r="Y47" s="138"/>
      <c r="Z47" s="138"/>
    </row>
    <row r="48" spans="1:26" ht="14.25" customHeight="1">
      <c r="A48" s="1000" t="s">
        <v>3700</v>
      </c>
      <c r="B48" s="1000" t="s">
        <v>3438</v>
      </c>
      <c r="C48" s="1000" t="s">
        <v>267</v>
      </c>
      <c r="D48" s="1000" t="s">
        <v>976</v>
      </c>
      <c r="E48" s="1002">
        <v>32700</v>
      </c>
      <c r="F48" s="1002">
        <v>-34423.199999999997</v>
      </c>
      <c r="G48" s="1000" t="s">
        <v>3701</v>
      </c>
      <c r="H48" s="1004">
        <v>25</v>
      </c>
      <c r="I48" s="138"/>
      <c r="J48" s="138"/>
      <c r="K48" s="138"/>
      <c r="L48" s="138"/>
      <c r="M48" s="138"/>
      <c r="N48" s="138"/>
      <c r="O48" s="138"/>
      <c r="P48" s="138"/>
      <c r="Q48" s="138"/>
      <c r="R48" s="138"/>
      <c r="S48" s="138"/>
      <c r="T48" s="138"/>
      <c r="U48" s="138"/>
      <c r="V48" s="138"/>
      <c r="W48" s="138"/>
      <c r="X48" s="138"/>
      <c r="Y48" s="138"/>
      <c r="Z48" s="138"/>
    </row>
    <row r="49" spans="1:26" ht="14.25" customHeight="1">
      <c r="A49" s="1000" t="s">
        <v>3702</v>
      </c>
      <c r="B49" s="1000" t="s">
        <v>3438</v>
      </c>
      <c r="C49" s="1000" t="s">
        <v>267</v>
      </c>
      <c r="D49" s="1000" t="s">
        <v>976</v>
      </c>
      <c r="E49" s="1002">
        <v>35661.949999999997</v>
      </c>
      <c r="F49" s="998"/>
      <c r="G49" s="1000" t="s">
        <v>3703</v>
      </c>
      <c r="H49" s="1004">
        <v>20</v>
      </c>
      <c r="I49" s="138"/>
      <c r="J49" s="138"/>
      <c r="K49" s="138"/>
      <c r="L49" s="138"/>
      <c r="M49" s="138"/>
      <c r="N49" s="138"/>
      <c r="O49" s="138"/>
      <c r="P49" s="138"/>
      <c r="Q49" s="138"/>
      <c r="R49" s="138"/>
      <c r="S49" s="138"/>
      <c r="T49" s="138"/>
      <c r="U49" s="138"/>
      <c r="V49" s="138"/>
      <c r="W49" s="138"/>
      <c r="X49" s="138"/>
      <c r="Y49" s="138"/>
      <c r="Z49" s="138"/>
    </row>
    <row r="50" spans="1:26" ht="14.25" customHeight="1">
      <c r="A50" s="1000" t="s">
        <v>3704</v>
      </c>
      <c r="B50" s="1000" t="s">
        <v>3438</v>
      </c>
      <c r="C50" s="1000" t="s">
        <v>267</v>
      </c>
      <c r="D50" s="1000" t="s">
        <v>260</v>
      </c>
      <c r="E50" s="1002">
        <v>44107</v>
      </c>
      <c r="F50" s="1002">
        <v>-46474.05</v>
      </c>
      <c r="G50" s="1000" t="s">
        <v>3705</v>
      </c>
      <c r="H50" s="1004">
        <v>20</v>
      </c>
      <c r="I50" s="138"/>
      <c r="J50" s="138"/>
      <c r="K50" s="138"/>
      <c r="L50" s="138"/>
      <c r="M50" s="138"/>
      <c r="N50" s="138"/>
      <c r="O50" s="138"/>
      <c r="P50" s="138"/>
      <c r="Q50" s="138"/>
      <c r="R50" s="138"/>
      <c r="S50" s="138"/>
      <c r="T50" s="138"/>
      <c r="U50" s="138"/>
      <c r="V50" s="138"/>
      <c r="W50" s="138"/>
      <c r="X50" s="138"/>
      <c r="Y50" s="138"/>
      <c r="Z50" s="138"/>
    </row>
    <row r="51" spans="1:26" ht="14.25" customHeight="1">
      <c r="A51" s="1000" t="s">
        <v>3706</v>
      </c>
      <c r="B51" s="1000" t="s">
        <v>3438</v>
      </c>
      <c r="C51" s="1000" t="s">
        <v>267</v>
      </c>
      <c r="D51" s="1000" t="s">
        <v>976</v>
      </c>
      <c r="E51" s="1002">
        <v>37441.5</v>
      </c>
      <c r="F51" s="998"/>
      <c r="G51" s="1000" t="s">
        <v>3707</v>
      </c>
      <c r="H51" s="1004">
        <v>16</v>
      </c>
      <c r="I51" s="138"/>
      <c r="J51" s="138"/>
      <c r="K51" s="138"/>
      <c r="L51" s="138"/>
      <c r="M51" s="138"/>
      <c r="N51" s="138"/>
      <c r="O51" s="138"/>
      <c r="P51" s="138"/>
      <c r="Q51" s="138"/>
      <c r="R51" s="138"/>
      <c r="S51" s="138"/>
      <c r="T51" s="138"/>
      <c r="U51" s="138"/>
      <c r="V51" s="138"/>
      <c r="W51" s="138"/>
      <c r="X51" s="138"/>
      <c r="Y51" s="138"/>
      <c r="Z51" s="138"/>
    </row>
    <row r="52" spans="1:26" ht="14.25" customHeight="1">
      <c r="A52" s="1000" t="s">
        <v>3708</v>
      </c>
      <c r="B52" s="1000" t="s">
        <v>3438</v>
      </c>
      <c r="C52" s="1000" t="s">
        <v>267</v>
      </c>
      <c r="D52" s="1000" t="s">
        <v>279</v>
      </c>
      <c r="E52" s="1002">
        <v>38207</v>
      </c>
      <c r="F52" s="1002">
        <v>-40179.300000000003</v>
      </c>
      <c r="G52" s="1000" t="s">
        <v>3709</v>
      </c>
      <c r="H52" s="1004">
        <v>13</v>
      </c>
      <c r="I52" s="138"/>
      <c r="J52" s="138"/>
      <c r="K52" s="138"/>
      <c r="L52" s="138"/>
      <c r="M52" s="138"/>
      <c r="N52" s="138"/>
      <c r="O52" s="138"/>
      <c r="P52" s="138"/>
      <c r="Q52" s="138"/>
      <c r="R52" s="138"/>
      <c r="S52" s="138"/>
      <c r="T52" s="138"/>
      <c r="U52" s="138"/>
      <c r="V52" s="138"/>
      <c r="W52" s="138"/>
      <c r="X52" s="138"/>
      <c r="Y52" s="138"/>
      <c r="Z52" s="138"/>
    </row>
    <row r="53" spans="1:26" ht="14.25" customHeight="1">
      <c r="A53" s="1000" t="s">
        <v>3710</v>
      </c>
      <c r="B53" s="1000" t="s">
        <v>3438</v>
      </c>
      <c r="C53" s="1000" t="s">
        <v>267</v>
      </c>
      <c r="D53" s="1000" t="s">
        <v>976</v>
      </c>
      <c r="E53" s="1002">
        <v>37773</v>
      </c>
      <c r="F53" s="1002">
        <v>-39749.85</v>
      </c>
      <c r="G53" s="1000" t="s">
        <v>3711</v>
      </c>
      <c r="H53" s="1004">
        <v>13</v>
      </c>
      <c r="I53" s="138"/>
      <c r="J53" s="138"/>
      <c r="K53" s="138"/>
      <c r="L53" s="138"/>
      <c r="M53" s="138"/>
      <c r="N53" s="138"/>
      <c r="O53" s="138"/>
      <c r="P53" s="138"/>
      <c r="Q53" s="138"/>
      <c r="R53" s="138"/>
      <c r="S53" s="138"/>
      <c r="T53" s="138"/>
      <c r="U53" s="138"/>
      <c r="V53" s="138"/>
      <c r="W53" s="138"/>
      <c r="X53" s="138"/>
      <c r="Y53" s="138"/>
      <c r="Z53" s="138"/>
    </row>
    <row r="54" spans="1:26" ht="14.25" customHeight="1">
      <c r="A54" s="1000" t="s">
        <v>3712</v>
      </c>
      <c r="B54" s="1000" t="s">
        <v>3438</v>
      </c>
      <c r="C54" s="1000" t="s">
        <v>267</v>
      </c>
      <c r="D54" s="1000" t="s">
        <v>976</v>
      </c>
      <c r="E54" s="1002">
        <v>37109</v>
      </c>
      <c r="F54" s="1002">
        <v>-39552.449999999997</v>
      </c>
      <c r="G54" s="1000" t="s">
        <v>3713</v>
      </c>
      <c r="H54" s="1004">
        <v>13</v>
      </c>
      <c r="I54" s="138"/>
      <c r="J54" s="138"/>
      <c r="K54" s="138"/>
      <c r="L54" s="138"/>
      <c r="M54" s="138"/>
      <c r="N54" s="138"/>
      <c r="O54" s="138"/>
      <c r="P54" s="138"/>
      <c r="Q54" s="138"/>
      <c r="R54" s="138"/>
      <c r="S54" s="138"/>
      <c r="T54" s="138"/>
      <c r="U54" s="138"/>
      <c r="V54" s="138"/>
      <c r="W54" s="138"/>
      <c r="X54" s="138"/>
      <c r="Y54" s="138"/>
      <c r="Z54" s="138"/>
    </row>
    <row r="55" spans="1:26" ht="14.25" customHeight="1">
      <c r="A55" s="1000" t="s">
        <v>3714</v>
      </c>
      <c r="B55" s="1000" t="s">
        <v>3438</v>
      </c>
      <c r="C55" s="1000" t="s">
        <v>267</v>
      </c>
      <c r="D55" s="1000" t="s">
        <v>976</v>
      </c>
      <c r="E55" s="1002">
        <v>34270</v>
      </c>
      <c r="F55" s="1002">
        <v>-36066.449999999997</v>
      </c>
      <c r="G55" s="1000" t="s">
        <v>3715</v>
      </c>
      <c r="H55" s="1004">
        <v>13</v>
      </c>
      <c r="I55" s="138"/>
      <c r="J55" s="138"/>
      <c r="K55" s="138"/>
      <c r="L55" s="138"/>
      <c r="M55" s="138"/>
      <c r="N55" s="138"/>
      <c r="O55" s="138"/>
      <c r="P55" s="138"/>
      <c r="Q55" s="138"/>
      <c r="R55" s="138"/>
      <c r="S55" s="138"/>
      <c r="T55" s="138"/>
      <c r="U55" s="138"/>
      <c r="V55" s="138"/>
      <c r="W55" s="138"/>
      <c r="X55" s="138"/>
      <c r="Y55" s="138"/>
      <c r="Z55" s="138"/>
    </row>
    <row r="56" spans="1:26" ht="14.25" customHeight="1">
      <c r="A56" s="1000" t="s">
        <v>3716</v>
      </c>
      <c r="B56" s="1000" t="s">
        <v>3438</v>
      </c>
      <c r="C56" s="1000" t="s">
        <v>267</v>
      </c>
      <c r="D56" s="1000" t="s">
        <v>279</v>
      </c>
      <c r="E56" s="1002">
        <v>39384</v>
      </c>
      <c r="F56" s="1002">
        <v>-41836.199999999997</v>
      </c>
      <c r="G56" s="1000" t="s">
        <v>3717</v>
      </c>
      <c r="H56" s="1004">
        <v>12</v>
      </c>
      <c r="I56" s="138"/>
      <c r="J56" s="138"/>
      <c r="K56" s="138"/>
      <c r="L56" s="138"/>
      <c r="M56" s="138"/>
      <c r="N56" s="138"/>
      <c r="O56" s="138"/>
      <c r="P56" s="138"/>
      <c r="Q56" s="138"/>
      <c r="R56" s="138"/>
      <c r="S56" s="138"/>
      <c r="T56" s="138"/>
      <c r="U56" s="138"/>
      <c r="V56" s="138"/>
      <c r="W56" s="138"/>
      <c r="X56" s="138"/>
      <c r="Y56" s="138"/>
      <c r="Z56" s="138"/>
    </row>
    <row r="57" spans="1:26" ht="14.25" customHeight="1">
      <c r="A57" s="1000" t="s">
        <v>3718</v>
      </c>
      <c r="B57" s="1000" t="s">
        <v>3438</v>
      </c>
      <c r="C57" s="1000" t="s">
        <v>267</v>
      </c>
      <c r="D57" s="1000" t="s">
        <v>3572</v>
      </c>
      <c r="E57" s="1002">
        <v>49697</v>
      </c>
      <c r="F57" s="1002">
        <v>-52243.8</v>
      </c>
      <c r="G57" s="1000" t="s">
        <v>3719</v>
      </c>
      <c r="H57" s="1004">
        <v>12</v>
      </c>
      <c r="I57" s="138"/>
      <c r="J57" s="138"/>
      <c r="K57" s="138"/>
      <c r="L57" s="138"/>
      <c r="M57" s="138"/>
      <c r="N57" s="138"/>
      <c r="O57" s="138"/>
      <c r="P57" s="138"/>
      <c r="Q57" s="138"/>
      <c r="R57" s="138"/>
      <c r="S57" s="138"/>
      <c r="T57" s="138"/>
      <c r="U57" s="138"/>
      <c r="V57" s="138"/>
      <c r="W57" s="138"/>
      <c r="X57" s="138"/>
      <c r="Y57" s="138"/>
      <c r="Z57" s="138"/>
    </row>
    <row r="58" spans="1:26" ht="14.25" customHeight="1">
      <c r="A58" s="1000" t="s">
        <v>3720</v>
      </c>
      <c r="B58" s="1000" t="s">
        <v>3438</v>
      </c>
      <c r="C58" s="1000" t="s">
        <v>267</v>
      </c>
      <c r="D58" s="1000" t="s">
        <v>3572</v>
      </c>
      <c r="E58" s="1002">
        <v>49697</v>
      </c>
      <c r="F58" s="1002">
        <v>-52243.8</v>
      </c>
      <c r="G58" s="1000" t="s">
        <v>3721</v>
      </c>
      <c r="H58" s="1004">
        <v>12</v>
      </c>
      <c r="I58" s="138"/>
      <c r="J58" s="138"/>
      <c r="K58" s="138"/>
      <c r="L58" s="138"/>
      <c r="M58" s="138"/>
      <c r="N58" s="138"/>
      <c r="O58" s="138"/>
      <c r="P58" s="138"/>
      <c r="Q58" s="138"/>
      <c r="R58" s="138"/>
      <c r="S58" s="138"/>
      <c r="T58" s="138"/>
      <c r="U58" s="138"/>
      <c r="V58" s="138"/>
      <c r="W58" s="138"/>
      <c r="X58" s="138"/>
      <c r="Y58" s="138"/>
      <c r="Z58" s="138"/>
    </row>
    <row r="59" spans="1:26" ht="14.25" customHeight="1">
      <c r="A59" s="1000" t="s">
        <v>3722</v>
      </c>
      <c r="B59" s="1000" t="s">
        <v>3438</v>
      </c>
      <c r="C59" s="1000" t="s">
        <v>267</v>
      </c>
      <c r="D59" s="1000" t="s">
        <v>976</v>
      </c>
      <c r="E59" s="1002">
        <v>35568</v>
      </c>
      <c r="F59" s="1002">
        <v>-37434.6</v>
      </c>
      <c r="G59" s="1000" t="s">
        <v>3723</v>
      </c>
      <c r="H59" s="1004">
        <v>12</v>
      </c>
      <c r="I59" s="138"/>
      <c r="J59" s="138"/>
      <c r="K59" s="138"/>
      <c r="L59" s="138"/>
      <c r="M59" s="138"/>
      <c r="N59" s="138"/>
      <c r="O59" s="138"/>
      <c r="P59" s="138"/>
      <c r="Q59" s="138"/>
      <c r="R59" s="138"/>
      <c r="S59" s="138"/>
      <c r="T59" s="138"/>
      <c r="U59" s="138"/>
      <c r="V59" s="138"/>
      <c r="W59" s="138"/>
      <c r="X59" s="138"/>
      <c r="Y59" s="138"/>
      <c r="Z59" s="138"/>
    </row>
    <row r="60" spans="1:26" ht="14.25" customHeight="1">
      <c r="A60" s="1000" t="s">
        <v>3724</v>
      </c>
      <c r="B60" s="1000" t="s">
        <v>3438</v>
      </c>
      <c r="C60" s="1000" t="s">
        <v>267</v>
      </c>
      <c r="D60" s="1000" t="s">
        <v>976</v>
      </c>
      <c r="E60" s="1002">
        <v>34265</v>
      </c>
      <c r="F60" s="1002">
        <v>-36066.449999999997</v>
      </c>
      <c r="G60" s="1000" t="s">
        <v>3725</v>
      </c>
      <c r="H60" s="1004">
        <v>12</v>
      </c>
      <c r="I60" s="138"/>
      <c r="J60" s="138"/>
      <c r="K60" s="138"/>
      <c r="L60" s="138"/>
      <c r="M60" s="138"/>
      <c r="N60" s="138"/>
      <c r="O60" s="138"/>
      <c r="P60" s="138"/>
      <c r="Q60" s="138"/>
      <c r="R60" s="138"/>
      <c r="S60" s="138"/>
      <c r="T60" s="138"/>
      <c r="U60" s="138"/>
      <c r="V60" s="138"/>
      <c r="W60" s="138"/>
      <c r="X60" s="138"/>
      <c r="Y60" s="138"/>
      <c r="Z60" s="138"/>
    </row>
    <row r="61" spans="1:26" ht="14.25" customHeight="1">
      <c r="A61" s="1000" t="s">
        <v>3726</v>
      </c>
      <c r="B61" s="1000" t="s">
        <v>3438</v>
      </c>
      <c r="C61" s="1000" t="s">
        <v>267</v>
      </c>
      <c r="D61" s="1000" t="s">
        <v>976</v>
      </c>
      <c r="E61" s="1002">
        <v>28211</v>
      </c>
      <c r="F61" s="998"/>
      <c r="G61" s="1000" t="s">
        <v>3727</v>
      </c>
      <c r="H61" s="1004">
        <v>12</v>
      </c>
      <c r="I61" s="138"/>
      <c r="J61" s="138"/>
      <c r="K61" s="138"/>
      <c r="L61" s="138"/>
      <c r="M61" s="138"/>
      <c r="N61" s="138"/>
      <c r="O61" s="138"/>
      <c r="P61" s="138"/>
      <c r="Q61" s="138"/>
      <c r="R61" s="138"/>
      <c r="S61" s="138"/>
      <c r="T61" s="138"/>
      <c r="U61" s="138"/>
      <c r="V61" s="138"/>
      <c r="W61" s="138"/>
      <c r="X61" s="138"/>
      <c r="Y61" s="138"/>
      <c r="Z61" s="138"/>
    </row>
    <row r="62" spans="1:26" ht="14.25" customHeight="1">
      <c r="A62" s="1000" t="s">
        <v>3728</v>
      </c>
      <c r="B62" s="1000" t="s">
        <v>3438</v>
      </c>
      <c r="C62" s="1000" t="s">
        <v>267</v>
      </c>
      <c r="D62" s="1000" t="s">
        <v>260</v>
      </c>
      <c r="E62" s="1002">
        <v>47482.92</v>
      </c>
      <c r="F62" s="1002">
        <v>-47526.15</v>
      </c>
      <c r="G62" s="1000" t="s">
        <v>3729</v>
      </c>
      <c r="H62" s="1004">
        <v>12</v>
      </c>
      <c r="I62" s="138"/>
      <c r="J62" s="138"/>
      <c r="K62" s="138"/>
      <c r="L62" s="138"/>
      <c r="M62" s="138"/>
      <c r="N62" s="138"/>
      <c r="O62" s="138"/>
      <c r="P62" s="138"/>
      <c r="Q62" s="138"/>
      <c r="R62" s="138"/>
      <c r="S62" s="138"/>
      <c r="T62" s="138"/>
      <c r="U62" s="138"/>
      <c r="V62" s="138"/>
      <c r="W62" s="138"/>
      <c r="X62" s="138"/>
      <c r="Y62" s="138"/>
      <c r="Z62" s="138"/>
    </row>
    <row r="63" spans="1:26" ht="14.25" customHeight="1">
      <c r="A63" s="1000" t="s">
        <v>3730</v>
      </c>
      <c r="B63" s="1000" t="s">
        <v>3438</v>
      </c>
      <c r="C63" s="1000" t="s">
        <v>267</v>
      </c>
      <c r="D63" s="1000" t="s">
        <v>260</v>
      </c>
      <c r="E63" s="1002">
        <v>40734</v>
      </c>
      <c r="F63" s="1002">
        <v>-43358.7</v>
      </c>
      <c r="G63" s="1000" t="s">
        <v>3731</v>
      </c>
      <c r="H63" s="1004">
        <v>9</v>
      </c>
      <c r="I63" s="138"/>
      <c r="J63" s="138"/>
      <c r="K63" s="138"/>
      <c r="L63" s="138"/>
      <c r="M63" s="138"/>
      <c r="N63" s="138"/>
      <c r="O63" s="138"/>
      <c r="P63" s="138"/>
      <c r="Q63" s="138"/>
      <c r="R63" s="138"/>
      <c r="S63" s="138"/>
      <c r="T63" s="138"/>
      <c r="U63" s="138"/>
      <c r="V63" s="138"/>
      <c r="W63" s="138"/>
      <c r="X63" s="138"/>
      <c r="Y63" s="138"/>
      <c r="Z63" s="138"/>
    </row>
    <row r="64" spans="1:26" ht="14.25" customHeight="1">
      <c r="A64" s="1000" t="s">
        <v>3732</v>
      </c>
      <c r="B64" s="1000" t="s">
        <v>3438</v>
      </c>
      <c r="C64" s="1000" t="s">
        <v>267</v>
      </c>
      <c r="D64" s="1000" t="s">
        <v>279</v>
      </c>
      <c r="E64" s="1002">
        <v>37806</v>
      </c>
      <c r="F64" s="1002">
        <v>-40179.300000000003</v>
      </c>
      <c r="G64" s="1000" t="s">
        <v>3733</v>
      </c>
      <c r="H64" s="1004">
        <v>3</v>
      </c>
      <c r="I64" s="138"/>
      <c r="J64" s="138"/>
      <c r="K64" s="138"/>
      <c r="L64" s="138"/>
      <c r="M64" s="138"/>
      <c r="N64" s="138"/>
      <c r="O64" s="138"/>
      <c r="P64" s="138"/>
      <c r="Q64" s="138"/>
      <c r="R64" s="138"/>
      <c r="S64" s="138"/>
      <c r="T64" s="138"/>
      <c r="U64" s="138"/>
      <c r="V64" s="138"/>
      <c r="W64" s="138"/>
      <c r="X64" s="138"/>
      <c r="Y64" s="138"/>
      <c r="Z64" s="138"/>
    </row>
    <row r="65" spans="1:26" ht="14.25" customHeight="1">
      <c r="A65" s="1000" t="s">
        <v>3734</v>
      </c>
      <c r="B65" s="1000" t="s">
        <v>3438</v>
      </c>
      <c r="C65" s="1000" t="s">
        <v>267</v>
      </c>
      <c r="D65" s="1000" t="s">
        <v>260</v>
      </c>
      <c r="E65" s="1002">
        <v>44886</v>
      </c>
      <c r="F65" s="1002">
        <v>-47718.3</v>
      </c>
      <c r="G65" s="1000" t="s">
        <v>3735</v>
      </c>
      <c r="H65" s="1004">
        <v>3</v>
      </c>
      <c r="I65" s="138"/>
      <c r="J65" s="138"/>
      <c r="K65" s="138"/>
      <c r="L65" s="138"/>
      <c r="M65" s="138"/>
      <c r="N65" s="138"/>
      <c r="O65" s="138"/>
      <c r="P65" s="138"/>
      <c r="Q65" s="138"/>
      <c r="R65" s="138"/>
      <c r="S65" s="138"/>
      <c r="T65" s="138"/>
      <c r="U65" s="138"/>
      <c r="V65" s="138"/>
      <c r="W65" s="138"/>
      <c r="X65" s="138"/>
      <c r="Y65" s="138"/>
      <c r="Z65" s="138"/>
    </row>
    <row r="66" spans="1:26" ht="14.25" customHeight="1">
      <c r="A66" s="1000" t="s">
        <v>3736</v>
      </c>
      <c r="B66" s="1000" t="s">
        <v>3438</v>
      </c>
      <c r="C66" s="1000" t="s">
        <v>267</v>
      </c>
      <c r="D66" s="1000" t="s">
        <v>260</v>
      </c>
      <c r="E66" s="1002">
        <v>44154</v>
      </c>
      <c r="F66" s="1002">
        <v>-46949.7</v>
      </c>
      <c r="G66" s="1000" t="s">
        <v>3737</v>
      </c>
      <c r="H66" s="1004">
        <v>3</v>
      </c>
      <c r="I66" s="138"/>
      <c r="J66" s="138"/>
      <c r="K66" s="138"/>
      <c r="L66" s="138"/>
      <c r="M66" s="138"/>
      <c r="N66" s="138"/>
      <c r="O66" s="138"/>
      <c r="P66" s="138"/>
      <c r="Q66" s="138"/>
      <c r="R66" s="138"/>
      <c r="S66" s="138"/>
      <c r="T66" s="138"/>
      <c r="U66" s="138"/>
      <c r="V66" s="138"/>
      <c r="W66" s="138"/>
      <c r="X66" s="138"/>
      <c r="Y66" s="138"/>
      <c r="Z66" s="138"/>
    </row>
    <row r="67" spans="1:26" ht="14.25" customHeight="1">
      <c r="A67" s="1000" t="s">
        <v>3738</v>
      </c>
      <c r="B67" s="1000" t="s">
        <v>3438</v>
      </c>
      <c r="C67" s="1000" t="s">
        <v>267</v>
      </c>
      <c r="D67" s="1000" t="s">
        <v>260</v>
      </c>
      <c r="E67" s="1002">
        <v>44154</v>
      </c>
      <c r="F67" s="1002">
        <v>-46949.7</v>
      </c>
      <c r="G67" s="1000" t="s">
        <v>3739</v>
      </c>
      <c r="H67" s="1004">
        <v>3</v>
      </c>
      <c r="I67" s="138"/>
      <c r="J67" s="138"/>
      <c r="K67" s="138"/>
      <c r="L67" s="138"/>
      <c r="M67" s="138"/>
      <c r="N67" s="138"/>
      <c r="O67" s="138"/>
      <c r="P67" s="138"/>
      <c r="Q67" s="138"/>
      <c r="R67" s="138"/>
      <c r="S67" s="138"/>
      <c r="T67" s="138"/>
      <c r="U67" s="138"/>
      <c r="V67" s="138"/>
      <c r="W67" s="138"/>
      <c r="X67" s="138"/>
      <c r="Y67" s="138"/>
      <c r="Z67" s="138"/>
    </row>
    <row r="68" spans="1:26" ht="14.25" customHeight="1">
      <c r="A68" s="1000" t="s">
        <v>3740</v>
      </c>
      <c r="B68" s="1000" t="s">
        <v>3438</v>
      </c>
      <c r="C68" s="1000" t="s">
        <v>267</v>
      </c>
      <c r="D68" s="1000" t="s">
        <v>260</v>
      </c>
      <c r="E68" s="1002">
        <v>43701</v>
      </c>
      <c r="F68" s="1002">
        <v>-46474.05</v>
      </c>
      <c r="G68" s="1000" t="s">
        <v>3741</v>
      </c>
      <c r="H68" s="1004">
        <v>3</v>
      </c>
      <c r="I68" s="138"/>
      <c r="J68" s="138"/>
      <c r="K68" s="138"/>
      <c r="L68" s="138"/>
      <c r="M68" s="138"/>
      <c r="N68" s="138"/>
      <c r="O68" s="138"/>
      <c r="P68" s="138"/>
      <c r="Q68" s="138"/>
      <c r="R68" s="138"/>
      <c r="S68" s="138"/>
      <c r="T68" s="138"/>
      <c r="U68" s="138"/>
      <c r="V68" s="138"/>
      <c r="W68" s="138"/>
      <c r="X68" s="138"/>
      <c r="Y68" s="138"/>
      <c r="Z68" s="138"/>
    </row>
    <row r="69" spans="1:26" ht="14.25" customHeight="1">
      <c r="A69" s="1000" t="s">
        <v>3742</v>
      </c>
      <c r="B69" s="1000" t="s">
        <v>3438</v>
      </c>
      <c r="C69" s="1000" t="s">
        <v>267</v>
      </c>
      <c r="D69" s="1000" t="s">
        <v>260</v>
      </c>
      <c r="E69" s="1002">
        <v>43701</v>
      </c>
      <c r="F69" s="1002">
        <v>-46474.05</v>
      </c>
      <c r="G69" s="1000" t="s">
        <v>3743</v>
      </c>
      <c r="H69" s="1004">
        <v>3</v>
      </c>
      <c r="I69" s="138"/>
      <c r="J69" s="138"/>
      <c r="K69" s="138"/>
      <c r="L69" s="138"/>
      <c r="M69" s="138"/>
      <c r="N69" s="138"/>
      <c r="O69" s="138"/>
      <c r="P69" s="138"/>
      <c r="Q69" s="138"/>
      <c r="R69" s="138"/>
      <c r="S69" s="138"/>
      <c r="T69" s="138"/>
      <c r="U69" s="138"/>
      <c r="V69" s="138"/>
      <c r="W69" s="138"/>
      <c r="X69" s="138"/>
      <c r="Y69" s="138"/>
      <c r="Z69" s="138"/>
    </row>
    <row r="70" spans="1:26" ht="14.25" customHeight="1">
      <c r="A70" s="1000" t="s">
        <v>3744</v>
      </c>
      <c r="B70" s="1000" t="s">
        <v>3438</v>
      </c>
      <c r="C70" s="1000" t="s">
        <v>267</v>
      </c>
      <c r="D70" s="1000" t="s">
        <v>260</v>
      </c>
      <c r="E70" s="1002">
        <v>40734</v>
      </c>
      <c r="F70" s="1002">
        <v>-43358.7</v>
      </c>
      <c r="G70" s="1000" t="s">
        <v>3745</v>
      </c>
      <c r="H70" s="1004">
        <v>3</v>
      </c>
      <c r="I70" s="138"/>
      <c r="J70" s="138"/>
      <c r="K70" s="138"/>
      <c r="L70" s="138"/>
      <c r="M70" s="138"/>
      <c r="N70" s="138"/>
      <c r="O70" s="138"/>
      <c r="P70" s="138"/>
      <c r="Q70" s="138"/>
      <c r="R70" s="138"/>
      <c r="S70" s="138"/>
      <c r="T70" s="138"/>
      <c r="U70" s="138"/>
      <c r="V70" s="138"/>
      <c r="W70" s="138"/>
      <c r="X70" s="138"/>
      <c r="Y70" s="138"/>
      <c r="Z70" s="138"/>
    </row>
    <row r="71" spans="1:26" ht="14.25" customHeight="1">
      <c r="A71" s="1000" t="s">
        <v>3746</v>
      </c>
      <c r="B71" s="1000" t="s">
        <v>3438</v>
      </c>
      <c r="C71" s="1000" t="s">
        <v>267</v>
      </c>
      <c r="D71" s="1000" t="s">
        <v>260</v>
      </c>
      <c r="E71" s="1002">
        <v>39069</v>
      </c>
      <c r="F71" s="1002">
        <v>-41610.449999999997</v>
      </c>
      <c r="G71" s="1000" t="s">
        <v>3747</v>
      </c>
      <c r="H71" s="1004">
        <v>3</v>
      </c>
      <c r="I71" s="138"/>
      <c r="J71" s="138"/>
      <c r="K71" s="138"/>
      <c r="L71" s="138"/>
      <c r="M71" s="138"/>
      <c r="N71" s="138"/>
      <c r="O71" s="138"/>
      <c r="P71" s="138"/>
      <c r="Q71" s="138"/>
      <c r="R71" s="138"/>
      <c r="S71" s="138"/>
      <c r="T71" s="138"/>
      <c r="U71" s="138"/>
      <c r="V71" s="138"/>
      <c r="W71" s="138"/>
      <c r="X71" s="138"/>
      <c r="Y71" s="138"/>
      <c r="Z71" s="138"/>
    </row>
    <row r="72" spans="1:26" ht="14.25" customHeight="1">
      <c r="A72" s="1000" t="s">
        <v>3748</v>
      </c>
      <c r="B72" s="1000" t="s">
        <v>3438</v>
      </c>
      <c r="C72" s="1000" t="s">
        <v>267</v>
      </c>
      <c r="D72" s="1000" t="s">
        <v>260</v>
      </c>
      <c r="E72" s="1002">
        <v>44154</v>
      </c>
      <c r="F72" s="1002">
        <v>-46949.7</v>
      </c>
      <c r="G72" s="1000" t="s">
        <v>3749</v>
      </c>
      <c r="H72" s="1004">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65" workbookViewId="0">
      <selection activeCell="J86" sqref="J86"/>
    </sheetView>
  </sheetViews>
  <sheetFormatPr baseColWidth="10" defaultColWidth="12.59765625" defaultRowHeight="15" customHeight="1"/>
  <cols>
    <col min="1" max="1" width="1.69921875" customWidth="1"/>
    <col min="2" max="2" width="23.19921875" customWidth="1"/>
    <col min="3" max="3" width="13.5" customWidth="1"/>
    <col min="4" max="4" width="11.3984375" customWidth="1"/>
    <col min="5" max="9" width="11.69921875" customWidth="1"/>
    <col min="10" max="10" width="58.59765625" customWidth="1"/>
    <col min="11" max="23" width="11" customWidth="1"/>
  </cols>
  <sheetData>
    <row r="1" spans="1:23" ht="15.6">
      <c r="A1" s="3"/>
      <c r="B1" s="1297" t="str">
        <f>Parametres!$B$1&amp;" "&amp;"2 pager"&amp;" "&amp;Parametres!$B$3&amp;" "&amp;Parametres!$B$4</f>
        <v>Volks 2 pager Mars 2026</v>
      </c>
      <c r="C1" s="1298"/>
      <c r="D1" s="1298"/>
      <c r="E1" s="1298"/>
      <c r="F1" s="1298"/>
      <c r="G1" s="1298"/>
      <c r="H1" s="1298"/>
      <c r="I1" s="1298"/>
      <c r="J1" s="1298"/>
      <c r="K1" s="3"/>
      <c r="L1" s="3"/>
      <c r="M1" s="3"/>
      <c r="N1" s="3"/>
      <c r="O1" s="3"/>
      <c r="P1" s="3"/>
      <c r="Q1" s="3"/>
      <c r="R1" s="3"/>
      <c r="S1" s="3"/>
      <c r="T1" s="3"/>
      <c r="U1" s="3"/>
      <c r="V1" s="3"/>
      <c r="W1" s="3"/>
    </row>
    <row r="2" spans="1:23" ht="14.4">
      <c r="A2" s="3"/>
      <c r="B2" s="33"/>
      <c r="C2" s="3"/>
      <c r="D2" s="3"/>
      <c r="E2" s="3"/>
      <c r="F2" s="3"/>
      <c r="G2" s="3"/>
      <c r="H2" s="3"/>
      <c r="I2" s="3"/>
      <c r="J2" s="3"/>
      <c r="K2" s="3"/>
      <c r="L2" s="3"/>
      <c r="M2" s="3"/>
      <c r="N2" s="3"/>
      <c r="O2" s="3"/>
      <c r="P2" s="3"/>
      <c r="Q2" s="3"/>
      <c r="R2" s="3"/>
      <c r="S2" s="3"/>
      <c r="T2" s="3"/>
      <c r="U2" s="3"/>
      <c r="V2" s="3"/>
      <c r="W2" s="3"/>
    </row>
    <row r="3" spans="1:23" ht="14.4">
      <c r="A3" s="3"/>
      <c r="B3" s="154" t="s">
        <v>284</v>
      </c>
      <c r="C3" s="155" t="s">
        <v>285</v>
      </c>
      <c r="D3" s="156" t="s">
        <v>286</v>
      </c>
      <c r="E3" s="157">
        <v>2023</v>
      </c>
      <c r="F3" s="156" t="s">
        <v>287</v>
      </c>
      <c r="G3" s="158" t="s">
        <v>3861</v>
      </c>
      <c r="H3" s="156" t="s">
        <v>288</v>
      </c>
      <c r="I3" s="158" t="s">
        <v>3862</v>
      </c>
      <c r="J3" s="154" t="s">
        <v>289</v>
      </c>
      <c r="K3" s="3"/>
      <c r="L3" s="3"/>
      <c r="M3" s="3"/>
      <c r="N3" s="3"/>
      <c r="O3" s="3"/>
      <c r="P3" s="3"/>
      <c r="Q3" s="3"/>
      <c r="R3" s="3"/>
      <c r="S3" s="3"/>
      <c r="T3" s="3"/>
      <c r="U3" s="3"/>
      <c r="V3" s="3"/>
      <c r="W3" s="3"/>
    </row>
    <row r="4" spans="1:23" ht="14.4" customHeight="1">
      <c r="A4" s="3"/>
      <c r="B4" s="159" t="s">
        <v>290</v>
      </c>
      <c r="C4" s="160">
        <f>+Print_Mois!$J$13+Print_Mois!$J$15</f>
        <v>56</v>
      </c>
      <c r="D4" s="160">
        <f>+Print_Mois!$D$13+Print_Mois!$D$15</f>
        <v>74</v>
      </c>
      <c r="E4" s="160">
        <f>+Print_Mois!$O$13+Print_Mois!$O$15</f>
        <v>55</v>
      </c>
      <c r="F4" s="161">
        <f t="shared" ref="F4:F15" si="0">+IFERROR($C4-D4,"")</f>
        <v>-18</v>
      </c>
      <c r="G4" s="162">
        <f t="shared" ref="G4:G15" si="1">+IFERROR($C4-E4,"")</f>
        <v>1</v>
      </c>
      <c r="H4" s="163">
        <f t="shared" ref="H4:H15" si="2">+IFERROR(F4/ABS($D4),"")</f>
        <v>-0.24324324324324326</v>
      </c>
      <c r="I4" s="164">
        <f t="shared" ref="I4:I15" si="3">+IFERROR(G4/ABS($E4),"")</f>
        <v>1.8181818181818181E-2</v>
      </c>
      <c r="J4" s="1294" t="s">
        <v>3919</v>
      </c>
      <c r="K4" s="3"/>
      <c r="L4" s="3"/>
      <c r="M4" s="3"/>
      <c r="N4" s="3"/>
      <c r="O4" s="3"/>
      <c r="P4" s="3"/>
      <c r="Q4" s="3"/>
      <c r="R4" s="3"/>
      <c r="S4" s="3"/>
      <c r="T4" s="3"/>
      <c r="U4" s="3"/>
      <c r="V4" s="3"/>
      <c r="W4" s="3"/>
    </row>
    <row r="5" spans="1:23" ht="14.4">
      <c r="A5" s="3"/>
      <c r="B5" s="165" t="s">
        <v>291</v>
      </c>
      <c r="C5" s="166">
        <f>+Print_Mois!$L$13+Print_Mois!$L$15</f>
        <v>94806.040000000095</v>
      </c>
      <c r="D5" s="166">
        <f>+Print_Mois!$F$13+Print_Mois!$F$15</f>
        <v>167406.80919597062</v>
      </c>
      <c r="E5" s="166">
        <f>+Print_Mois!$Q$13+Print_Mois!$Q$15</f>
        <v>108826.23999999989</v>
      </c>
      <c r="F5" s="167">
        <f t="shared" si="0"/>
        <v>-72600.769195970526</v>
      </c>
      <c r="G5" s="168">
        <f t="shared" si="1"/>
        <v>-14020.199999999793</v>
      </c>
      <c r="H5" s="170">
        <f t="shared" si="2"/>
        <v>-0.4336787108281972</v>
      </c>
      <c r="I5" s="171">
        <f t="shared" si="3"/>
        <v>-0.12883106133226516</v>
      </c>
      <c r="J5" s="1295"/>
      <c r="K5" s="3"/>
      <c r="L5" s="3"/>
      <c r="M5" s="3"/>
      <c r="N5" s="3"/>
      <c r="O5" s="3"/>
      <c r="P5" s="3"/>
      <c r="Q5" s="3"/>
      <c r="R5" s="3"/>
      <c r="S5" s="3"/>
      <c r="T5" s="3"/>
      <c r="U5" s="3"/>
      <c r="V5" s="3"/>
      <c r="W5" s="3"/>
    </row>
    <row r="6" spans="1:23" ht="14.4">
      <c r="A6" s="3"/>
      <c r="B6" s="165" t="s">
        <v>292</v>
      </c>
      <c r="C6" s="166">
        <f t="shared" ref="C6:E6" si="4">+C5/C4</f>
        <v>1692.9650000000017</v>
      </c>
      <c r="D6" s="166">
        <f t="shared" si="4"/>
        <v>2262.2541783239271</v>
      </c>
      <c r="E6" s="166">
        <f t="shared" si="4"/>
        <v>1978.6589090909072</v>
      </c>
      <c r="F6" s="167">
        <f t="shared" si="0"/>
        <v>-569.2891783239254</v>
      </c>
      <c r="G6" s="168">
        <f t="shared" si="1"/>
        <v>-285.69390909090544</v>
      </c>
      <c r="H6" s="170">
        <f t="shared" si="2"/>
        <v>-0.25164686788011764</v>
      </c>
      <c r="I6" s="171">
        <f t="shared" si="3"/>
        <v>-0.14438764952276045</v>
      </c>
      <c r="J6" s="1295"/>
      <c r="K6" s="3"/>
      <c r="L6" s="3"/>
      <c r="M6" s="3"/>
      <c r="N6" s="3"/>
      <c r="O6" s="3"/>
      <c r="P6" s="3"/>
      <c r="Q6" s="3"/>
      <c r="R6" s="3"/>
      <c r="S6" s="3"/>
      <c r="T6" s="3"/>
      <c r="U6" s="3"/>
      <c r="V6" s="3"/>
      <c r="W6" s="3"/>
    </row>
    <row r="7" spans="1:23" ht="14.4">
      <c r="A7" s="3"/>
      <c r="B7" s="165" t="s">
        <v>293</v>
      </c>
      <c r="C7" s="166">
        <f>+Print_Mois!$L$31</f>
        <v>40277.06</v>
      </c>
      <c r="D7" s="166">
        <f>+Print_Mois!$F$31</f>
        <v>52355.763408412065</v>
      </c>
      <c r="E7" s="166">
        <f>+Print_Mois!$Q$31</f>
        <v>30699.67</v>
      </c>
      <c r="F7" s="167">
        <f t="shared" si="0"/>
        <v>-12078.703408412068</v>
      </c>
      <c r="G7" s="168">
        <f t="shared" si="1"/>
        <v>9577.39</v>
      </c>
      <c r="H7" s="170">
        <f t="shared" si="2"/>
        <v>-0.23070436991224097</v>
      </c>
      <c r="I7" s="171">
        <f t="shared" si="3"/>
        <v>0.31197045440553595</v>
      </c>
      <c r="J7" s="1295"/>
      <c r="K7" s="3"/>
      <c r="L7" s="3"/>
      <c r="M7" s="3"/>
      <c r="N7" s="3"/>
      <c r="O7" s="3"/>
      <c r="P7" s="3"/>
      <c r="Q7" s="3"/>
      <c r="R7" s="3"/>
      <c r="S7" s="3"/>
      <c r="T7" s="3"/>
      <c r="U7" s="3"/>
      <c r="V7" s="3"/>
      <c r="W7" s="3"/>
    </row>
    <row r="8" spans="1:23" ht="14.4">
      <c r="A8" s="3"/>
      <c r="B8" s="165" t="s">
        <v>294</v>
      </c>
      <c r="C8" s="169">
        <f t="shared" ref="C8:E8" si="5">+C7/C5</f>
        <v>0.42483643447189606</v>
      </c>
      <c r="D8" s="169">
        <f t="shared" si="5"/>
        <v>0.31274572199224637</v>
      </c>
      <c r="E8" s="169">
        <f t="shared" si="5"/>
        <v>0.28209804914697073</v>
      </c>
      <c r="F8" s="172">
        <f t="shared" si="0"/>
        <v>0.11209071247964969</v>
      </c>
      <c r="G8" s="173">
        <f t="shared" si="1"/>
        <v>0.14273838532492533</v>
      </c>
      <c r="H8" s="170">
        <f t="shared" si="2"/>
        <v>0.35840845964450524</v>
      </c>
      <c r="I8" s="171">
        <f t="shared" si="3"/>
        <v>0.50598855878850768</v>
      </c>
      <c r="J8" s="1295"/>
      <c r="K8" s="3"/>
      <c r="L8" s="3"/>
      <c r="M8" s="3"/>
      <c r="N8" s="3"/>
      <c r="O8" s="3"/>
      <c r="P8" s="3"/>
      <c r="Q8" s="3"/>
      <c r="R8" s="3"/>
      <c r="S8" s="3"/>
      <c r="T8" s="3"/>
      <c r="U8" s="3"/>
      <c r="V8" s="3"/>
      <c r="W8" s="3"/>
    </row>
    <row r="9" spans="1:23" ht="14.4">
      <c r="A9" s="3"/>
      <c r="B9" s="165" t="s">
        <v>295</v>
      </c>
      <c r="C9" s="166">
        <f>+Print_Mois!$L$24</f>
        <v>55577.270000000004</v>
      </c>
      <c r="D9" s="166">
        <f>+Print_Mois!$F$24</f>
        <v>88800</v>
      </c>
      <c r="E9" s="166">
        <f>+Print_Mois!$Q$24</f>
        <v>33648</v>
      </c>
      <c r="F9" s="167">
        <f t="shared" si="0"/>
        <v>-33222.729999999996</v>
      </c>
      <c r="G9" s="168">
        <f t="shared" si="1"/>
        <v>21929.270000000004</v>
      </c>
      <c r="H9" s="170">
        <f t="shared" si="2"/>
        <v>-0.37412984234234231</v>
      </c>
      <c r="I9" s="171">
        <f t="shared" si="3"/>
        <v>0.65172580836899674</v>
      </c>
      <c r="J9" s="1295"/>
      <c r="K9" s="3"/>
      <c r="L9" s="3"/>
      <c r="M9" s="3"/>
      <c r="N9" s="3"/>
      <c r="O9" s="3"/>
      <c r="P9" s="3"/>
      <c r="Q9" s="3"/>
      <c r="R9" s="3"/>
      <c r="S9" s="3"/>
      <c r="T9" s="3"/>
      <c r="U9" s="3"/>
      <c r="V9" s="3"/>
      <c r="W9" s="3"/>
    </row>
    <row r="10" spans="1:23" ht="14.4">
      <c r="A10" s="3"/>
      <c r="B10" s="165" t="s">
        <v>296</v>
      </c>
      <c r="C10" s="166">
        <f t="shared" ref="C10:E10" si="6">+C9/C4</f>
        <v>992.45125000000007</v>
      </c>
      <c r="D10" s="166">
        <f t="shared" si="6"/>
        <v>1200</v>
      </c>
      <c r="E10" s="166">
        <f t="shared" si="6"/>
        <v>611.78181818181815</v>
      </c>
      <c r="F10" s="167">
        <f t="shared" si="0"/>
        <v>-207.54874999999993</v>
      </c>
      <c r="G10" s="168">
        <f t="shared" si="1"/>
        <v>380.66943181818192</v>
      </c>
      <c r="H10" s="170">
        <f t="shared" si="2"/>
        <v>-0.1729572916666666</v>
      </c>
      <c r="I10" s="171">
        <f t="shared" si="3"/>
        <v>0.62223070464812191</v>
      </c>
      <c r="J10" s="1295"/>
      <c r="K10" s="3"/>
      <c r="L10" s="3"/>
      <c r="M10" s="3"/>
      <c r="N10" s="3"/>
      <c r="O10" s="3"/>
      <c r="P10" s="3"/>
      <c r="Q10" s="3"/>
      <c r="R10" s="3"/>
      <c r="S10" s="3"/>
      <c r="T10" s="3"/>
      <c r="U10" s="3"/>
      <c r="V10" s="3"/>
      <c r="W10" s="3"/>
    </row>
    <row r="11" spans="1:23" ht="14.4">
      <c r="A11" s="3"/>
      <c r="B11" s="165" t="s">
        <v>297</v>
      </c>
      <c r="C11" s="166">
        <f>+Print_Mois!$L$32</f>
        <v>11178.89</v>
      </c>
      <c r="D11" s="166">
        <f>+Print_Mois!$F$32</f>
        <v>17760</v>
      </c>
      <c r="E11" s="166">
        <f>+Print_Mois!$Q$32</f>
        <v>10329.58</v>
      </c>
      <c r="F11" s="167">
        <f t="shared" si="0"/>
        <v>-6581.1100000000006</v>
      </c>
      <c r="G11" s="168">
        <f t="shared" si="1"/>
        <v>849.30999999999949</v>
      </c>
      <c r="H11" s="170">
        <f t="shared" si="2"/>
        <v>-0.37055799549549551</v>
      </c>
      <c r="I11" s="171">
        <f t="shared" si="3"/>
        <v>8.2221155167973861E-2</v>
      </c>
      <c r="J11" s="1295"/>
      <c r="K11" s="3"/>
      <c r="L11" s="3"/>
      <c r="M11" s="3"/>
      <c r="N11" s="3"/>
      <c r="O11" s="3"/>
      <c r="P11" s="3"/>
      <c r="Q11" s="3"/>
      <c r="R11" s="3"/>
      <c r="S11" s="3"/>
      <c r="T11" s="3"/>
      <c r="U11" s="3"/>
      <c r="V11" s="3"/>
      <c r="W11" s="3"/>
    </row>
    <row r="12" spans="1:23" ht="14.4">
      <c r="A12" s="3"/>
      <c r="B12" s="165" t="s">
        <v>298</v>
      </c>
      <c r="C12" s="169">
        <f t="shared" ref="C12:E12" si="7">+C11/C9</f>
        <v>0.2011414018716644</v>
      </c>
      <c r="D12" s="169">
        <f t="shared" si="7"/>
        <v>0.2</v>
      </c>
      <c r="E12" s="169">
        <f t="shared" si="7"/>
        <v>0.30698941987636708</v>
      </c>
      <c r="F12" s="170">
        <f t="shared" si="0"/>
        <v>1.1414018716643937E-3</v>
      </c>
      <c r="G12" s="174">
        <f t="shared" si="1"/>
        <v>-0.10584801800470267</v>
      </c>
      <c r="H12" s="170">
        <f t="shared" si="2"/>
        <v>5.7070093583219683E-3</v>
      </c>
      <c r="I12" s="171">
        <f t="shared" si="3"/>
        <v>-0.34479370021067995</v>
      </c>
      <c r="J12" s="1295"/>
      <c r="K12" s="3"/>
      <c r="L12" s="3"/>
      <c r="M12" s="3"/>
      <c r="N12" s="3"/>
      <c r="O12" s="3"/>
      <c r="P12" s="3"/>
      <c r="Q12" s="3"/>
      <c r="R12" s="3"/>
      <c r="S12" s="3"/>
      <c r="T12" s="3"/>
      <c r="U12" s="3"/>
      <c r="V12" s="3"/>
      <c r="W12" s="3"/>
    </row>
    <row r="13" spans="1:23" ht="14.4">
      <c r="A13" s="3"/>
      <c r="B13" s="165" t="s">
        <v>299</v>
      </c>
      <c r="C13" s="166">
        <f>+Print_Mois!$L$41-C7-C11</f>
        <v>40798.170000000013</v>
      </c>
      <c r="D13" s="166">
        <f>+Print_Mois!$F$41-D7-D11</f>
        <v>41639.08826132692</v>
      </c>
      <c r="E13" s="166">
        <f>+Print_Mois!$Q$41-E7-E11</f>
        <v>53243.049999999988</v>
      </c>
      <c r="F13" s="167">
        <f t="shared" si="0"/>
        <v>-840.91826132690767</v>
      </c>
      <c r="G13" s="168">
        <f t="shared" si="1"/>
        <v>-12444.879999999976</v>
      </c>
      <c r="H13" s="170">
        <f t="shared" si="2"/>
        <v>-2.0195405241567842E-2</v>
      </c>
      <c r="I13" s="171">
        <f t="shared" si="3"/>
        <v>-0.23373717320852164</v>
      </c>
      <c r="J13" s="1295"/>
      <c r="K13" s="3"/>
      <c r="L13" s="3"/>
      <c r="M13" s="3"/>
      <c r="N13" s="3"/>
      <c r="O13" s="3"/>
      <c r="P13" s="3"/>
      <c r="Q13" s="3"/>
      <c r="R13" s="3"/>
      <c r="S13" s="3"/>
      <c r="T13" s="3"/>
      <c r="U13" s="3"/>
      <c r="V13" s="3"/>
      <c r="W13" s="3"/>
    </row>
    <row r="14" spans="1:23" ht="14.4">
      <c r="A14" s="3"/>
      <c r="B14" s="165" t="s">
        <v>300</v>
      </c>
      <c r="C14" s="166">
        <f t="shared" ref="C14:E14" si="8">+C13/C4</f>
        <v>728.53875000000028</v>
      </c>
      <c r="D14" s="166">
        <f t="shared" si="8"/>
        <v>562.69038190982326</v>
      </c>
      <c r="E14" s="166">
        <f t="shared" si="8"/>
        <v>968.05545454545438</v>
      </c>
      <c r="F14" s="167">
        <f t="shared" si="0"/>
        <v>165.84836809017702</v>
      </c>
      <c r="G14" s="168">
        <f t="shared" si="1"/>
        <v>-239.5167045454541</v>
      </c>
      <c r="H14" s="170">
        <f t="shared" si="2"/>
        <v>0.29474178593078543</v>
      </c>
      <c r="I14" s="171">
        <f t="shared" si="3"/>
        <v>-0.24742043797265517</v>
      </c>
      <c r="J14" s="1295"/>
      <c r="K14" s="3"/>
      <c r="L14" s="3"/>
      <c r="M14" s="3"/>
      <c r="N14" s="3"/>
      <c r="O14" s="3"/>
      <c r="P14" s="3"/>
      <c r="Q14" s="3"/>
      <c r="R14" s="3"/>
      <c r="S14" s="3"/>
      <c r="T14" s="3"/>
      <c r="U14" s="3"/>
      <c r="V14" s="3"/>
      <c r="W14" s="3"/>
    </row>
    <row r="15" spans="1:23" ht="14.4">
      <c r="A15" s="3"/>
      <c r="B15" s="165" t="s">
        <v>301</v>
      </c>
      <c r="C15" s="166">
        <f>+Print_Mois!$L$83</f>
        <v>192613.85</v>
      </c>
      <c r="D15" s="166">
        <f>+Print_Mois!$F$83</f>
        <v>169626.43340465194</v>
      </c>
      <c r="E15" s="166">
        <f>+Print_Mois!$Q$83</f>
        <v>93446</v>
      </c>
      <c r="F15" s="167">
        <f t="shared" si="0"/>
        <v>22987.41659534807</v>
      </c>
      <c r="G15" s="168">
        <f t="shared" si="1"/>
        <v>99167.85</v>
      </c>
      <c r="H15" s="170">
        <f t="shared" si="2"/>
        <v>0.13551789148634927</v>
      </c>
      <c r="I15" s="171">
        <f t="shared" si="3"/>
        <v>1.0612316204010874</v>
      </c>
      <c r="J15" s="1295"/>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95"/>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95"/>
      <c r="K17" s="3"/>
      <c r="L17" s="3"/>
      <c r="M17" s="3"/>
      <c r="N17" s="3"/>
      <c r="O17" s="3"/>
      <c r="P17" s="3"/>
      <c r="Q17" s="3"/>
      <c r="R17" s="3"/>
      <c r="S17" s="3"/>
      <c r="T17" s="3"/>
      <c r="U17" s="3"/>
      <c r="V17" s="3"/>
      <c r="W17" s="3"/>
    </row>
    <row r="18" spans="1:23" ht="14.4">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96"/>
      <c r="K18" s="3"/>
      <c r="L18" s="3"/>
      <c r="M18" s="3"/>
      <c r="N18" s="3"/>
      <c r="O18" s="3"/>
      <c r="P18" s="3"/>
      <c r="Q18" s="3"/>
      <c r="R18" s="3"/>
      <c r="S18" s="3"/>
      <c r="T18" s="3"/>
      <c r="U18" s="3"/>
      <c r="V18" s="3"/>
      <c r="W18" s="3"/>
    </row>
    <row r="19" spans="1:23" ht="14.4">
      <c r="A19" s="3"/>
      <c r="B19" s="3"/>
      <c r="C19" s="189"/>
      <c r="D19" s="189"/>
      <c r="E19" s="189"/>
      <c r="F19" s="3"/>
      <c r="G19" s="3"/>
      <c r="H19" s="3"/>
      <c r="I19" s="3"/>
      <c r="J19" s="3"/>
      <c r="K19" s="3"/>
      <c r="L19" s="3"/>
      <c r="M19" s="3"/>
      <c r="N19" s="3"/>
      <c r="O19" s="3"/>
      <c r="P19" s="3"/>
      <c r="Q19" s="3"/>
      <c r="R19" s="3"/>
      <c r="S19" s="3"/>
      <c r="T19" s="3"/>
      <c r="U19" s="3"/>
      <c r="V19" s="3"/>
      <c r="W19" s="3"/>
    </row>
    <row r="20" spans="1:23" ht="14.4">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18</v>
      </c>
      <c r="D21" s="160">
        <f>+Print_Mois!$D$97</f>
        <v>49</v>
      </c>
      <c r="E21" s="160">
        <f>+Print_Mois!$O$97</f>
        <v>30</v>
      </c>
      <c r="F21" s="161">
        <f t="shared" ref="F21:F32" si="11">+IFERROR($C21-D21,"")</f>
        <v>-31</v>
      </c>
      <c r="G21" s="162">
        <f t="shared" ref="G21:G32" si="12">+IFERROR($C21-E21,"")</f>
        <v>-12</v>
      </c>
      <c r="H21" s="163">
        <f t="shared" ref="H21:H32" si="13">+IFERROR(F21/ABS($D21),"")</f>
        <v>-0.63265306122448983</v>
      </c>
      <c r="I21" s="164">
        <f t="shared" ref="I21:I32" si="14">+IFERROR(G21/ABS($E21),"")</f>
        <v>-0.4</v>
      </c>
      <c r="J21" s="1294" t="s">
        <v>3920</v>
      </c>
      <c r="K21" s="3"/>
      <c r="L21" s="3"/>
      <c r="M21" s="3"/>
      <c r="N21" s="3"/>
      <c r="O21" s="3"/>
      <c r="P21" s="3"/>
      <c r="Q21" s="3"/>
      <c r="R21" s="3"/>
      <c r="S21" s="3"/>
      <c r="T21" s="3"/>
      <c r="U21" s="3"/>
      <c r="V21" s="3"/>
      <c r="W21" s="3"/>
    </row>
    <row r="22" spans="1:23" ht="15.75" customHeight="1">
      <c r="A22" s="3"/>
      <c r="B22" s="165" t="s">
        <v>291</v>
      </c>
      <c r="C22" s="166">
        <f>+Print_Mois!$L$97</f>
        <v>13303.710000000037</v>
      </c>
      <c r="D22" s="166">
        <f>+Print_Mois!$F$97</f>
        <v>73500</v>
      </c>
      <c r="E22" s="166">
        <f>+Print_Mois!$Q$97</f>
        <v>41585.519999999902</v>
      </c>
      <c r="F22" s="167">
        <f t="shared" si="11"/>
        <v>-60196.289999999964</v>
      </c>
      <c r="G22" s="168">
        <f t="shared" si="12"/>
        <v>-28281.809999999867</v>
      </c>
      <c r="H22" s="170">
        <f t="shared" si="13"/>
        <v>-0.81899714285714242</v>
      </c>
      <c r="I22" s="171">
        <f t="shared" si="14"/>
        <v>-0.68008792483537384</v>
      </c>
      <c r="J22" s="1295"/>
      <c r="K22" s="3"/>
      <c r="L22" s="3"/>
      <c r="M22" s="3"/>
      <c r="N22" s="3"/>
      <c r="O22" s="3"/>
      <c r="P22" s="3"/>
      <c r="Q22" s="3"/>
      <c r="R22" s="3"/>
      <c r="S22" s="3"/>
      <c r="T22" s="3"/>
      <c r="U22" s="3"/>
      <c r="V22" s="3"/>
      <c r="W22" s="3"/>
    </row>
    <row r="23" spans="1:23" ht="15.75" customHeight="1">
      <c r="A23" s="3"/>
      <c r="B23" s="165" t="s">
        <v>292</v>
      </c>
      <c r="C23" s="166">
        <f t="shared" ref="C23:E23" si="15">+C22/C21</f>
        <v>739.09500000000207</v>
      </c>
      <c r="D23" s="166">
        <f t="shared" si="15"/>
        <v>1500</v>
      </c>
      <c r="E23" s="166">
        <f t="shared" si="15"/>
        <v>1386.1839999999968</v>
      </c>
      <c r="F23" s="167">
        <f t="shared" si="11"/>
        <v>-760.90499999999793</v>
      </c>
      <c r="G23" s="168">
        <f t="shared" si="12"/>
        <v>-647.08899999999471</v>
      </c>
      <c r="H23" s="170">
        <f t="shared" si="13"/>
        <v>-0.50726999999999867</v>
      </c>
      <c r="I23" s="171">
        <f t="shared" si="14"/>
        <v>-0.46681320805895626</v>
      </c>
      <c r="J23" s="1295"/>
      <c r="K23" s="3"/>
      <c r="L23" s="3"/>
      <c r="M23" s="3"/>
      <c r="N23" s="3"/>
      <c r="O23" s="3"/>
      <c r="P23" s="3"/>
      <c r="Q23" s="3"/>
      <c r="R23" s="3"/>
      <c r="S23" s="3"/>
      <c r="T23" s="3"/>
      <c r="U23" s="3"/>
      <c r="V23" s="3"/>
      <c r="W23" s="3"/>
    </row>
    <row r="24" spans="1:23" ht="15.75" customHeight="1">
      <c r="A24" s="3"/>
      <c r="B24" s="165" t="s">
        <v>293</v>
      </c>
      <c r="C24" s="166">
        <f>+Print_Mois!$L$112</f>
        <v>10589.1</v>
      </c>
      <c r="D24" s="166">
        <f>+Print_Mois!$F$112</f>
        <v>22645</v>
      </c>
      <c r="E24" s="166">
        <f>+Print_Mois!$Q$112</f>
        <v>14256.15</v>
      </c>
      <c r="F24" s="167">
        <f t="shared" si="11"/>
        <v>-12055.9</v>
      </c>
      <c r="G24" s="168">
        <f t="shared" si="12"/>
        <v>-3667.0499999999993</v>
      </c>
      <c r="H24" s="170">
        <f t="shared" si="13"/>
        <v>-0.53238684036211081</v>
      </c>
      <c r="I24" s="171">
        <f t="shared" si="14"/>
        <v>-0.25722582885281087</v>
      </c>
      <c r="J24" s="1295"/>
      <c r="K24" s="3"/>
      <c r="L24" s="3"/>
      <c r="M24" s="3"/>
      <c r="N24" s="3"/>
      <c r="O24" s="3"/>
      <c r="P24" s="3"/>
      <c r="Q24" s="3"/>
      <c r="R24" s="3"/>
      <c r="S24" s="3"/>
      <c r="T24" s="3"/>
      <c r="U24" s="3"/>
      <c r="V24" s="3"/>
      <c r="W24" s="3"/>
    </row>
    <row r="25" spans="1:23" ht="15.75" customHeight="1">
      <c r="A25" s="3"/>
      <c r="B25" s="165" t="s">
        <v>294</v>
      </c>
      <c r="C25" s="169">
        <f t="shared" ref="C25:E25" si="16">+C24/C22</f>
        <v>0.79595090392078383</v>
      </c>
      <c r="D25" s="169">
        <f t="shared" si="16"/>
        <v>0.30809523809523809</v>
      </c>
      <c r="E25" s="169">
        <f t="shared" si="16"/>
        <v>0.34281523953530058</v>
      </c>
      <c r="F25" s="172">
        <f t="shared" si="11"/>
        <v>0.48785566582554574</v>
      </c>
      <c r="G25" s="173">
        <f t="shared" si="12"/>
        <v>0.45313566438548325</v>
      </c>
      <c r="H25" s="170">
        <f t="shared" si="13"/>
        <v>1.583457338846439</v>
      </c>
      <c r="I25" s="171">
        <f t="shared" si="14"/>
        <v>1.3218072364569506</v>
      </c>
      <c r="J25" s="1295"/>
      <c r="K25" s="3"/>
      <c r="L25" s="3"/>
      <c r="M25" s="3"/>
      <c r="N25" s="3"/>
      <c r="O25" s="3"/>
      <c r="P25" s="3"/>
      <c r="Q25" s="3"/>
      <c r="R25" s="3"/>
      <c r="S25" s="3"/>
      <c r="T25" s="3"/>
      <c r="U25" s="3"/>
      <c r="V25" s="3"/>
      <c r="W25" s="3"/>
    </row>
    <row r="26" spans="1:23" ht="15.75" customHeight="1">
      <c r="A26" s="3"/>
      <c r="B26" s="165" t="s">
        <v>295</v>
      </c>
      <c r="C26" s="166">
        <f>+Print_Mois!$L$105</f>
        <v>25594.91</v>
      </c>
      <c r="D26" s="166">
        <f>+Print_Mois!$F$105</f>
        <v>98000</v>
      </c>
      <c r="E26" s="166">
        <f>+Print_Mois!$Q$105</f>
        <v>56059.199999999903</v>
      </c>
      <c r="F26" s="167">
        <f t="shared" si="11"/>
        <v>-72405.09</v>
      </c>
      <c r="G26" s="168">
        <f t="shared" si="12"/>
        <v>-30464.289999999903</v>
      </c>
      <c r="H26" s="170">
        <f t="shared" si="13"/>
        <v>-0.73882744897959185</v>
      </c>
      <c r="I26" s="171">
        <f t="shared" si="14"/>
        <v>-0.54343069469417959</v>
      </c>
      <c r="J26" s="1295"/>
      <c r="K26" s="3"/>
      <c r="L26" s="3"/>
      <c r="M26" s="3"/>
      <c r="N26" s="3"/>
      <c r="O26" s="3"/>
      <c r="P26" s="3"/>
      <c r="Q26" s="3"/>
      <c r="R26" s="3"/>
      <c r="S26" s="3"/>
      <c r="T26" s="3"/>
      <c r="U26" s="3"/>
      <c r="V26" s="3"/>
      <c r="W26" s="3"/>
    </row>
    <row r="27" spans="1:23" ht="15.75" customHeight="1">
      <c r="A27" s="3"/>
      <c r="B27" s="165" t="s">
        <v>296</v>
      </c>
      <c r="C27" s="166">
        <f t="shared" ref="C27:E27" si="17">+C26/C21</f>
        <v>1421.9394444444445</v>
      </c>
      <c r="D27" s="166">
        <f t="shared" si="17"/>
        <v>2000</v>
      </c>
      <c r="E27" s="166">
        <f t="shared" si="17"/>
        <v>1868.6399999999967</v>
      </c>
      <c r="F27" s="167">
        <f t="shared" si="11"/>
        <v>-578.06055555555554</v>
      </c>
      <c r="G27" s="168">
        <f t="shared" si="12"/>
        <v>-446.70055555555223</v>
      </c>
      <c r="H27" s="170">
        <f t="shared" si="13"/>
        <v>-0.28903027777777779</v>
      </c>
      <c r="I27" s="171">
        <f t="shared" si="14"/>
        <v>-0.2390511578236327</v>
      </c>
      <c r="J27" s="1295"/>
      <c r="K27" s="3"/>
      <c r="L27" s="3"/>
      <c r="M27" s="3"/>
      <c r="N27" s="3"/>
      <c r="O27" s="3"/>
      <c r="P27" s="3"/>
      <c r="Q27" s="3"/>
      <c r="R27" s="3"/>
      <c r="S27" s="3"/>
      <c r="T27" s="3"/>
      <c r="U27" s="3"/>
      <c r="V27" s="3"/>
      <c r="W27" s="3"/>
    </row>
    <row r="28" spans="1:23" ht="15.75" customHeight="1">
      <c r="A28" s="3"/>
      <c r="B28" s="165" t="s">
        <v>297</v>
      </c>
      <c r="C28" s="166">
        <f>+Print_Mois!$L$113</f>
        <v>5756.98</v>
      </c>
      <c r="D28" s="166">
        <f>+Print_Mois!$F$113</f>
        <v>25575.800293685756</v>
      </c>
      <c r="E28" s="166">
        <f>+Print_Mois!$Q$113</f>
        <v>15696.14</v>
      </c>
      <c r="F28" s="167">
        <f t="shared" si="11"/>
        <v>-19818.820293685756</v>
      </c>
      <c r="G28" s="168">
        <f t="shared" si="12"/>
        <v>-9939.16</v>
      </c>
      <c r="H28" s="170">
        <f t="shared" si="13"/>
        <v>-0.77490518639132078</v>
      </c>
      <c r="I28" s="171">
        <f t="shared" si="14"/>
        <v>-0.63322320009887778</v>
      </c>
      <c r="J28" s="1295"/>
      <c r="K28" s="3"/>
      <c r="L28" s="3"/>
      <c r="M28" s="3"/>
      <c r="N28" s="3"/>
      <c r="O28" s="3"/>
      <c r="P28" s="3"/>
      <c r="Q28" s="3"/>
      <c r="R28" s="3"/>
      <c r="S28" s="3"/>
      <c r="T28" s="3"/>
      <c r="U28" s="3"/>
      <c r="V28" s="3"/>
      <c r="W28" s="3"/>
    </row>
    <row r="29" spans="1:23" ht="15.75" customHeight="1">
      <c r="A29" s="3"/>
      <c r="B29" s="165" t="s">
        <v>298</v>
      </c>
      <c r="C29" s="169">
        <f t="shared" ref="C29:E29" si="18">+C28/C26</f>
        <v>0.22492675301456422</v>
      </c>
      <c r="D29" s="169">
        <f t="shared" si="18"/>
        <v>0.26097755401720157</v>
      </c>
      <c r="E29" s="169">
        <f t="shared" si="18"/>
        <v>0.27999222250763528</v>
      </c>
      <c r="F29" s="170">
        <f t="shared" si="11"/>
        <v>-3.6050801002637356E-2</v>
      </c>
      <c r="G29" s="174">
        <f t="shared" si="12"/>
        <v>-5.5065469493071062E-2</v>
      </c>
      <c r="H29" s="170">
        <f t="shared" si="13"/>
        <v>-0.13813755416016035</v>
      </c>
      <c r="I29" s="171">
        <f t="shared" si="14"/>
        <v>-0.19666785384215252</v>
      </c>
      <c r="J29" s="1295"/>
      <c r="K29" s="3"/>
      <c r="L29" s="3"/>
      <c r="M29" s="3"/>
      <c r="N29" s="3"/>
      <c r="O29" s="3"/>
      <c r="P29" s="3"/>
      <c r="Q29" s="3"/>
      <c r="R29" s="3"/>
      <c r="S29" s="3"/>
      <c r="T29" s="3"/>
      <c r="U29" s="3"/>
      <c r="V29" s="3"/>
      <c r="W29" s="3"/>
    </row>
    <row r="30" spans="1:23" ht="15.75" customHeight="1">
      <c r="A30" s="3"/>
      <c r="B30" s="165" t="s">
        <v>299</v>
      </c>
      <c r="C30" s="166">
        <f>+Print_Mois!$L$122-C24-C28</f>
        <v>12509.580000000005</v>
      </c>
      <c r="D30" s="166">
        <f>+Print_Mois!$F$122-D24-D28</f>
        <v>20374.249999999996</v>
      </c>
      <c r="E30" s="166">
        <f>+Print_Mois!$Q$122-E24-E28</f>
        <v>17692.36</v>
      </c>
      <c r="F30" s="167">
        <f t="shared" si="11"/>
        <v>-7864.669999999991</v>
      </c>
      <c r="G30" s="168">
        <f t="shared" si="12"/>
        <v>-5182.7799999999952</v>
      </c>
      <c r="H30" s="170">
        <f t="shared" si="13"/>
        <v>-0.38601028258708875</v>
      </c>
      <c r="I30" s="171">
        <f t="shared" si="14"/>
        <v>-0.2929388730502881</v>
      </c>
      <c r="J30" s="1295"/>
      <c r="K30" s="3"/>
      <c r="L30" s="3"/>
      <c r="M30" s="3"/>
      <c r="N30" s="3"/>
      <c r="O30" s="3"/>
      <c r="P30" s="3"/>
      <c r="Q30" s="3"/>
      <c r="R30" s="3"/>
      <c r="S30" s="3"/>
      <c r="T30" s="3"/>
      <c r="U30" s="3"/>
      <c r="V30" s="3"/>
      <c r="W30" s="3"/>
    </row>
    <row r="31" spans="1:23" ht="15.75" customHeight="1">
      <c r="A31" s="3"/>
      <c r="B31" s="165" t="s">
        <v>300</v>
      </c>
      <c r="C31" s="166">
        <f t="shared" ref="C31:E31" si="19">+C30/C21</f>
        <v>694.97666666666692</v>
      </c>
      <c r="D31" s="166">
        <f t="shared" si="19"/>
        <v>415.8010204081632</v>
      </c>
      <c r="E31" s="166">
        <f t="shared" si="19"/>
        <v>589.74533333333341</v>
      </c>
      <c r="F31" s="167">
        <f t="shared" si="11"/>
        <v>279.17564625850372</v>
      </c>
      <c r="G31" s="168">
        <f t="shared" si="12"/>
        <v>105.23133333333351</v>
      </c>
      <c r="H31" s="170">
        <f t="shared" si="13"/>
        <v>0.6714164529573694</v>
      </c>
      <c r="I31" s="171">
        <f t="shared" si="14"/>
        <v>0.178435211582853</v>
      </c>
      <c r="J31" s="1295"/>
      <c r="K31" s="3"/>
      <c r="L31" s="3"/>
      <c r="M31" s="3"/>
      <c r="N31" s="3"/>
      <c r="O31" s="3"/>
      <c r="P31" s="3"/>
      <c r="Q31" s="3"/>
      <c r="R31" s="3"/>
      <c r="S31" s="3"/>
      <c r="T31" s="3"/>
      <c r="U31" s="3"/>
      <c r="V31" s="3"/>
      <c r="W31" s="3"/>
    </row>
    <row r="32" spans="1:23" ht="15.75" customHeight="1">
      <c r="A32" s="3"/>
      <c r="B32" s="165" t="s">
        <v>301</v>
      </c>
      <c r="C32" s="166">
        <f>+Print_Mois!$L$163</f>
        <v>8652</v>
      </c>
      <c r="D32" s="166">
        <f>+Print_Mois!$F$163</f>
        <v>22297.45</v>
      </c>
      <c r="E32" s="166">
        <f>+Print_Mois!$Q$163</f>
        <v>14076</v>
      </c>
      <c r="F32" s="167">
        <f t="shared" si="11"/>
        <v>-13645.45</v>
      </c>
      <c r="G32" s="168">
        <f t="shared" si="12"/>
        <v>-5424</v>
      </c>
      <c r="H32" s="170">
        <f t="shared" si="13"/>
        <v>-0.61197356648405987</v>
      </c>
      <c r="I32" s="171">
        <f t="shared" si="14"/>
        <v>-0.38533674339300938</v>
      </c>
      <c r="J32" s="1295"/>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95"/>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95"/>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96"/>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309003.25</v>
      </c>
      <c r="D38" s="200">
        <f>+Print_Mois!$E$194</f>
        <v>329436.55813499348</v>
      </c>
      <c r="E38" s="200">
        <f>+Print_Mois!$P$194</f>
        <v>311810.16000000003</v>
      </c>
      <c r="F38" s="201">
        <f t="shared" ref="F38:F47" si="22">+IFERROR($C38-D38,"")</f>
        <v>-20433.30813499348</v>
      </c>
      <c r="G38" s="202">
        <f t="shared" ref="G38:G47" si="23">+IFERROR($C38-E38,"")</f>
        <v>-2806.9100000000326</v>
      </c>
      <c r="H38" s="163">
        <f t="shared" ref="H38:H47" si="24">+IFERROR(F38/ABS($D38),"")</f>
        <v>-6.2025017049323672E-2</v>
      </c>
      <c r="I38" s="164">
        <f t="shared" ref="I38:I47" si="25">+IFERROR(G38/ABS($E38),"")</f>
        <v>-9.001983771151115E-3</v>
      </c>
      <c r="J38" s="1294" t="s">
        <v>3921</v>
      </c>
      <c r="K38" s="3"/>
      <c r="L38" s="3"/>
      <c r="M38" s="3"/>
      <c r="N38" s="3"/>
      <c r="O38" s="3"/>
      <c r="P38" s="3"/>
      <c r="Q38" s="3"/>
      <c r="R38" s="3"/>
      <c r="S38" s="3"/>
      <c r="T38" s="3"/>
      <c r="U38" s="3"/>
      <c r="V38" s="3"/>
      <c r="W38" s="3"/>
    </row>
    <row r="39" spans="1:23" ht="15.75" customHeight="1">
      <c r="A39" s="3"/>
      <c r="B39" s="159" t="s">
        <v>306</v>
      </c>
      <c r="C39" s="200">
        <f>+Print_Mois!$L$194</f>
        <v>224558.39</v>
      </c>
      <c r="D39" s="200">
        <f>+Print_Mois!$F$194</f>
        <v>228107.70292170963</v>
      </c>
      <c r="E39" s="200">
        <f>+Print_Mois!$Q$194</f>
        <v>219030.27999999994</v>
      </c>
      <c r="F39" s="201">
        <f t="shared" si="22"/>
        <v>-3549.3129217096139</v>
      </c>
      <c r="G39" s="202">
        <f t="shared" si="23"/>
        <v>5528.1100000000733</v>
      </c>
      <c r="H39" s="203">
        <f t="shared" si="24"/>
        <v>-1.5559811774211752E-2</v>
      </c>
      <c r="I39" s="204">
        <f t="shared" si="25"/>
        <v>2.5239021746217349E-2</v>
      </c>
      <c r="J39" s="1295"/>
      <c r="K39" s="3"/>
      <c r="L39" s="3"/>
      <c r="M39" s="3"/>
      <c r="N39" s="3"/>
      <c r="O39" s="3"/>
      <c r="P39" s="3"/>
      <c r="Q39" s="3"/>
      <c r="R39" s="3"/>
      <c r="S39" s="3"/>
      <c r="T39" s="3"/>
      <c r="U39" s="3"/>
      <c r="V39" s="3"/>
      <c r="W39" s="3"/>
    </row>
    <row r="40" spans="1:23" ht="15.75" customHeight="1">
      <c r="A40" s="3"/>
      <c r="B40" s="165" t="s">
        <v>307</v>
      </c>
      <c r="C40" s="166">
        <f>+Print_Mois!$K$172/Print_Mois!$J$172</f>
        <v>353.18656534954403</v>
      </c>
      <c r="D40" s="166">
        <f>+IFERROR(Print_Mois!$E$172/Print_Mois!$D$172,"")</f>
        <v>350</v>
      </c>
      <c r="E40" s="166">
        <f>+Print_Mois!$P$172/Print_Mois!$O$172</f>
        <v>360.50129411764709</v>
      </c>
      <c r="F40" s="167">
        <f t="shared" si="22"/>
        <v>3.1865653495440256</v>
      </c>
      <c r="G40" s="168">
        <f t="shared" si="23"/>
        <v>-7.3147287681030662</v>
      </c>
      <c r="H40" s="170">
        <f t="shared" si="24"/>
        <v>9.1044724272686447E-3</v>
      </c>
      <c r="I40" s="171">
        <f t="shared" si="25"/>
        <v>-2.0290436920639612E-2</v>
      </c>
      <c r="J40" s="1295"/>
      <c r="K40" s="3"/>
      <c r="L40" s="3"/>
      <c r="M40" s="3"/>
      <c r="N40" s="3"/>
      <c r="O40" s="3"/>
      <c r="P40" s="3"/>
      <c r="Q40" s="3"/>
      <c r="R40" s="3"/>
      <c r="S40" s="3"/>
      <c r="T40" s="3"/>
      <c r="U40" s="3"/>
      <c r="V40" s="3"/>
      <c r="W40" s="3"/>
    </row>
    <row r="41" spans="1:23" ht="15.75" customHeight="1">
      <c r="A41" s="3"/>
      <c r="B41" s="165" t="s">
        <v>308</v>
      </c>
      <c r="C41" s="166">
        <f>+Print_Mois!$K$175/Print_Mois!$J$175</f>
        <v>442.52294117647057</v>
      </c>
      <c r="D41" s="166">
        <f>+IFERROR(Print_Mois!$E$175/Print_Mois!$D$175,"")</f>
        <v>300</v>
      </c>
      <c r="E41" s="166">
        <f>+Print_Mois!$P$175/Print_Mois!$O$175</f>
        <v>289.85456445993032</v>
      </c>
      <c r="F41" s="167">
        <f t="shared" si="22"/>
        <v>142.52294117647057</v>
      </c>
      <c r="G41" s="168">
        <f t="shared" si="23"/>
        <v>152.66837671654025</v>
      </c>
      <c r="H41" s="170">
        <f t="shared" si="24"/>
        <v>0.47507647058823521</v>
      </c>
      <c r="I41" s="171">
        <f t="shared" si="25"/>
        <v>0.52670682278541525</v>
      </c>
      <c r="J41" s="1295"/>
      <c r="K41" s="3"/>
      <c r="L41" s="3"/>
      <c r="M41" s="3"/>
      <c r="N41" s="3"/>
      <c r="O41" s="3"/>
      <c r="P41" s="3"/>
      <c r="Q41" s="3"/>
      <c r="R41" s="3"/>
      <c r="S41" s="3"/>
      <c r="T41" s="3"/>
      <c r="U41" s="3"/>
      <c r="V41" s="3"/>
      <c r="W41" s="3"/>
    </row>
    <row r="42" spans="1:23" ht="15.75" customHeight="1">
      <c r="A42" s="3"/>
      <c r="B42" s="165" t="s">
        <v>309</v>
      </c>
      <c r="C42" s="166">
        <f>+Print_Mois!$L$184</f>
        <v>-2324.0300000000002</v>
      </c>
      <c r="D42" s="166">
        <f>+Print_Mois!$F$184</f>
        <v>-3337.9860131866349</v>
      </c>
      <c r="E42" s="166">
        <f>+Print_Mois!$Q$184</f>
        <v>-634.37</v>
      </c>
      <c r="F42" s="167">
        <f t="shared" si="22"/>
        <v>1013.9560131866347</v>
      </c>
      <c r="G42" s="168">
        <f t="shared" si="23"/>
        <v>-1689.6600000000003</v>
      </c>
      <c r="H42" s="170">
        <f t="shared" si="24"/>
        <v>0.30376281062323968</v>
      </c>
      <c r="I42" s="171">
        <f t="shared" si="25"/>
        <v>-2.6635244415719539</v>
      </c>
      <c r="J42" s="1295"/>
      <c r="K42" s="3"/>
      <c r="L42" s="3"/>
      <c r="M42" s="3"/>
      <c r="N42" s="3"/>
      <c r="O42" s="3"/>
      <c r="P42" s="3"/>
      <c r="Q42" s="3"/>
      <c r="R42" s="3"/>
      <c r="S42" s="3"/>
      <c r="T42" s="3"/>
      <c r="U42" s="3"/>
      <c r="V42" s="3"/>
      <c r="W42" s="3"/>
    </row>
    <row r="43" spans="1:23" ht="15.75" customHeight="1">
      <c r="A43" s="3"/>
      <c r="B43" s="165" t="s">
        <v>310</v>
      </c>
      <c r="C43" s="166">
        <f>+Print_Mois!$L$210</f>
        <v>115222.41</v>
      </c>
      <c r="D43" s="166">
        <f>+Print_Mois!$F$210</f>
        <v>145403.49154772557</v>
      </c>
      <c r="E43" s="166">
        <f>+Print_Mois!$Q$210</f>
        <v>101345.09999999999</v>
      </c>
      <c r="F43" s="167">
        <f t="shared" si="22"/>
        <v>-30181.081547725567</v>
      </c>
      <c r="G43" s="168">
        <f t="shared" si="23"/>
        <v>13877.310000000012</v>
      </c>
      <c r="H43" s="170">
        <f t="shared" si="24"/>
        <v>-0.20756779102391276</v>
      </c>
      <c r="I43" s="171">
        <f t="shared" si="25"/>
        <v>0.13693123791875497</v>
      </c>
      <c r="J43" s="1295"/>
      <c r="K43" s="3"/>
      <c r="L43" s="3"/>
      <c r="M43" s="3"/>
      <c r="N43" s="3"/>
      <c r="O43" s="3"/>
      <c r="P43" s="3"/>
      <c r="Q43" s="3"/>
      <c r="R43" s="3"/>
      <c r="S43" s="3"/>
      <c r="T43" s="3"/>
      <c r="U43" s="3"/>
      <c r="V43" s="3"/>
      <c r="W43" s="3"/>
    </row>
    <row r="44" spans="1:23" ht="15.75" customHeight="1">
      <c r="A44" s="3"/>
      <c r="B44" s="181" t="s">
        <v>311</v>
      </c>
      <c r="C44" s="166">
        <f>+SUM(Print_Mois!$L$198:$L$204)</f>
        <v>62584.67</v>
      </c>
      <c r="D44" s="166">
        <f>+SUM(Print_Mois!$F$198:$F$204)</f>
        <v>84986.959488935216</v>
      </c>
      <c r="E44" s="166">
        <f>+SUM(Print_Mois!$Q$198:$Q$204)</f>
        <v>58391.069999999992</v>
      </c>
      <c r="F44" s="167">
        <f t="shared" si="22"/>
        <v>-22402.289488935217</v>
      </c>
      <c r="G44" s="168">
        <f t="shared" si="23"/>
        <v>4193.6000000000058</v>
      </c>
      <c r="H44" s="170">
        <f t="shared" si="24"/>
        <v>-0.26359678736185238</v>
      </c>
      <c r="I44" s="171">
        <f t="shared" si="25"/>
        <v>7.1819201120993437E-2</v>
      </c>
      <c r="J44" s="1295"/>
      <c r="K44" s="3"/>
      <c r="L44" s="3"/>
      <c r="M44" s="3"/>
      <c r="N44" s="3"/>
      <c r="O44" s="3"/>
      <c r="P44" s="3"/>
      <c r="Q44" s="3"/>
      <c r="R44" s="3"/>
      <c r="S44" s="3"/>
      <c r="T44" s="3"/>
      <c r="U44" s="3"/>
      <c r="V44" s="3"/>
      <c r="W44" s="3"/>
    </row>
    <row r="45" spans="1:23" ht="14.4">
      <c r="A45" s="3"/>
      <c r="B45" s="181" t="s">
        <v>312</v>
      </c>
      <c r="C45" s="166">
        <f>+SUM(Print_Mois!$L$205:$L$209)</f>
        <v>52637.740000000005</v>
      </c>
      <c r="D45" s="166">
        <f>+SUM(Print_Mois!$F$205:$F$209)</f>
        <v>60416.532058790348</v>
      </c>
      <c r="E45" s="166">
        <f>+SUM(Print_Mois!$Q$205:$Q$209)</f>
        <v>42954.03</v>
      </c>
      <c r="F45" s="167">
        <f t="shared" si="22"/>
        <v>-7778.7920587903427</v>
      </c>
      <c r="G45" s="168">
        <f t="shared" si="23"/>
        <v>9683.7100000000064</v>
      </c>
      <c r="H45" s="170">
        <f t="shared" si="24"/>
        <v>-0.12875270714348394</v>
      </c>
      <c r="I45" s="171">
        <f t="shared" si="25"/>
        <v>0.22544357304774446</v>
      </c>
      <c r="J45" s="1295"/>
      <c r="K45" s="3"/>
      <c r="L45" s="3"/>
      <c r="M45" s="3"/>
      <c r="N45" s="3"/>
      <c r="O45" s="3"/>
      <c r="P45" s="3"/>
      <c r="Q45" s="3"/>
      <c r="R45" s="3"/>
      <c r="S45" s="3"/>
      <c r="T45" s="3"/>
      <c r="U45" s="3"/>
      <c r="V45" s="3"/>
      <c r="W45" s="3"/>
    </row>
    <row r="46" spans="1:23" ht="14.4">
      <c r="A46" s="3"/>
      <c r="B46" s="165" t="s">
        <v>313</v>
      </c>
      <c r="C46" s="169">
        <f t="shared" ref="C46:E46" si="26">+C43/C38</f>
        <v>0.37288413633189943</v>
      </c>
      <c r="D46" s="169">
        <f t="shared" si="26"/>
        <v>0.44137023641481665</v>
      </c>
      <c r="E46" s="169">
        <f t="shared" si="26"/>
        <v>0.32502180172705081</v>
      </c>
      <c r="F46" s="172">
        <f t="shared" si="22"/>
        <v>-6.8486100082917223E-2</v>
      </c>
      <c r="G46" s="173">
        <f t="shared" si="23"/>
        <v>4.7862334604848622E-2</v>
      </c>
      <c r="H46" s="170">
        <f t="shared" si="24"/>
        <v>-0.15516701044279607</v>
      </c>
      <c r="I46" s="171">
        <f t="shared" si="25"/>
        <v>0.14725884340842713</v>
      </c>
      <c r="J46" s="1295"/>
      <c r="K46" s="3"/>
      <c r="L46" s="3"/>
      <c r="M46" s="3"/>
      <c r="N46" s="3"/>
      <c r="O46" s="3"/>
      <c r="P46" s="3"/>
      <c r="Q46" s="3"/>
      <c r="R46" s="3"/>
      <c r="S46" s="3"/>
      <c r="T46" s="3"/>
      <c r="U46" s="3"/>
      <c r="V46" s="3"/>
      <c r="W46" s="3"/>
    </row>
    <row r="47" spans="1:23" ht="14.4">
      <c r="A47" s="3"/>
      <c r="B47" s="205" t="s">
        <v>131</v>
      </c>
      <c r="C47" s="184">
        <f>+Print_Mois!$L$213</f>
        <v>9445.2999999999993</v>
      </c>
      <c r="D47" s="184">
        <f>+Print_Mois!$F$213</f>
        <v>14083.739355555555</v>
      </c>
      <c r="E47" s="184">
        <f>+Print_Mois!$Q$213</f>
        <v>10165.459999999999</v>
      </c>
      <c r="F47" s="185">
        <f t="shared" si="22"/>
        <v>-4638.4393555555562</v>
      </c>
      <c r="G47" s="186">
        <f t="shared" si="23"/>
        <v>-720.15999999999985</v>
      </c>
      <c r="H47" s="187">
        <f t="shared" si="24"/>
        <v>-0.32934714555945327</v>
      </c>
      <c r="I47" s="188">
        <f t="shared" si="25"/>
        <v>-7.0843818184322199E-2</v>
      </c>
      <c r="J47" s="1296"/>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589674.65</v>
      </c>
      <c r="D50" s="200">
        <f>+Print_Mois!$D$314</f>
        <v>543337.74558988074</v>
      </c>
      <c r="E50" s="200">
        <f>+Print_Mois!$O$314</f>
        <v>543573.29999999993</v>
      </c>
      <c r="F50" s="201">
        <f t="shared" ref="F50:F59" si="27">+IFERROR($C50-D50,"")</f>
        <v>46336.904410119285</v>
      </c>
      <c r="G50" s="202">
        <f t="shared" ref="G50:G59" si="28">+IFERROR($C50-E50,"")</f>
        <v>46101.350000000093</v>
      </c>
      <c r="H50" s="163">
        <f t="shared" ref="H50:H59" si="29">+IFERROR(F50/ABS($D50),"")</f>
        <v>8.5281953602934585E-2</v>
      </c>
      <c r="I50" s="164">
        <f t="shared" ref="I50:I59" si="30">+IFERROR(G50/ABS($E50),"")</f>
        <v>8.4811652816648833E-2</v>
      </c>
      <c r="J50" s="1294" t="s">
        <v>3922</v>
      </c>
      <c r="K50" s="3"/>
      <c r="L50" s="3"/>
      <c r="M50" s="3"/>
      <c r="N50" s="3"/>
      <c r="O50" s="3"/>
      <c r="P50" s="3"/>
      <c r="Q50" s="3"/>
      <c r="R50" s="3"/>
      <c r="S50" s="3"/>
      <c r="T50" s="3"/>
      <c r="U50" s="3"/>
      <c r="V50" s="3"/>
      <c r="W50" s="3"/>
    </row>
    <row r="51" spans="1:23" ht="15.75" customHeight="1">
      <c r="A51" s="3"/>
      <c r="B51" s="181" t="s">
        <v>315</v>
      </c>
      <c r="C51" s="166">
        <f>+Print_Mois!$J$295</f>
        <v>68042.28</v>
      </c>
      <c r="D51" s="166">
        <f>+Print_Mois!$D$295</f>
        <v>84563.812897634314</v>
      </c>
      <c r="E51" s="166">
        <f>+Print_Mois!$O$295</f>
        <v>76633.429999999993</v>
      </c>
      <c r="F51" s="167">
        <f t="shared" si="27"/>
        <v>-16521.532897634315</v>
      </c>
      <c r="G51" s="168">
        <f t="shared" si="28"/>
        <v>-8591.1499999999942</v>
      </c>
      <c r="H51" s="170">
        <f t="shared" si="29"/>
        <v>-0.19537355674387416</v>
      </c>
      <c r="I51" s="171">
        <f t="shared" si="30"/>
        <v>-0.11210707911677704</v>
      </c>
      <c r="J51" s="1295"/>
      <c r="K51" s="3"/>
      <c r="L51" s="3"/>
      <c r="M51" s="3"/>
      <c r="N51" s="3"/>
      <c r="O51" s="3"/>
      <c r="P51" s="3"/>
      <c r="Q51" s="3"/>
      <c r="R51" s="3"/>
      <c r="S51" s="3"/>
      <c r="T51" s="3"/>
      <c r="U51" s="3"/>
      <c r="V51" s="3"/>
      <c r="W51" s="3"/>
    </row>
    <row r="52" spans="1:23" ht="15.75" customHeight="1">
      <c r="A52" s="3"/>
      <c r="B52" s="181" t="s">
        <v>316</v>
      </c>
      <c r="C52" s="166">
        <f>+Print_Mois!$J$297</f>
        <v>68776.240000000005</v>
      </c>
      <c r="D52" s="166">
        <f>+Print_Mois!$D$297</f>
        <v>99102.372013531742</v>
      </c>
      <c r="E52" s="166">
        <f>+Print_Mois!$O$297</f>
        <v>136018.10999999999</v>
      </c>
      <c r="F52" s="167">
        <f t="shared" si="27"/>
        <v>-30326.132013531736</v>
      </c>
      <c r="G52" s="168">
        <f t="shared" si="28"/>
        <v>-67241.869999999981</v>
      </c>
      <c r="H52" s="170">
        <f t="shared" si="29"/>
        <v>-0.30600813479409872</v>
      </c>
      <c r="I52" s="171">
        <f t="shared" si="30"/>
        <v>-0.49435968489784182</v>
      </c>
      <c r="J52" s="1295"/>
      <c r="K52" s="3"/>
      <c r="L52" s="3"/>
      <c r="M52" s="3"/>
      <c r="N52" s="3"/>
      <c r="O52" s="3"/>
      <c r="P52" s="3"/>
      <c r="Q52" s="3"/>
      <c r="R52" s="3"/>
      <c r="S52" s="3"/>
      <c r="T52" s="3"/>
      <c r="U52" s="3"/>
      <c r="V52" s="3"/>
      <c r="W52" s="3"/>
    </row>
    <row r="53" spans="1:23" ht="15.75" customHeight="1">
      <c r="A53" s="3"/>
      <c r="B53" s="181" t="s">
        <v>317</v>
      </c>
      <c r="C53" s="166">
        <f>+Print_Mois!$J$300</f>
        <v>280445.62</v>
      </c>
      <c r="D53" s="166">
        <f>+Print_Mois!$D$300</f>
        <v>186966.86885141459</v>
      </c>
      <c r="E53" s="166">
        <f>+Print_Mois!$O$300</f>
        <v>219537.13</v>
      </c>
      <c r="F53" s="167">
        <f t="shared" si="27"/>
        <v>93478.751148585405</v>
      </c>
      <c r="G53" s="168">
        <f t="shared" si="28"/>
        <v>60908.489999999991</v>
      </c>
      <c r="H53" s="170">
        <f t="shared" si="29"/>
        <v>0.49997495129938979</v>
      </c>
      <c r="I53" s="171">
        <f t="shared" si="30"/>
        <v>0.27744049491764783</v>
      </c>
      <c r="J53" s="1295"/>
      <c r="K53" s="3"/>
      <c r="L53" s="3"/>
      <c r="M53" s="3"/>
      <c r="N53" s="3"/>
      <c r="O53" s="3"/>
      <c r="P53" s="3"/>
      <c r="Q53" s="3"/>
      <c r="R53" s="3"/>
      <c r="S53" s="3"/>
      <c r="T53" s="3"/>
      <c r="U53" s="3"/>
      <c r="V53" s="3"/>
      <c r="W53" s="3"/>
    </row>
    <row r="54" spans="1:23" ht="15.75" customHeight="1">
      <c r="A54" s="3"/>
      <c r="B54" s="181" t="s">
        <v>318</v>
      </c>
      <c r="C54" s="166">
        <f>+Print_Mois!$J$307</f>
        <v>39869.18</v>
      </c>
      <c r="D54" s="166">
        <f>+Print_Mois!$D$307</f>
        <v>29677.516171196814</v>
      </c>
      <c r="E54" s="166">
        <f>+Print_Mois!$O$307</f>
        <v>28787.21</v>
      </c>
      <c r="F54" s="167">
        <f t="shared" si="27"/>
        <v>10191.663828803186</v>
      </c>
      <c r="G54" s="168">
        <f t="shared" si="28"/>
        <v>11081.970000000001</v>
      </c>
      <c r="H54" s="170">
        <f t="shared" si="29"/>
        <v>0.34341363913380979</v>
      </c>
      <c r="I54" s="171">
        <f t="shared" si="30"/>
        <v>0.38496158537072545</v>
      </c>
      <c r="J54" s="1295"/>
      <c r="K54" s="3"/>
      <c r="L54" s="3"/>
      <c r="M54" s="3"/>
      <c r="N54" s="3"/>
      <c r="O54" s="3"/>
      <c r="P54" s="3"/>
      <c r="Q54" s="3"/>
      <c r="R54" s="3"/>
      <c r="S54" s="3"/>
      <c r="T54" s="3"/>
      <c r="U54" s="3"/>
      <c r="V54" s="3"/>
      <c r="W54" s="3"/>
    </row>
    <row r="55" spans="1:23" ht="15.75" customHeight="1">
      <c r="A55" s="3"/>
      <c r="B55" s="181" t="s">
        <v>319</v>
      </c>
      <c r="C55" s="166">
        <f t="shared" ref="C55:E55" si="31">+C50-SUM(C51:C54)</f>
        <v>132541.33000000002</v>
      </c>
      <c r="D55" s="166">
        <f t="shared" si="31"/>
        <v>143027.1756561033</v>
      </c>
      <c r="E55" s="166">
        <f t="shared" si="31"/>
        <v>82597.419999999925</v>
      </c>
      <c r="F55" s="167">
        <f t="shared" si="27"/>
        <v>-10485.84565610328</v>
      </c>
      <c r="G55" s="168">
        <f t="shared" si="28"/>
        <v>49943.910000000091</v>
      </c>
      <c r="H55" s="170">
        <f t="shared" si="29"/>
        <v>-7.3313659505628542E-2</v>
      </c>
      <c r="I55" s="171">
        <f t="shared" si="30"/>
        <v>0.60466670750733054</v>
      </c>
      <c r="J55" s="1295"/>
      <c r="K55" s="3"/>
      <c r="L55" s="3"/>
      <c r="M55" s="3"/>
      <c r="N55" s="3"/>
      <c r="O55" s="3"/>
      <c r="P55" s="3"/>
      <c r="Q55" s="3"/>
      <c r="R55" s="3"/>
      <c r="S55" s="3"/>
      <c r="T55" s="3"/>
      <c r="U55" s="3"/>
      <c r="V55" s="3"/>
      <c r="W55" s="3"/>
    </row>
    <row r="56" spans="1:23" ht="15.75" customHeight="1">
      <c r="A56" s="3"/>
      <c r="B56" s="159" t="s">
        <v>306</v>
      </c>
      <c r="C56" s="200">
        <f>+Print_Mois!$L$314</f>
        <v>155663.01999999999</v>
      </c>
      <c r="D56" s="200">
        <f>+Print_Mois!$F$314</f>
        <v>152441.53831981274</v>
      </c>
      <c r="E56" s="200">
        <f>+Print_Mois!$Q$314</f>
        <v>122287.42999999979</v>
      </c>
      <c r="F56" s="201">
        <f t="shared" si="27"/>
        <v>3221.4816801872512</v>
      </c>
      <c r="G56" s="202">
        <f t="shared" si="28"/>
        <v>33375.5900000002</v>
      </c>
      <c r="H56" s="203">
        <f t="shared" si="29"/>
        <v>2.1132571316807271E-2</v>
      </c>
      <c r="I56" s="204">
        <f t="shared" si="30"/>
        <v>0.2729273973621022</v>
      </c>
      <c r="J56" s="1295"/>
      <c r="K56" s="3"/>
      <c r="L56" s="3"/>
      <c r="M56" s="3"/>
      <c r="N56" s="3"/>
      <c r="O56" s="3"/>
      <c r="P56" s="3"/>
      <c r="Q56" s="3"/>
      <c r="R56" s="3"/>
      <c r="S56" s="3"/>
      <c r="T56" s="3"/>
      <c r="U56" s="3"/>
      <c r="V56" s="3"/>
      <c r="W56" s="3"/>
    </row>
    <row r="57" spans="1:23" ht="15.75" customHeight="1">
      <c r="A57" s="3"/>
      <c r="B57" s="165" t="s">
        <v>307</v>
      </c>
      <c r="C57" s="166">
        <f>+Print_Mois!$J$295/Print_Mois!$J$172</f>
        <v>206.81544072948327</v>
      </c>
      <c r="D57" s="166">
        <f>+IFERROR(Print_Mois!$D$295/Print_Mois!$D$172,"")</f>
        <v>228.31537410753913</v>
      </c>
      <c r="E57" s="166">
        <f>+Print_Mois!$O$295/Print_Mois!$O$172</f>
        <v>225.39244117647056</v>
      </c>
      <c r="F57" s="167">
        <f t="shared" si="27"/>
        <v>-21.499933378055857</v>
      </c>
      <c r="G57" s="168">
        <f t="shared" si="28"/>
        <v>-18.577000446987284</v>
      </c>
      <c r="H57" s="170">
        <f t="shared" si="29"/>
        <v>-9.4167698789872759E-2</v>
      </c>
      <c r="I57" s="171">
        <f t="shared" si="30"/>
        <v>-8.2420689664754368E-2</v>
      </c>
      <c r="J57" s="1295"/>
      <c r="K57" s="3"/>
      <c r="L57" s="3"/>
      <c r="M57" s="3"/>
      <c r="N57" s="3"/>
      <c r="O57" s="3"/>
      <c r="P57" s="3"/>
      <c r="Q57" s="3"/>
      <c r="R57" s="3"/>
      <c r="S57" s="3"/>
      <c r="T57" s="3"/>
      <c r="U57" s="3"/>
      <c r="V57" s="3"/>
      <c r="W57" s="3"/>
    </row>
    <row r="58" spans="1:23" ht="15.75" customHeight="1">
      <c r="A58" s="3"/>
      <c r="B58" s="165" t="s">
        <v>308</v>
      </c>
      <c r="C58" s="166">
        <f>+Print_Mois!$J$297/Print_Mois!$J$175</f>
        <v>404.56611764705883</v>
      </c>
      <c r="D58" s="166">
        <f>+IFERROR(Print_Mois!$D$297/Print_Mois!$D$175,"")</f>
        <v>340.65470939486408</v>
      </c>
      <c r="E58" s="166">
        <f>+Print_Mois!$O$297/Print_Mois!$O$175</f>
        <v>473.93069686411144</v>
      </c>
      <c r="F58" s="167">
        <f t="shared" si="27"/>
        <v>63.911408252194747</v>
      </c>
      <c r="G58" s="168">
        <f t="shared" si="28"/>
        <v>-69.364579217052608</v>
      </c>
      <c r="H58" s="170">
        <f t="shared" si="29"/>
        <v>0.18761345870053106</v>
      </c>
      <c r="I58" s="171">
        <f t="shared" si="30"/>
        <v>-0.14636017391576828</v>
      </c>
      <c r="J58" s="1295"/>
      <c r="K58" s="3"/>
      <c r="L58" s="3"/>
      <c r="M58" s="3"/>
      <c r="N58" s="3"/>
      <c r="O58" s="3"/>
      <c r="P58" s="3"/>
      <c r="Q58" s="3"/>
      <c r="R58" s="3"/>
      <c r="S58" s="3"/>
      <c r="T58" s="3"/>
      <c r="U58" s="3"/>
      <c r="V58" s="3"/>
      <c r="W58" s="3"/>
    </row>
    <row r="59" spans="1:23" ht="15.75" customHeight="1">
      <c r="A59" s="3"/>
      <c r="B59" s="205" t="s">
        <v>122</v>
      </c>
      <c r="C59" s="184">
        <f>+Print_Mois!$L$320</f>
        <v>6588.69</v>
      </c>
      <c r="D59" s="184">
        <f>+Print_Mois!$F$320</f>
        <v>0</v>
      </c>
      <c r="E59" s="184">
        <f>+Print_Mois!$Q$320</f>
        <v>113.92</v>
      </c>
      <c r="F59" s="185">
        <f t="shared" si="27"/>
        <v>6588.69</v>
      </c>
      <c r="G59" s="186">
        <f t="shared" si="28"/>
        <v>6474.7699999999995</v>
      </c>
      <c r="H59" s="187" t="str">
        <f t="shared" si="29"/>
        <v/>
      </c>
      <c r="I59" s="188">
        <f t="shared" si="30"/>
        <v>56.836113061797747</v>
      </c>
      <c r="J59" s="1296"/>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0.4574902448995487</v>
      </c>
      <c r="D62" s="169">
        <f>+Print_Mois!$Z$433/Print_Mois!$Z$407</f>
        <v>0.39249961480415063</v>
      </c>
      <c r="E62" s="169">
        <f>+Print_Mois!$AL$433/Print_Mois!$AL$407</f>
        <v>0.45933094093815063</v>
      </c>
      <c r="F62" s="172">
        <f t="shared" ref="F62:G67" si="32">+IFERROR($C62-D62,"")</f>
        <v>6.4990630095398072E-2</v>
      </c>
      <c r="G62" s="173">
        <f t="shared" si="32"/>
        <v>-1.84069603860193E-3</v>
      </c>
      <c r="H62" s="170">
        <f t="shared" ref="H62:H67" si="33">+IFERROR(F62/ABS($D62),"")</f>
        <v>0.16558138567302055</v>
      </c>
      <c r="I62" s="171">
        <f t="shared" ref="I62:I67" si="34">+IFERROR(G62/ABS($E62),"")</f>
        <v>-4.0073417106246748E-3</v>
      </c>
      <c r="J62" s="1294"/>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95"/>
      <c r="K63" s="3"/>
      <c r="L63" s="3"/>
      <c r="M63" s="3"/>
      <c r="N63" s="3"/>
      <c r="O63" s="3"/>
      <c r="P63" s="3"/>
      <c r="Q63" s="3"/>
      <c r="R63" s="3"/>
      <c r="S63" s="3"/>
      <c r="T63" s="3"/>
      <c r="U63" s="3"/>
      <c r="V63" s="3"/>
      <c r="W63" s="3"/>
    </row>
    <row r="64" spans="1:23" ht="15.75" customHeight="1">
      <c r="A64" s="3"/>
      <c r="B64" s="181" t="s">
        <v>323</v>
      </c>
      <c r="C64" s="166">
        <f>N17+Print_Mois!$AF$414+Print_Mois!$AF$434</f>
        <v>8785.09</v>
      </c>
      <c r="D64" s="166">
        <f>+Print_Mois!$Z$414+Print_Mois!$Z$434</f>
        <v>18779.75</v>
      </c>
      <c r="E64" s="166">
        <f>+Print_Mois!$AL$414+Print_Mois!$AL$434</f>
        <v>50088.98</v>
      </c>
      <c r="F64" s="167">
        <f t="shared" si="32"/>
        <v>-9994.66</v>
      </c>
      <c r="G64" s="168">
        <f t="shared" si="32"/>
        <v>-41303.89</v>
      </c>
      <c r="H64" s="170">
        <f t="shared" si="33"/>
        <v>-0.53220410282352004</v>
      </c>
      <c r="I64" s="171">
        <f t="shared" si="34"/>
        <v>-0.82461032346835561</v>
      </c>
      <c r="J64" s="1295"/>
      <c r="K64" s="3"/>
      <c r="L64" s="3"/>
      <c r="M64" s="3"/>
      <c r="N64" s="3"/>
      <c r="O64" s="3"/>
      <c r="P64" s="3"/>
      <c r="Q64" s="3"/>
      <c r="R64" s="3"/>
      <c r="S64" s="3"/>
      <c r="T64" s="3"/>
      <c r="U64" s="3"/>
      <c r="V64" s="3"/>
      <c r="W64" s="3"/>
    </row>
    <row r="65" spans="1:23" ht="15.75" customHeight="1">
      <c r="A65" s="3"/>
      <c r="B65" s="181" t="s">
        <v>324</v>
      </c>
      <c r="C65" s="166">
        <f>+Print_Mois!$AF$452-Print_Mois!$AF$434</f>
        <v>108678.00000000001</v>
      </c>
      <c r="D65" s="166">
        <f>+Print_Mois!$Z$452-Print_Mois!$Z$434</f>
        <v>119106.50025808526</v>
      </c>
      <c r="E65" s="166">
        <f>+Print_Mois!$AL$452-Print_Mois!$AL$434</f>
        <v>128328.93000000002</v>
      </c>
      <c r="F65" s="167">
        <f t="shared" si="32"/>
        <v>-10428.500258085245</v>
      </c>
      <c r="G65" s="168">
        <f t="shared" si="32"/>
        <v>-19650.930000000008</v>
      </c>
      <c r="H65" s="170">
        <f t="shared" si="33"/>
        <v>-8.7556096732657809E-2</v>
      </c>
      <c r="I65" s="171">
        <f t="shared" si="34"/>
        <v>-0.153129383997825</v>
      </c>
      <c r="J65" s="1295"/>
      <c r="K65" s="3"/>
      <c r="L65" s="3"/>
      <c r="M65" s="3"/>
      <c r="N65" s="3"/>
      <c r="O65" s="3"/>
      <c r="P65" s="3"/>
      <c r="Q65" s="3"/>
      <c r="R65" s="3"/>
      <c r="S65" s="3"/>
      <c r="T65" s="3"/>
      <c r="U65" s="3"/>
      <c r="V65" s="3"/>
      <c r="W65" s="3"/>
    </row>
    <row r="66" spans="1:23" ht="15.75" customHeight="1">
      <c r="A66" s="3"/>
      <c r="B66" s="181" t="s">
        <v>325</v>
      </c>
      <c r="C66" s="166">
        <f>+Print_Mois!$AF$415</f>
        <v>29401.980000000003</v>
      </c>
      <c r="D66" s="166">
        <f>+Print_Mois!$Z$415</f>
        <v>23826.588261326917</v>
      </c>
      <c r="E66" s="166">
        <f>+Print_Mois!$AL$415</f>
        <v>26082.329999999998</v>
      </c>
      <c r="F66" s="167">
        <f t="shared" si="32"/>
        <v>5575.3917386730864</v>
      </c>
      <c r="G66" s="168">
        <f t="shared" si="32"/>
        <v>3319.6500000000051</v>
      </c>
      <c r="H66" s="170">
        <f t="shared" si="33"/>
        <v>0.23399874449178018</v>
      </c>
      <c r="I66" s="171">
        <f t="shared" si="34"/>
        <v>0.127275822367097</v>
      </c>
      <c r="J66" s="1295"/>
      <c r="K66" s="3"/>
      <c r="L66" s="3"/>
      <c r="M66" s="3"/>
      <c r="N66" s="3"/>
      <c r="O66" s="3"/>
      <c r="P66" s="3"/>
      <c r="Q66" s="3"/>
      <c r="R66" s="3"/>
      <c r="S66" s="3"/>
      <c r="T66" s="3"/>
      <c r="U66" s="3"/>
      <c r="V66" s="3"/>
      <c r="W66" s="3"/>
    </row>
    <row r="67" spans="1:23" ht="14.4">
      <c r="A67" s="3"/>
      <c r="B67" s="183" t="s">
        <v>326</v>
      </c>
      <c r="C67" s="184">
        <f>+Print_Mois!$AF$481-C32-C15</f>
        <v>50186.139999999985</v>
      </c>
      <c r="D67" s="184">
        <f>+Print_Mois!$Z$481-D32-D15</f>
        <v>20000</v>
      </c>
      <c r="E67" s="184">
        <f>+Print_Mois!$AL$481-E32-E15</f>
        <v>42727.950000000012</v>
      </c>
      <c r="F67" s="185">
        <f t="shared" si="32"/>
        <v>30186.139999999985</v>
      </c>
      <c r="G67" s="186">
        <f t="shared" si="32"/>
        <v>7458.1899999999732</v>
      </c>
      <c r="H67" s="187">
        <f t="shared" si="33"/>
        <v>1.5093069999999993</v>
      </c>
      <c r="I67" s="188">
        <f t="shared" si="34"/>
        <v>0.17455061616576437</v>
      </c>
      <c r="J67" s="1296"/>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118986.87</v>
      </c>
      <c r="D70" s="166">
        <f>+Print_Mois!$Z$419-Print_Mois!$Z$415+Print_Mois!$Z$434+Print_Mois!$Z$435+Print_Mois!$Z$436</f>
        <v>196672.9595315702</v>
      </c>
      <c r="E70" s="166">
        <f>+Print_Mois!$AL$419-Print_Mois!$AL$415+Print_Mois!$AL$434+Print_Mois!$AL$435+Print_Mois!$AL$436</f>
        <v>161823.91000000003</v>
      </c>
      <c r="F70" s="225">
        <f t="shared" ref="F70:G77" si="35">+IFERROR($C70-D70,"")</f>
        <v>-77686.089531570207</v>
      </c>
      <c r="G70" s="226">
        <f t="shared" si="35"/>
        <v>-42837.040000000037</v>
      </c>
      <c r="H70" s="170">
        <f t="shared" ref="H70:H77" si="36">+IFERROR(F70/ABS($D70),"")</f>
        <v>-0.39500137546412389</v>
      </c>
      <c r="I70" s="171">
        <f t="shared" ref="I70:I77" si="37">+IFERROR(G70/ABS($E70),"")</f>
        <v>-0.26471391032388247</v>
      </c>
      <c r="J70" s="1294" t="s">
        <v>3923</v>
      </c>
      <c r="K70" s="3"/>
      <c r="L70" s="3"/>
      <c r="M70" s="3"/>
      <c r="N70" s="3"/>
      <c r="O70" s="3"/>
      <c r="P70" s="3"/>
      <c r="Q70" s="3"/>
      <c r="R70" s="3"/>
      <c r="S70" s="3"/>
      <c r="T70" s="3"/>
      <c r="U70" s="3"/>
      <c r="V70" s="3"/>
      <c r="W70" s="3"/>
    </row>
    <row r="71" spans="1:23" ht="15.75" customHeight="1">
      <c r="A71" s="3"/>
      <c r="B71" s="181" t="s">
        <v>329</v>
      </c>
      <c r="C71" s="169">
        <f>+C70/Print_Mois!$AF$407</f>
        <v>0.19438787332798174</v>
      </c>
      <c r="D71" s="169">
        <f>+D70/Print_Mois!$Z$407</f>
        <v>0.23224925381789677</v>
      </c>
      <c r="E71" s="169">
        <f>+E70/Print_Mois!$AL$407</f>
        <v>0.26625468881655184</v>
      </c>
      <c r="F71" s="172">
        <f t="shared" si="35"/>
        <v>-3.7861380489915025E-2</v>
      </c>
      <c r="G71" s="173">
        <f t="shared" si="35"/>
        <v>-7.1866815488570102E-2</v>
      </c>
      <c r="H71" s="170">
        <f t="shared" si="36"/>
        <v>-0.16302046128252182</v>
      </c>
      <c r="I71" s="171">
        <f t="shared" si="37"/>
        <v>-0.26991755828978464</v>
      </c>
      <c r="J71" s="1295"/>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482512.55</v>
      </c>
      <c r="D72" s="166">
        <f>+Print_Mois!$Z$466+Print_Mois!$Z$433+Print_Mois!$Z$437+Print_Mois!$Z$439+SUM(Print_Mois!$Z$440:$Z$448)+Print_Mois!$Z$438</f>
        <v>535486.92635244736</v>
      </c>
      <c r="E72" s="166">
        <f>+Print_Mois!$AL$466+Print_Mois!$AL$433+Print_Mois!$AL$437+Print_Mois!$AL$439+SUM(Print_Mois!$AL$440:$AL$448)+Print_Mois!$AL$438</f>
        <v>448131.56999999983</v>
      </c>
      <c r="F72" s="167">
        <f t="shared" si="35"/>
        <v>-52974.376352447376</v>
      </c>
      <c r="G72" s="168">
        <f t="shared" si="35"/>
        <v>34380.980000000156</v>
      </c>
      <c r="H72" s="170">
        <f t="shared" si="36"/>
        <v>-9.8927487760141208E-2</v>
      </c>
      <c r="I72" s="171">
        <f t="shared" si="37"/>
        <v>7.672072735246073E-2</v>
      </c>
      <c r="J72" s="1295"/>
      <c r="K72" s="3"/>
      <c r="L72" s="3"/>
      <c r="M72" s="3"/>
      <c r="N72" s="3"/>
      <c r="O72" s="3"/>
      <c r="P72" s="3"/>
      <c r="Q72" s="3"/>
      <c r="R72" s="3"/>
      <c r="S72" s="3"/>
      <c r="T72" s="3"/>
      <c r="U72" s="3"/>
      <c r="V72" s="3"/>
      <c r="W72" s="3"/>
    </row>
    <row r="73" spans="1:23" ht="15.75" customHeight="1">
      <c r="A73" s="3"/>
      <c r="B73" s="181" t="s">
        <v>331</v>
      </c>
      <c r="C73" s="169">
        <f>+C72/Print_Mois!$AF$407</f>
        <v>0.78827679430983821</v>
      </c>
      <c r="D73" s="169">
        <f>+D72/Print_Mois!$Z$407</f>
        <v>0.63235149036658234</v>
      </c>
      <c r="E73" s="169">
        <f>+E72/Print_Mois!$AL$407</f>
        <v>0.73732696064025849</v>
      </c>
      <c r="F73" s="172">
        <f t="shared" si="35"/>
        <v>0.15592530394325588</v>
      </c>
      <c r="G73" s="173">
        <f t="shared" si="35"/>
        <v>5.0949833669579725E-2</v>
      </c>
      <c r="H73" s="170">
        <f t="shared" si="36"/>
        <v>0.24658011615164213</v>
      </c>
      <c r="I73" s="171">
        <f t="shared" si="37"/>
        <v>6.9100733310141535E-2</v>
      </c>
      <c r="J73" s="1295"/>
      <c r="K73" s="3"/>
      <c r="L73" s="3"/>
      <c r="M73" s="3"/>
      <c r="N73" s="3"/>
      <c r="O73" s="3"/>
      <c r="P73" s="3"/>
      <c r="Q73" s="3"/>
      <c r="R73" s="3"/>
      <c r="S73" s="3"/>
      <c r="T73" s="3"/>
      <c r="U73" s="3"/>
      <c r="V73" s="3"/>
      <c r="W73" s="3"/>
    </row>
    <row r="74" spans="1:23" ht="15.75" customHeight="1">
      <c r="A74" s="1"/>
      <c r="B74" s="211" t="s">
        <v>332</v>
      </c>
      <c r="C74" s="200">
        <f>+Print_Mois!$AF$483+Print_Mois!$AF$415</f>
        <v>262063.13000000015</v>
      </c>
      <c r="D74" s="200">
        <f>+Print_Mois!$Z$483+Print_Mois!$Z$415</f>
        <v>326582.47507655615</v>
      </c>
      <c r="E74" s="200">
        <f>+Print_Mois!$AL$483+Print_Mois!$AL$415</f>
        <v>148073.09999999948</v>
      </c>
      <c r="F74" s="201">
        <f t="shared" si="35"/>
        <v>-64519.345076555997</v>
      </c>
      <c r="G74" s="202">
        <f t="shared" si="35"/>
        <v>113990.03000000067</v>
      </c>
      <c r="H74" s="203">
        <f t="shared" si="36"/>
        <v>-0.19755911599797765</v>
      </c>
      <c r="I74" s="204">
        <f t="shared" si="37"/>
        <v>0.76982267542180904</v>
      </c>
      <c r="J74" s="1295"/>
      <c r="K74" s="1"/>
      <c r="L74" s="1"/>
      <c r="M74" s="1"/>
      <c r="N74" s="1"/>
      <c r="O74" s="1"/>
      <c r="P74" s="1"/>
      <c r="Q74" s="1"/>
      <c r="R74" s="1"/>
      <c r="S74" s="1"/>
      <c r="T74" s="1"/>
      <c r="U74" s="1"/>
      <c r="V74" s="1"/>
      <c r="W74" s="1"/>
    </row>
    <row r="75" spans="1:23" ht="15.75" customHeight="1">
      <c r="A75" s="3"/>
      <c r="B75" s="165" t="s">
        <v>333</v>
      </c>
      <c r="C75" s="227">
        <f>+C74/Print_Mois!$AF$406</f>
        <v>4.4845901450746233E-2</v>
      </c>
      <c r="D75" s="227">
        <f>+D74/Print_Mois!$Z$406</f>
        <v>5.4451234924022117E-2</v>
      </c>
      <c r="E75" s="227">
        <f>+E74/Print_Mois!$AL$406</f>
        <v>3.2458181434073002E-2</v>
      </c>
      <c r="F75" s="172">
        <f t="shared" si="35"/>
        <v>-9.6053334732758844E-3</v>
      </c>
      <c r="G75" s="173">
        <f t="shared" si="35"/>
        <v>1.238772001667323E-2</v>
      </c>
      <c r="H75" s="170">
        <f t="shared" si="36"/>
        <v>-0.17640249090178711</v>
      </c>
      <c r="I75" s="171">
        <f t="shared" si="37"/>
        <v>0.38165169671734017</v>
      </c>
      <c r="J75" s="1295"/>
      <c r="K75" s="3"/>
      <c r="L75" s="3"/>
      <c r="M75" s="3"/>
      <c r="N75" s="3"/>
      <c r="O75" s="3"/>
      <c r="P75" s="3"/>
      <c r="Q75" s="3"/>
      <c r="R75" s="3"/>
      <c r="S75" s="3"/>
      <c r="T75" s="3"/>
      <c r="U75" s="3"/>
      <c r="V75" s="3"/>
      <c r="W75" s="3"/>
    </row>
    <row r="76" spans="1:23" ht="15.75" customHeight="1">
      <c r="A76" s="1"/>
      <c r="B76" s="211" t="s">
        <v>334</v>
      </c>
      <c r="C76" s="200">
        <f>N9+Print_Mois!$AF$498</f>
        <v>245121.41000000015</v>
      </c>
      <c r="D76" s="200">
        <f>+Print_Mois!$Z$498</f>
        <v>293239.22014856257</v>
      </c>
      <c r="E76" s="200">
        <f>+Print_Mois!$AL$498</f>
        <v>80421.769999999495</v>
      </c>
      <c r="F76" s="201">
        <f t="shared" si="35"/>
        <v>-48117.810148562421</v>
      </c>
      <c r="G76" s="202">
        <f t="shared" si="35"/>
        <v>164699.64000000065</v>
      </c>
      <c r="H76" s="203">
        <f t="shared" si="36"/>
        <v>-0.16409063604856367</v>
      </c>
      <c r="I76" s="204">
        <f t="shared" si="37"/>
        <v>2.0479484597267841</v>
      </c>
      <c r="J76" s="1295"/>
      <c r="K76" s="1"/>
      <c r="L76" s="1"/>
      <c r="M76" s="1"/>
      <c r="N76" s="1"/>
      <c r="O76" s="1"/>
      <c r="P76" s="1"/>
      <c r="Q76" s="1"/>
      <c r="R76" s="1"/>
      <c r="S76" s="1"/>
      <c r="T76" s="1"/>
      <c r="U76" s="1"/>
      <c r="V76" s="1"/>
      <c r="W76" s="1"/>
    </row>
    <row r="77" spans="1:23" ht="15.75" customHeight="1">
      <c r="A77" s="3"/>
      <c r="B77" s="183" t="s">
        <v>335</v>
      </c>
      <c r="C77" s="228">
        <f>+C76/Print_Mois!$AF$406</f>
        <v>4.1946727097123368E-2</v>
      </c>
      <c r="D77" s="228">
        <f>+D76/Print_Mois!$Z$406</f>
        <v>4.8891899853179342E-2</v>
      </c>
      <c r="E77" s="228">
        <f>+E76/Print_Mois!$AL$406</f>
        <v>1.7628754999451501E-2</v>
      </c>
      <c r="F77" s="229">
        <f t="shared" si="35"/>
        <v>-6.9451727560559742E-3</v>
      </c>
      <c r="G77" s="230">
        <f t="shared" si="35"/>
        <v>2.4317972097671867E-2</v>
      </c>
      <c r="H77" s="187">
        <f t="shared" si="36"/>
        <v>-0.14205160316764298</v>
      </c>
      <c r="I77" s="188">
        <f t="shared" si="37"/>
        <v>1.3794492066188733</v>
      </c>
      <c r="J77" s="1296"/>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32" t="s">
        <v>3422</v>
      </c>
      <c r="C79" s="933"/>
      <c r="D79" s="934"/>
      <c r="E79" s="3"/>
      <c r="F79" s="3"/>
      <c r="G79" s="3"/>
      <c r="H79" s="3"/>
      <c r="I79" s="3"/>
      <c r="J79" s="3"/>
      <c r="K79" s="3"/>
      <c r="L79" s="3"/>
      <c r="M79" s="3"/>
      <c r="N79" s="3"/>
      <c r="O79" s="3"/>
      <c r="P79" s="3"/>
      <c r="Q79" s="3"/>
      <c r="R79" s="3"/>
      <c r="S79" s="3"/>
      <c r="T79" s="3"/>
      <c r="U79" s="3"/>
      <c r="V79" s="3"/>
      <c r="W79" s="3"/>
    </row>
    <row r="80" spans="1:23" ht="15.75" customHeight="1">
      <c r="A80" s="3"/>
      <c r="B80" s="935" t="s">
        <v>332</v>
      </c>
      <c r="C80" s="936">
        <v>59525</v>
      </c>
      <c r="D80" s="952">
        <v>1.0999999999999999E-2</v>
      </c>
      <c r="E80" s="3"/>
      <c r="F80" s="3"/>
      <c r="G80" s="3"/>
      <c r="H80" s="3"/>
      <c r="I80" s="3"/>
      <c r="J80" s="3"/>
      <c r="K80" s="3"/>
      <c r="L80" s="3"/>
      <c r="M80" s="3"/>
      <c r="N80" s="3"/>
      <c r="O80" s="3"/>
      <c r="P80" s="3"/>
      <c r="Q80" s="3"/>
      <c r="R80" s="3"/>
      <c r="S80" s="3"/>
      <c r="T80" s="3"/>
      <c r="U80" s="3"/>
      <c r="V80" s="3"/>
      <c r="W80" s="3"/>
    </row>
    <row r="81" spans="1:23" ht="15.75" customHeight="1">
      <c r="A81" s="3"/>
      <c r="B81" s="935" t="s">
        <v>336</v>
      </c>
      <c r="C81" s="938">
        <f>+C74-C80</f>
        <v>202538.13000000015</v>
      </c>
      <c r="D81" s="937"/>
      <c r="E81" s="3"/>
      <c r="F81" s="3"/>
      <c r="G81" s="3"/>
      <c r="H81" s="3"/>
      <c r="I81" s="3"/>
      <c r="J81" s="3"/>
      <c r="K81" s="3"/>
      <c r="L81" s="3"/>
      <c r="M81" s="3"/>
      <c r="N81" s="3"/>
      <c r="O81" s="3"/>
      <c r="P81" s="3"/>
      <c r="Q81" s="3"/>
      <c r="R81" s="3"/>
      <c r="S81" s="3"/>
      <c r="T81" s="3"/>
      <c r="U81" s="3"/>
      <c r="V81" s="3"/>
      <c r="W81" s="3"/>
    </row>
    <row r="82" spans="1:23" ht="15.75" customHeight="1">
      <c r="A82" s="3"/>
      <c r="B82" s="939"/>
      <c r="C82" s="940"/>
      <c r="D82" s="937"/>
      <c r="E82" s="3"/>
      <c r="F82" s="3"/>
      <c r="G82" s="3"/>
      <c r="H82" s="3"/>
      <c r="I82" s="3"/>
      <c r="J82" s="3"/>
      <c r="K82" s="3"/>
      <c r="L82" s="3"/>
      <c r="M82" s="3"/>
      <c r="N82" s="3"/>
      <c r="O82" s="3"/>
      <c r="P82" s="3"/>
      <c r="Q82" s="3"/>
      <c r="R82" s="3"/>
      <c r="S82" s="3"/>
      <c r="T82" s="3"/>
      <c r="U82" s="3"/>
      <c r="V82" s="3"/>
      <c r="W82" s="3"/>
    </row>
    <row r="83" spans="1:23" ht="15.75" customHeight="1">
      <c r="A83" s="3"/>
      <c r="B83" s="935" t="s">
        <v>334</v>
      </c>
      <c r="C83" s="936">
        <v>-23522</v>
      </c>
      <c r="D83" s="952">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941" t="s">
        <v>336</v>
      </c>
      <c r="C84" s="942">
        <f>+C76-C83</f>
        <v>268643.41000000015</v>
      </c>
      <c r="D84" s="1097"/>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06" t="str">
        <f>+Parametres!B1</f>
        <v>Volks</v>
      </c>
      <c r="C86" s="919" t="str">
        <f>Parametres!$B$3&amp;" "&amp;Parametres!$B$4</f>
        <v>Mars 2026</v>
      </c>
      <c r="D86" s="920" t="s">
        <v>3940</v>
      </c>
      <c r="E86" s="3"/>
      <c r="F86" s="3"/>
      <c r="G86" s="3"/>
      <c r="H86" s="3"/>
      <c r="I86" s="3"/>
      <c r="J86" s="3"/>
      <c r="K86" s="3"/>
      <c r="L86" s="3"/>
      <c r="M86" s="3"/>
      <c r="N86" s="3"/>
      <c r="O86" s="3"/>
      <c r="P86" s="3"/>
      <c r="Q86" s="3"/>
      <c r="R86" s="3"/>
      <c r="S86" s="3"/>
      <c r="T86" s="3"/>
      <c r="U86" s="3"/>
      <c r="V86" s="3"/>
      <c r="W86" s="3"/>
    </row>
    <row r="87" spans="1:23" ht="24" customHeight="1">
      <c r="A87" s="3"/>
      <c r="B87" s="907" t="str">
        <f>CONCATENATE("Réalisé ",Parametres!$B$3," ",Parametres!$B$4)</f>
        <v>Réalisé Mars 2026</v>
      </c>
      <c r="C87" s="917">
        <f>+C76</f>
        <v>245121.41000000015</v>
      </c>
      <c r="D87" s="908">
        <f>+Print_AAD!AF498</f>
        <v>197423.5999999998</v>
      </c>
      <c r="E87" s="3"/>
      <c r="F87" s="189"/>
      <c r="G87" s="3"/>
      <c r="H87" s="3"/>
      <c r="I87" s="3"/>
      <c r="J87" s="3"/>
      <c r="K87" s="3"/>
      <c r="L87" s="3"/>
      <c r="M87" s="3"/>
      <c r="N87" s="3"/>
      <c r="O87" s="3"/>
      <c r="P87" s="3"/>
      <c r="Q87" s="3"/>
      <c r="R87" s="3"/>
      <c r="S87" s="3"/>
      <c r="T87" s="3"/>
      <c r="U87" s="3"/>
      <c r="V87" s="3"/>
      <c r="W87" s="3"/>
    </row>
    <row r="88" spans="1:23" ht="24" customHeight="1">
      <c r="A88" s="3"/>
      <c r="B88" s="907" t="str">
        <f>CONCATENATE("Budget ",Parametres!$B$3," ",Parametres!$B$4)</f>
        <v>Budget Mars 2026</v>
      </c>
      <c r="C88" s="918">
        <f>+D76</f>
        <v>293239.22014856257</v>
      </c>
      <c r="D88" s="909">
        <f>+Print_AAD!Z498</f>
        <v>326676.24085436977</v>
      </c>
      <c r="E88" s="3"/>
      <c r="F88" s="3"/>
      <c r="G88" s="3"/>
      <c r="H88" s="3"/>
      <c r="I88" s="3"/>
      <c r="J88" s="3"/>
      <c r="K88" s="3"/>
      <c r="L88" s="3"/>
      <c r="M88" s="3"/>
      <c r="N88" s="3"/>
      <c r="O88" s="3"/>
      <c r="P88" s="3"/>
      <c r="Q88" s="3"/>
      <c r="R88" s="3"/>
      <c r="S88" s="3"/>
      <c r="T88" s="3"/>
      <c r="U88" s="3"/>
      <c r="V88" s="3"/>
      <c r="W88" s="3"/>
    </row>
    <row r="89" spans="1:23" ht="24" customHeight="1" thickBot="1">
      <c r="A89" s="3"/>
      <c r="B89" s="910" t="str">
        <f>CONCATENATE("Réalisé ",Parametres!$B$3," ",Parametres!$B$4-1)</f>
        <v>Réalisé Mars 2025</v>
      </c>
      <c r="C89" s="921">
        <f>+E76</f>
        <v>80421.769999999495</v>
      </c>
      <c r="D89" s="911">
        <f>+Print_AAD!AL498</f>
        <v>75957.419999997481</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3"/>
  <sheetViews>
    <sheetView topLeftCell="C285" zoomScale="80" zoomScaleNormal="80" workbookViewId="0">
      <selection activeCell="F401" sqref="F401:L401"/>
    </sheetView>
  </sheetViews>
  <sheetFormatPr baseColWidth="10" defaultColWidth="12.59765625" defaultRowHeight="15" customHeight="1"/>
  <cols>
    <col min="1" max="1" width="10.3984375" hidden="1" customWidth="1"/>
    <col min="2" max="2" width="21.8984375" hidden="1" customWidth="1"/>
    <col min="3" max="3" width="31.19921875" customWidth="1"/>
    <col min="4" max="4" width="16.5" customWidth="1"/>
    <col min="5" max="5" width="14.59765625" customWidth="1"/>
    <col min="6" max="6" width="14" customWidth="1"/>
    <col min="7" max="7" width="17.69921875" hidden="1" customWidth="1"/>
    <col min="8" max="8" width="15.09765625" hidden="1" customWidth="1"/>
    <col min="9" max="9" width="14" hidden="1" customWidth="1"/>
    <col min="10" max="10" width="15.59765625" customWidth="1"/>
    <col min="11" max="11" width="15.5" customWidth="1"/>
    <col min="12" max="12" width="14.8984375" customWidth="1"/>
    <col min="13" max="14" width="16.19921875" customWidth="1"/>
    <col min="15" max="15" width="15.5" customWidth="1"/>
    <col min="16" max="16" width="14.59765625" customWidth="1"/>
    <col min="17" max="17" width="14.8984375" bestFit="1" customWidth="1"/>
    <col min="18" max="18" width="14.69921875" customWidth="1"/>
    <col min="19" max="19" width="19" customWidth="1"/>
    <col min="20" max="20" width="4.59765625" customWidth="1"/>
    <col min="21" max="21" width="31.69921875" customWidth="1"/>
    <col min="22" max="22" width="34" customWidth="1"/>
    <col min="23" max="23" width="12.19921875" customWidth="1"/>
    <col min="24" max="24" width="13.69921875" customWidth="1"/>
    <col min="25" max="25" width="15.09765625" customWidth="1"/>
    <col min="26" max="26" width="15" customWidth="1"/>
    <col min="27" max="27" width="11.09765625" hidden="1" customWidth="1"/>
    <col min="28" max="28" width="9.3984375" hidden="1" customWidth="1"/>
    <col min="29" max="29" width="14.5" hidden="1" customWidth="1"/>
    <col min="30" max="30" width="13.5" customWidth="1"/>
    <col min="31" max="31" width="14.19921875" customWidth="1"/>
    <col min="32" max="32" width="14.09765625" customWidth="1"/>
    <col min="33" max="33" width="9" customWidth="1"/>
    <col min="34" max="34" width="13.5" customWidth="1"/>
    <col min="35" max="35" width="11.5" bestFit="1" customWidth="1"/>
    <col min="36" max="36" width="10.8984375" customWidth="1"/>
    <col min="37" max="37" width="11.3984375" customWidth="1"/>
    <col min="38" max="38" width="12.69921875" customWidth="1"/>
    <col min="39" max="39" width="9" customWidth="1"/>
    <col min="40" max="40" width="11" customWidth="1"/>
    <col min="41" max="41" width="14.69921875" customWidth="1"/>
    <col min="42" max="42" width="11" customWidth="1"/>
    <col min="43" max="43" width="48.3984375" customWidth="1"/>
    <col min="44" max="62" width="11" customWidth="1"/>
  </cols>
  <sheetData>
    <row r="1" spans="1:40" ht="35.4">
      <c r="B1" s="36"/>
      <c r="C1" s="890" t="str">
        <f>Parametres!B1</f>
        <v>Volks</v>
      </c>
      <c r="D1" s="232"/>
      <c r="E1" s="233"/>
      <c r="F1" s="232"/>
      <c r="G1" s="232"/>
      <c r="H1" s="36"/>
      <c r="I1" s="232"/>
      <c r="J1" s="36"/>
      <c r="K1" s="9" t="s">
        <v>92</v>
      </c>
      <c r="L1" s="232"/>
      <c r="M1" s="232"/>
      <c r="N1" s="234"/>
      <c r="O1" s="890"/>
      <c r="P1" s="891"/>
      <c r="Q1" s="890"/>
      <c r="R1" s="891"/>
      <c r="S1" s="892" t="str">
        <f>CONCATENATE("Réalisé,"," ",Parametres!B3," ",Parametres!B4)</f>
        <v>Réalisé, Mars 2026</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1">
      <c r="B3" s="41"/>
      <c r="C3" s="238"/>
      <c r="D3" s="1299" t="s">
        <v>343</v>
      </c>
      <c r="E3" s="1300"/>
      <c r="F3" s="1301"/>
      <c r="G3" s="1304"/>
      <c r="H3" s="1300"/>
      <c r="I3" s="1301"/>
      <c r="J3" s="1304" t="s">
        <v>344</v>
      </c>
      <c r="K3" s="1300"/>
      <c r="L3" s="1301"/>
      <c r="M3" s="1304" t="s">
        <v>3310</v>
      </c>
      <c r="N3" s="1301"/>
      <c r="O3" s="1299" t="s">
        <v>345</v>
      </c>
      <c r="P3" s="1300"/>
      <c r="Q3" s="1301"/>
      <c r="R3" s="1302" t="s">
        <v>3312</v>
      </c>
      <c r="S3" s="1303"/>
      <c r="T3" s="41"/>
      <c r="U3" s="41"/>
      <c r="V3" s="239" t="s">
        <v>347</v>
      </c>
      <c r="W3" s="240">
        <v>0.45</v>
      </c>
      <c r="X3" s="41"/>
      <c r="Y3" s="41"/>
      <c r="Z3" s="41"/>
      <c r="AA3" s="41"/>
      <c r="AB3" s="41"/>
      <c r="AC3" s="41"/>
      <c r="AD3" s="41"/>
      <c r="AE3" s="41"/>
      <c r="AF3" s="41"/>
      <c r="AG3" s="41"/>
      <c r="AH3" s="41"/>
      <c r="AI3" s="41"/>
      <c r="AJ3" s="41"/>
      <c r="AK3" s="41"/>
      <c r="AL3" s="41"/>
      <c r="AM3" s="41"/>
      <c r="AN3" s="41"/>
    </row>
    <row r="4" spans="1:40" ht="20.399999999999999">
      <c r="B4" s="41"/>
      <c r="C4" s="241"/>
      <c r="D4" s="242" t="s">
        <v>93</v>
      </c>
      <c r="E4" s="243" t="s">
        <v>348</v>
      </c>
      <c r="F4" s="244" t="s">
        <v>95</v>
      </c>
      <c r="G4" s="245"/>
      <c r="H4" s="243"/>
      <c r="I4" s="244"/>
      <c r="J4" s="245" t="s">
        <v>3317</v>
      </c>
      <c r="K4" s="243" t="s">
        <v>94</v>
      </c>
      <c r="L4" s="244" t="s">
        <v>95</v>
      </c>
      <c r="M4" s="245" t="s">
        <v>3317</v>
      </c>
      <c r="N4" s="244" t="s">
        <v>95</v>
      </c>
      <c r="O4" s="243" t="s">
        <v>93</v>
      </c>
      <c r="P4" s="243" t="s">
        <v>348</v>
      </c>
      <c r="Q4" s="244" t="s">
        <v>95</v>
      </c>
      <c r="R4" s="245" t="s">
        <v>3317</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399999999999999">
      <c r="A5" s="5" t="s">
        <v>350</v>
      </c>
      <c r="B5" s="41" t="s">
        <v>92</v>
      </c>
      <c r="C5" s="246" t="s">
        <v>96</v>
      </c>
      <c r="D5" s="247"/>
      <c r="E5" s="247"/>
      <c r="F5" s="248">
        <f>+INDEX('Budget original'!$A$2:$AO$501,MATCH($A5,'Budget original'!$A$2:$A$501,0),MATCH(F$2,'Budget original'!$A$2:$AO$2,0))</f>
        <v>3684432.777128791</v>
      </c>
      <c r="G5" s="247"/>
      <c r="H5" s="247"/>
      <c r="I5" s="249"/>
      <c r="J5" s="246"/>
      <c r="K5" s="250"/>
      <c r="L5" s="248">
        <f>-SUMIFS(BV_Data_An_Cour!$O:$O,BV_Data_An_Cour!$X:$X,"Oui",BV_Data_An_Cour!$U:$U,$B5)</f>
        <v>3914887.7100000004</v>
      </c>
      <c r="M5" s="251"/>
      <c r="N5" s="252"/>
      <c r="O5" s="246"/>
      <c r="P5" s="250"/>
      <c r="Q5" s="248">
        <f t="array" ref="Q5">+INDEX('Réel 2024'!$A$2:$AO$501,MATCH($A5,'Réel 2024'!$A$2:$A$501,0),MATCH(Q$2,'Réel 2024'!$A$2:$AO$2,0))</f>
        <v>2855728.5699999901</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399999999999999">
      <c r="A6" s="5" t="s">
        <v>352</v>
      </c>
      <c r="B6" s="41" t="s">
        <v>92</v>
      </c>
      <c r="C6" s="253" t="s">
        <v>97</v>
      </c>
      <c r="D6" s="254">
        <f>+INDEX('Budget original'!$A$2:$AO$501,MATCH($A6,'Budget original'!$A$2:$A$501,0),MATCH(D$2,'Budget original'!$A$2:$AO$2,0))</f>
        <v>20</v>
      </c>
      <c r="E6" s="254">
        <f>IF(D6=0,0,F6/D6)</f>
        <v>1839.3978952721659</v>
      </c>
      <c r="F6" s="254">
        <f>+INDEX('Budget original'!$A$2:$AO$501,MATCH($A6,'Budget original'!$A$2:$A$501,0),MATCH(F$2,'Budget original'!$A$2:$AO$2,0))</f>
        <v>36787.95790544332</v>
      </c>
      <c r="G6" s="255"/>
      <c r="H6" s="254"/>
      <c r="I6" s="254"/>
      <c r="J6" s="255">
        <f>-SUMIFS(BV_Data_An_Cour!$O:$O,BV_Data_An_Cour!$U:$U,$B6,BV_Data_An_Cour!$V:$V,$C6,BV_Data_An_Cour!$W:$W,J$2)</f>
        <v>7</v>
      </c>
      <c r="K6" s="254">
        <f t="shared" ref="K6:K12" si="0">IF(J6=0,0,L6/J6)</f>
        <v>1717.0614285714266</v>
      </c>
      <c r="L6" s="256">
        <f>-SUMIFS(BV_Data_An_Cour!$O:$O,BV_Data_An_Cour!$U:$U,$B6,BV_Data_An_Cour!$V:$V,$C6,BV_Data_An_Cour!$W:$W,L$2)</f>
        <v>12019.429999999986</v>
      </c>
      <c r="M6" s="255">
        <f t="shared" ref="M6:M12" si="1">J6-D6</f>
        <v>-13</v>
      </c>
      <c r="N6" s="256">
        <f t="shared" ref="N6:N12" si="2">L6-F6</f>
        <v>-24768.527905443334</v>
      </c>
      <c r="O6" s="255">
        <f>+INDEX('Réel 2024'!$A$2:$AO$501,MATCH($A6,'Réel 2024'!$A$2:$A$501,0),MATCH(O$2,'Réel 2024'!$A$2:$AO$2,0))</f>
        <v>11</v>
      </c>
      <c r="P6" s="254">
        <f t="shared" ref="P6:P12" si="3">IF(O6=0,0,Q6/O6)</f>
        <v>1848.9036363636274</v>
      </c>
      <c r="Q6" s="256">
        <f t="array" ref="Q6">+INDEX('Réel 2024'!$A$2:$AO$501,MATCH($A6,'Réel 2024'!$A$2:$A$501,0),MATCH(Q$2,'Réel 2024'!$A$2:$AO$2,0))</f>
        <v>20337.9399999999</v>
      </c>
      <c r="R6" s="255">
        <f t="shared" ref="R6:R12" si="4">J6-O6</f>
        <v>-4</v>
      </c>
      <c r="S6" s="256">
        <f t="shared" ref="S6:S12" si="5">L6-Q6</f>
        <v>-8318.5099999999147</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399999999999999">
      <c r="A7" s="5" t="s">
        <v>354</v>
      </c>
      <c r="B7" s="41" t="s">
        <v>92</v>
      </c>
      <c r="C7" s="253" t="s">
        <v>98</v>
      </c>
      <c r="D7" s="254">
        <f>+INDEX('Budget original'!$A$2:$AO$501,MATCH($A7,'Budget original'!$A$2:$A$501,0),MATCH(D$2,'Budget original'!$A$2:$AO$2,0))</f>
        <v>50</v>
      </c>
      <c r="E7" s="254">
        <f t="shared" ref="E7:E12" si="6">IF(D7=0,0,F7/D7)</f>
        <v>2490.391062883712</v>
      </c>
      <c r="F7" s="254">
        <f>+INDEX('Budget original'!$A$2:$AO$501,MATCH($A7,'Budget original'!$A$2:$A$501,0),MATCH(F$2,'Budget original'!$A$2:$AO$2,0))</f>
        <v>124519.5531441856</v>
      </c>
      <c r="G7" s="255"/>
      <c r="H7" s="254"/>
      <c r="I7" s="254"/>
      <c r="J7" s="255">
        <f>-SUMIFS(BV_Data_An_Cour!$O:$O,BV_Data_An_Cour!$U:$U,$B7,BV_Data_An_Cour!$V:$V,$C7,BV_Data_An_Cour!$W:$W,J$2)</f>
        <v>48</v>
      </c>
      <c r="K7" s="254">
        <f t="shared" si="0"/>
        <v>1724.7210416666687</v>
      </c>
      <c r="L7" s="256">
        <f>-SUMIFS(BV_Data_An_Cour!$O:$O,BV_Data_An_Cour!$U:$U,$B7,BV_Data_An_Cour!$V:$V,$C7,BV_Data_An_Cour!$W:$W,L$2)</f>
        <v>82786.610000000102</v>
      </c>
      <c r="M7" s="255">
        <f t="shared" si="1"/>
        <v>-2</v>
      </c>
      <c r="N7" s="256">
        <f t="shared" si="2"/>
        <v>-41732.943144185498</v>
      </c>
      <c r="O7" s="255">
        <f t="array" ref="O7">+INDEX('Réel 2024'!$A$2:$AO$501,MATCH($A7,'Réel 2024'!$A$2:$A$501,0),MATCH(O$2,'Réel 2024'!$A$2:$AO$2,0))</f>
        <v>40</v>
      </c>
      <c r="P7" s="254">
        <f t="shared" si="3"/>
        <v>2175.1205</v>
      </c>
      <c r="Q7" s="256">
        <f t="array" ref="Q7">+INDEX('Réel 2024'!$A$2:$AO$501,MATCH($A7,'Réel 2024'!$A$2:$A$501,0),MATCH(Q$2,'Réel 2024'!$A$2:$AO$2,0))</f>
        <v>87004.82</v>
      </c>
      <c r="R7" s="255">
        <f t="shared" si="4"/>
        <v>8</v>
      </c>
      <c r="S7" s="256">
        <f t="shared" si="5"/>
        <v>-4218.2099999999045</v>
      </c>
      <c r="T7" s="41"/>
      <c r="U7" s="41"/>
      <c r="V7" s="239" t="s">
        <v>355</v>
      </c>
      <c r="W7" s="240">
        <v>0.2</v>
      </c>
      <c r="X7" s="41"/>
      <c r="Y7" s="41"/>
      <c r="Z7" s="41"/>
      <c r="AA7" s="41"/>
      <c r="AB7" s="41"/>
      <c r="AC7" s="41"/>
      <c r="AD7" s="41"/>
      <c r="AE7" s="41"/>
      <c r="AF7" s="41"/>
      <c r="AG7" s="41"/>
      <c r="AH7" s="41"/>
      <c r="AI7" s="41"/>
      <c r="AJ7" s="41"/>
      <c r="AK7" s="41"/>
      <c r="AL7" s="41"/>
      <c r="AM7" s="41"/>
      <c r="AN7" s="41"/>
    </row>
    <row r="8" spans="1:40" ht="20.399999999999999">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
        <v>359</v>
      </c>
      <c r="B13" s="41" t="s">
        <v>92</v>
      </c>
      <c r="C13" s="259" t="s">
        <v>101</v>
      </c>
      <c r="D13" s="260">
        <f>+SUM(D6:D12)</f>
        <v>70</v>
      </c>
      <c r="E13" s="260">
        <f>IF(D13&lt;=0,0,F13/D13)</f>
        <v>2304.3930149946991</v>
      </c>
      <c r="F13" s="261">
        <f>+SUM(F6:F12)</f>
        <v>161307.51104962893</v>
      </c>
      <c r="G13" s="262"/>
      <c r="H13" s="260"/>
      <c r="I13" s="261"/>
      <c r="J13" s="262">
        <f t="shared" ref="J13" si="7">+SUM(J6:J12)</f>
        <v>55</v>
      </c>
      <c r="K13" s="260">
        <f>IF(J13&lt;=0,0,L13/J13)</f>
        <v>1723.7461818181835</v>
      </c>
      <c r="L13" s="261">
        <f t="shared" ref="L13" si="8">+SUM(L6:L12)</f>
        <v>94806.040000000095</v>
      </c>
      <c r="M13" s="262">
        <f>+SUM(M6:M12)</f>
        <v>-15</v>
      </c>
      <c r="N13" s="261">
        <f t="shared" ref="N13" si="9">+SUM(N6:N12)</f>
        <v>-66501.471049628832</v>
      </c>
      <c r="O13" s="262">
        <f>+SUM(O6:O12)</f>
        <v>51</v>
      </c>
      <c r="P13" s="260">
        <f>IF(O13&lt;=0,0,Q13/O13)</f>
        <v>2104.7599999999984</v>
      </c>
      <c r="Q13" s="261">
        <f t="shared" ref="Q13" si="10">+SUM(Q6:Q12)</f>
        <v>107342.75999999991</v>
      </c>
      <c r="R13" s="262">
        <f t="shared" ref="R13:S13" si="11">+SUM(R6:R12)</f>
        <v>4</v>
      </c>
      <c r="S13" s="261">
        <f t="shared" si="11"/>
        <v>-12536.719999999819</v>
      </c>
      <c r="T13" s="41"/>
      <c r="U13" s="41"/>
      <c r="V13" s="41"/>
      <c r="W13" s="41"/>
      <c r="X13" s="41"/>
      <c r="Y13" s="41"/>
      <c r="Z13" s="41"/>
      <c r="AA13" s="41"/>
      <c r="AB13" s="41"/>
      <c r="AC13" s="41"/>
      <c r="AD13" s="41"/>
      <c r="AE13" s="41"/>
      <c r="AF13" s="41"/>
      <c r="AG13" s="41"/>
      <c r="AH13" s="41"/>
      <c r="AI13" s="41"/>
      <c r="AJ13" s="41"/>
      <c r="AK13" s="41"/>
      <c r="AL13" s="41"/>
      <c r="AM13" s="41"/>
      <c r="AN13" s="41"/>
    </row>
    <row r="14" spans="1:40" ht="20.399999999999999">
      <c r="A14" s="5" t="s">
        <v>92</v>
      </c>
      <c r="B14" s="41" t="s">
        <v>92</v>
      </c>
      <c r="C14" s="253"/>
      <c r="D14" s="41"/>
      <c r="E14" s="254"/>
      <c r="F14" s="263"/>
      <c r="G14" s="253"/>
      <c r="H14" s="254"/>
      <c r="I14" s="263"/>
      <c r="J14" s="253"/>
      <c r="K14" s="254"/>
      <c r="L14" s="263"/>
      <c r="M14" s="922">
        <f>IF(D13=0,0,M13/D13)</f>
        <v>-0.21428571428571427</v>
      </c>
      <c r="N14" s="923">
        <f>IF(F13=0,0,N13/F13)</f>
        <v>-0.41226518602204798</v>
      </c>
      <c r="O14" s="253"/>
      <c r="P14" s="254"/>
      <c r="Q14" s="263"/>
      <c r="R14" s="922">
        <f>R13/O13</f>
        <v>7.8431372549019607E-2</v>
      </c>
      <c r="S14" s="923">
        <f>IF(Q13=0,0,(S13/Q13))</f>
        <v>-0.1167914817915976</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1">
      <c r="A15" s="5" t="s">
        <v>360</v>
      </c>
      <c r="B15" s="41" t="s">
        <v>92</v>
      </c>
      <c r="C15" s="266" t="s">
        <v>102</v>
      </c>
      <c r="D15" s="250">
        <f>+INDEX('Budget original'!$A$2:$AO$501,MATCH($A15,'Budget original'!$A$2:$A$501,0),MATCH(D$2,'Budget original'!$A$2:$AO$2,0))</f>
        <v>4</v>
      </c>
      <c r="E15" s="250">
        <f>IF(D15=0,0,F15/D15)</f>
        <v>1524.8245365854227</v>
      </c>
      <c r="F15" s="248">
        <f>+INDEX('Budget original'!$A$2:$AO$501,MATCH($A15,'Budget original'!$A$2:$A$501,0),MATCH(F$2,'Budget original'!$A$2:$AO$2,0))</f>
        <v>6099.2981463416909</v>
      </c>
      <c r="G15" s="267"/>
      <c r="H15" s="250"/>
      <c r="I15" s="248"/>
      <c r="J15" s="268">
        <f>-SUMIFS(BV_Data_An_Cour!$O:$O,BV_Data_An_Cour!$U:$U,$B15,BV_Data_An_Cour!$V:$V,$C15,BV_Data_An_Cour!$W:$W,J$2)</f>
        <v>1</v>
      </c>
      <c r="K15" s="1283">
        <f>IF(J15=0,0,L15/J15)</f>
        <v>0</v>
      </c>
      <c r="L15" s="269">
        <f>-SUMIFS(BV_Data_An_Cour!$O:$O,BV_Data_An_Cour!$U:$U,$B15,BV_Data_An_Cour!$V:$V,$C15,BV_Data_An_Cour!$W:$W,L$2)</f>
        <v>0</v>
      </c>
      <c r="M15" s="267">
        <f>J15-D15</f>
        <v>-3</v>
      </c>
      <c r="N15" s="248">
        <f>L15-F15</f>
        <v>-6099.2981463416909</v>
      </c>
      <c r="O15" s="268">
        <f t="array" ref="O15">+INDEX('Réel 2024'!$A$2:$AO$501,MATCH($A15,'Réel 2024'!$A$2:$A$501,0),MATCH(O$2,'Réel 2024'!$A$2:$AO$2,0))</f>
        <v>4</v>
      </c>
      <c r="P15" s="269">
        <f>IF(O15=0,0,Q15/O15)</f>
        <v>370.869999999995</v>
      </c>
      <c r="Q15" s="269">
        <f t="array" ref="Q15">+INDEX('Réel 2024'!$A$2:$AO$501,MATCH($A15,'Réel 2024'!$A$2:$A$501,0),MATCH(Q$2,'Réel 2024'!$A$2:$AO$2,0))</f>
        <v>1483.47999999998</v>
      </c>
      <c r="R15" s="267">
        <f>J15-O15</f>
        <v>-3</v>
      </c>
      <c r="S15" s="248">
        <f>L15-Q15</f>
        <v>-1483.47999999998</v>
      </c>
      <c r="T15" s="41"/>
      <c r="U15" s="1100"/>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1">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
        <v>361</v>
      </c>
      <c r="B17" s="41" t="s">
        <v>92</v>
      </c>
      <c r="C17" s="270" t="s">
        <v>103</v>
      </c>
      <c r="D17" s="254">
        <f>+INDEX('Budget original'!$A$2:$AO$501,MATCH($A17,'Budget original'!$A$2:$A$501,0),MATCH(D$2,'Budget original'!$A$2:$AO$2,0))</f>
        <v>5</v>
      </c>
      <c r="E17" s="254">
        <f>IF(D17=0,0,F17/D17)</f>
        <v>1300.6851300000001</v>
      </c>
      <c r="F17" s="254">
        <f>+INDEX('Budget original'!$A$2:$AO$501,MATCH($A17,'Budget original'!$A$2:$A$501,0),MATCH(F$2,'Budget original'!$A$2:$AO$2,0))</f>
        <v>6503.4256500000001</v>
      </c>
      <c r="G17" s="255"/>
      <c r="H17" s="254"/>
      <c r="I17" s="254"/>
      <c r="J17" s="267">
        <f>-SUMIFS(BV_Data_An_Cour!$O:$O,BV_Data_An_Cour!$U:$U,$B17,BV_Data_An_Cour!$V:$V,$C17,BV_Data_An_Cour!$W:$W,J$2)</f>
        <v>24</v>
      </c>
      <c r="K17" s="254">
        <f>IF(J17=0,0,L17/J17)</f>
        <v>67.140833333333532</v>
      </c>
      <c r="L17" s="256">
        <f>-SUMIFS(BV_Data_An_Cour!$O:$O,BV_Data_An_Cour!$U:$U,$B17,BV_Data_An_Cour!$V:$V,$C17,BV_Data_An_Cour!$W:$W,L$2)</f>
        <v>1611.3800000000047</v>
      </c>
      <c r="M17" s="267">
        <f>J17-D17</f>
        <v>19</v>
      </c>
      <c r="N17" s="256">
        <f>L17-F17</f>
        <v>-4892.0456499999955</v>
      </c>
      <c r="O17" s="267">
        <f t="array" ref="O17">+INDEX('Réel 2024'!$A$2:$AO$501,MATCH($A17,'Réel 2024'!$A$2:$A$501,0),MATCH(O$2,'Réel 2024'!$A$2:$AO$2,0))</f>
        <v>0</v>
      </c>
      <c r="P17" s="254">
        <f>IF(O17=0,0,Q17/O17)</f>
        <v>0</v>
      </c>
      <c r="Q17" s="256">
        <f t="array" ref="Q17">+INDEX('Réel 2024'!$A$2:$AO$501,MATCH($A17,'Réel 2024'!$A$2:$A$501,0),MATCH(Q$2,'Réel 2024'!$A$2:$AO$2,0))</f>
        <v>0</v>
      </c>
      <c r="R17" s="255">
        <f>J17-O17</f>
        <v>24</v>
      </c>
      <c r="S17" s="256">
        <f>L17-Q17</f>
        <v>1611.3800000000047</v>
      </c>
      <c r="T17" s="41"/>
      <c r="U17" s="38"/>
      <c r="V17" s="944"/>
      <c r="W17" s="41"/>
      <c r="X17" s="41"/>
      <c r="Y17" s="41"/>
      <c r="Z17" s="41"/>
      <c r="AA17" s="254"/>
      <c r="AB17" s="41"/>
      <c r="AC17" s="41"/>
      <c r="AD17" s="41"/>
      <c r="AE17" s="41"/>
      <c r="AF17" s="41"/>
      <c r="AG17" s="41"/>
      <c r="AH17" s="41"/>
      <c r="AI17" s="41"/>
      <c r="AJ17" s="41"/>
      <c r="AK17" s="41"/>
      <c r="AL17" s="41"/>
      <c r="AM17" s="41"/>
      <c r="AN17" s="41"/>
    </row>
    <row r="18" spans="1:40" ht="21">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1">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10279.00146842878</v>
      </c>
      <c r="G19" s="255"/>
      <c r="H19" s="254"/>
      <c r="I19" s="254"/>
      <c r="J19" s="267"/>
      <c r="K19" s="254"/>
      <c r="L19" s="256">
        <f>-SUMIFS(BV_Data_An_Cour!$O:$O,BV_Data_An_Cour!$U:$U,$B19,BV_Data_An_Cour!$V:$V,$C19,BV_Data_An_Cour!$W:$W,L$2)</f>
        <v>4617.320000000007</v>
      </c>
      <c r="M19" s="255"/>
      <c r="N19" s="256">
        <f>L19-F19</f>
        <v>-5661.6814684287729</v>
      </c>
      <c r="O19" s="267"/>
      <c r="P19" s="254"/>
      <c r="Q19" s="256">
        <f t="array" ref="Q19">+INDEX('Réel 2024'!$A$2:$AO$501,MATCH($A19,'Réel 2024'!$A$2:$A$501,0),MATCH(Q$2,'Réel 2024'!$A$2:$AO$2,0))</f>
        <v>13000.4</v>
      </c>
      <c r="R19" s="255">
        <f>O19-K19</f>
        <v>0</v>
      </c>
      <c r="S19" s="256">
        <f>L19-Q19</f>
        <v>-8383.0799999999927</v>
      </c>
      <c r="T19" s="41"/>
      <c r="W19" s="254"/>
      <c r="X19" s="274"/>
      <c r="Y19" s="41"/>
      <c r="Z19" s="41"/>
      <c r="AA19" s="41"/>
      <c r="AB19" s="41"/>
      <c r="AC19" s="41"/>
      <c r="AD19" s="41"/>
      <c r="AE19" s="41"/>
      <c r="AF19" s="41"/>
      <c r="AG19" s="41"/>
      <c r="AH19" s="41"/>
      <c r="AI19" s="41"/>
      <c r="AJ19" s="41"/>
      <c r="AK19" s="41"/>
      <c r="AL19" s="41"/>
      <c r="AM19" s="41"/>
      <c r="AN19" s="41"/>
    </row>
    <row r="20" spans="1:40" ht="21">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3700</v>
      </c>
      <c r="G21" s="255"/>
      <c r="H21" s="254"/>
      <c r="I21" s="254"/>
      <c r="J21" s="255"/>
      <c r="K21" s="254">
        <f>IF(J13=0,0,L21/(J13+J15))</f>
        <v>8.0357142857142865</v>
      </c>
      <c r="L21" s="256">
        <f>-SUMIFS(BV_Data_An_Cour!$O:$O,BV_Data_An_Cour!$U:$U,$B21,BV_Data_An_Cour!$V:$V,$C21,BV_Data_An_Cour!$W:$W,L$2)</f>
        <v>450</v>
      </c>
      <c r="M21" s="255"/>
      <c r="N21" s="256">
        <f>L21-F21</f>
        <v>-3250</v>
      </c>
      <c r="O21" s="255"/>
      <c r="P21" s="254"/>
      <c r="Q21" s="256">
        <f t="array" ref="Q21">+INDEX('Réel 2024'!$A$2:$AO$501,MATCH($A21,'Réel 2024'!$A$2:$A$501,0),MATCH(Q$2,'Réel 2024'!$A$2:$AO$2,0))</f>
        <v>0</v>
      </c>
      <c r="R21" s="255">
        <f t="shared" ref="R21:R23" si="12">O21-K21</f>
        <v>-8.0357142857142865</v>
      </c>
      <c r="S21" s="256">
        <f t="shared" ref="S21:S24" si="13">L21-Q21</f>
        <v>450</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83620</v>
      </c>
      <c r="G22" s="255"/>
      <c r="H22" s="254"/>
      <c r="I22" s="254"/>
      <c r="J22" s="255"/>
      <c r="K22" s="254">
        <f>IF(J13=0,0,L22/(J13+J15))</f>
        <v>977.23410714285717</v>
      </c>
      <c r="L22" s="256">
        <f>-SUMIFS(BV_Data_An_Cour!$O:$O,BV_Data_An_Cour!$U:$U,$B22,BV_Data_An_Cour!$V:$V,$C22,BV_Data_An_Cour!$W:$W,L$2)</f>
        <v>54725.11</v>
      </c>
      <c r="M22" s="255"/>
      <c r="N22" s="256">
        <f>L22-F22</f>
        <v>-28894.89</v>
      </c>
      <c r="O22" s="255"/>
      <c r="P22" s="254"/>
      <c r="Q22" s="256">
        <f t="array" ref="Q22">+INDEX('Réel 2024'!$A$2:$AO$501,MATCH($A22,'Réel 2024'!$A$2:$A$501,0),MATCH(Q$2,'Réel 2024'!$A$2:$AO$2,0))</f>
        <v>33331.589999999997</v>
      </c>
      <c r="R22" s="255">
        <f t="shared" si="12"/>
        <v>-977.23410714285717</v>
      </c>
      <c r="S22" s="256">
        <f t="shared" si="13"/>
        <v>21393.520000000004</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1480</v>
      </c>
      <c r="G23" s="255"/>
      <c r="H23" s="254"/>
      <c r="I23" s="254"/>
      <c r="J23" s="255"/>
      <c r="K23" s="254">
        <f>IF(J13=0,0,L23/(J13+J15))</f>
        <v>7.1814285714285715</v>
      </c>
      <c r="L23" s="256">
        <f>-SUMIFS(BV_Data_An_Cour!$O:$O,BV_Data_An_Cour!$U:$U,$B23,BV_Data_An_Cour!$V:$V,$C23,BV_Data_An_Cour!$W:$W,L$2)</f>
        <v>402.16</v>
      </c>
      <c r="M23" s="267"/>
      <c r="N23" s="256">
        <f>L23-F23</f>
        <v>-1077.8399999999999</v>
      </c>
      <c r="O23" s="255"/>
      <c r="P23" s="254"/>
      <c r="Q23" s="256">
        <f t="array" ref="Q23">+INDEX('Réel 2024'!$A$2:$AO$501,MATCH($A23,'Réel 2024'!$A$2:$A$501,0),MATCH(Q$2,'Réel 2024'!$A$2:$AO$2,0))</f>
        <v>316.41000000000003</v>
      </c>
      <c r="R23" s="255">
        <f t="shared" si="12"/>
        <v>-7.1814285714285715</v>
      </c>
      <c r="S23" s="256">
        <f t="shared" si="13"/>
        <v>85.75</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74</v>
      </c>
      <c r="E24" s="260">
        <f>IF(D24&lt;=0,0,F24/D24)</f>
        <v>1200</v>
      </c>
      <c r="F24" s="261">
        <f>F21+F22+F23</f>
        <v>88800</v>
      </c>
      <c r="G24" s="262"/>
      <c r="H24" s="260"/>
      <c r="I24" s="261"/>
      <c r="J24" s="262">
        <f>+J15+J13</f>
        <v>56</v>
      </c>
      <c r="K24" s="260">
        <f>IF(J24&lt;=0,0,L24/J24)</f>
        <v>992.45125000000007</v>
      </c>
      <c r="L24" s="261">
        <f>L21+L22+L23</f>
        <v>55577.270000000004</v>
      </c>
      <c r="M24" s="275">
        <f>J24-D24</f>
        <v>-18</v>
      </c>
      <c r="N24" s="261">
        <f>L24-F24</f>
        <v>-33222.729999999996</v>
      </c>
      <c r="O24" s="262">
        <f>+O15+O13</f>
        <v>55</v>
      </c>
      <c r="P24" s="260">
        <f>IF(O24&lt;=0,0,Q24/O24)</f>
        <v>611.78181818181815</v>
      </c>
      <c r="Q24" s="261">
        <f>Q21+Q22+Q23</f>
        <v>33648</v>
      </c>
      <c r="R24" s="273"/>
      <c r="S24" s="261">
        <f t="shared" si="13"/>
        <v>21929.270000000004</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-0.37412984234234231</v>
      </c>
      <c r="O25" s="253"/>
      <c r="P25" s="41"/>
      <c r="Q25" s="276"/>
      <c r="R25" s="277"/>
      <c r="S25" s="265">
        <f>IF(Q24=0,0,(S24/Q24))</f>
        <v>0.65172580836899674</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79</v>
      </c>
      <c r="E27" s="280">
        <f>IF(D27&lt;=0,0,F27/D27)</f>
        <v>3455.559953346828</v>
      </c>
      <c r="F27" s="281">
        <f>F13+F17+F24+F19+F15</f>
        <v>272989.2363143994</v>
      </c>
      <c r="G27" s="282"/>
      <c r="H27" s="280"/>
      <c r="I27" s="281"/>
      <c r="J27" s="282">
        <f>+J13+J15+J17</f>
        <v>80</v>
      </c>
      <c r="K27" s="280">
        <f>IF(J27&lt;=0,0,L27/J27)</f>
        <v>1957.6501250000015</v>
      </c>
      <c r="L27" s="281">
        <f>L13+L17+L24+L19+L15</f>
        <v>156612.01000000013</v>
      </c>
      <c r="M27" s="282">
        <f>J27-D27</f>
        <v>1</v>
      </c>
      <c r="N27" s="281">
        <f>L27-F27</f>
        <v>-116377.22631439927</v>
      </c>
      <c r="O27" s="282">
        <f>+O13+O15+O17</f>
        <v>55</v>
      </c>
      <c r="P27" s="280">
        <f>IF(O27&lt;=0,0,Q27/O27)</f>
        <v>2826.8116363636341</v>
      </c>
      <c r="Q27" s="281">
        <f>Q13+Q17+Q24+Q19+Q15</f>
        <v>155474.63999999987</v>
      </c>
      <c r="R27" s="282">
        <f>J27-O27</f>
        <v>25</v>
      </c>
      <c r="S27" s="281">
        <f>L27-Q27</f>
        <v>1137.3700000002573</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31"/>
      <c r="L28" s="893">
        <f>L27/F27</f>
        <v>0.57369298553453363</v>
      </c>
      <c r="M28" s="286">
        <f>M27/D27</f>
        <v>1.2658227848101266E-2</v>
      </c>
      <c r="N28" s="287">
        <f>N27/F27</f>
        <v>-0.42630701446546632</v>
      </c>
      <c r="O28" s="283"/>
      <c r="P28" s="284"/>
      <c r="Q28" s="285"/>
      <c r="R28" s="286">
        <f>R27/O27</f>
        <v>0.45454545454545453</v>
      </c>
      <c r="S28" s="287">
        <f>IF(Q27=0,0,S27/Q27)</f>
        <v>7.3154695839801158E-3</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0.31274572199224637</v>
      </c>
      <c r="E31" s="291">
        <f t="shared" ref="E31:E36" si="14">F31/D$24</f>
        <v>707.51031632989282</v>
      </c>
      <c r="F31" s="254">
        <f>+INDEX('Budget original'!$A$2:$AO$501,MATCH($A31,'Budget original'!$A$2:$A$501,0),MATCH(F$2,'Budget original'!$A$2:$AO$2,0))</f>
        <v>52355.763408412065</v>
      </c>
      <c r="G31" s="292"/>
      <c r="H31" s="291"/>
      <c r="I31" s="254"/>
      <c r="J31" s="292">
        <f>L31/(L15+L13+L17)</f>
        <v>0.41773633851642117</v>
      </c>
      <c r="K31" s="291">
        <f t="shared" ref="K31:K40" si="15">IF(L31=0,0,L31/J$24)</f>
        <v>719.23321428571421</v>
      </c>
      <c r="L31" s="254">
        <f>SUMIFS(BV_Data_An_Cour!$O:$O,BV_Data_An_Cour!$U:$U,$B31,BV_Data_An_Cour!$V:$V,$C31,BV_Data_An_Cour!$W:$W,L$2)</f>
        <v>40277.06</v>
      </c>
      <c r="M31" s="253"/>
      <c r="N31" s="276">
        <f t="shared" ref="N31:N53" si="16">L31-F31</f>
        <v>-12078.703408412068</v>
      </c>
      <c r="O31" s="1088">
        <f>Q31/(Q13+Q15+Q17)</f>
        <v>0.28209804914697073</v>
      </c>
      <c r="P31" s="291">
        <f t="shared" ref="P31:P40" si="17">Q31/O$24</f>
        <v>558.17581818181816</v>
      </c>
      <c r="Q31" s="256">
        <f t="array" ref="Q31">+INDEX('Réel 2024'!$A$2:$AO$501,MATCH($A31,'Réel 2024'!$A$2:$A$501,0),MATCH(Q$2,'Réel 2024'!$A$2:$AO$2,0))</f>
        <v>30699.67</v>
      </c>
      <c r="R31" s="253"/>
      <c r="S31" s="276">
        <f t="shared" ref="S31:S53" si="18">L31-Q31</f>
        <v>9577.39</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v>
      </c>
      <c r="E32" s="294">
        <f t="shared" si="14"/>
        <v>240</v>
      </c>
      <c r="F32" s="248">
        <f>+INDEX('Budget original'!$A$2:$AO$501,MATCH($A32,'Budget original'!$A$2:$A$501,0),MATCH(F$2,'Budget original'!$A$2:$AO$2,0))</f>
        <v>17760</v>
      </c>
      <c r="G32" s="295"/>
      <c r="H32" s="294"/>
      <c r="I32" s="248"/>
      <c r="J32" s="295">
        <f>L32/L24</f>
        <v>0.2011414018716644</v>
      </c>
      <c r="K32" s="294">
        <f t="shared" si="15"/>
        <v>199.62303571428569</v>
      </c>
      <c r="L32" s="248">
        <f>SUMIFS(BV_Data_An_Cour!$O:$O,BV_Data_An_Cour!$U:$U,$B32,BV_Data_An_Cour!$V:$V,$C32,BV_Data_An_Cour!$W:$W,L$2)</f>
        <v>11178.89</v>
      </c>
      <c r="M32" s="246"/>
      <c r="N32" s="296">
        <f t="shared" si="16"/>
        <v>-6581.1100000000006</v>
      </c>
      <c r="O32" s="1089">
        <f>Q32/Q24</f>
        <v>0.30698941987636708</v>
      </c>
      <c r="P32" s="294">
        <f t="shared" si="17"/>
        <v>187.81054545454546</v>
      </c>
      <c r="Q32" s="248">
        <f t="array" ref="Q32">+INDEX('Réel 2024'!$A$2:$AO$501,MATCH($A32,'Réel 2024'!$A$2:$A$501,0),MATCH(Q$2,'Réel 2024'!$A$2:$AO$2,0))</f>
        <v>10329.58</v>
      </c>
      <c r="R32" s="246"/>
      <c r="S32" s="296">
        <f t="shared" si="18"/>
        <v>849.30999999999949</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8510</v>
      </c>
      <c r="G33" s="298"/>
      <c r="H33" s="291"/>
      <c r="I33" s="254"/>
      <c r="J33" s="253"/>
      <c r="K33" s="291">
        <f t="shared" si="15"/>
        <v>141.28839285714284</v>
      </c>
      <c r="L33" s="254">
        <f>SUMIFS(BV_Data_An_Cour!$O:$O,BV_Data_An_Cour!$U:$U,$B33,BV_Data_An_Cour!$V:$V,$C33,BV_Data_An_Cour!$W:$W,L$2)</f>
        <v>7912.15</v>
      </c>
      <c r="M33" s="253"/>
      <c r="N33" s="276">
        <f t="shared" si="16"/>
        <v>-597.85000000000036</v>
      </c>
      <c r="O33" s="253"/>
      <c r="P33" s="291">
        <f t="shared" si="17"/>
        <v>35.17581818181818</v>
      </c>
      <c r="Q33" s="256">
        <f t="array" ref="Q33">+INDEX('Réel 2024'!$A$2:$AO$501,MATCH($A33,'Réel 2024'!$A$2:$A$501,0),MATCH(Q$2,'Réel 2024'!$A$2:$AO$2,0))</f>
        <v>1934.67</v>
      </c>
      <c r="R33" s="253"/>
      <c r="S33" s="276">
        <f t="shared" si="18"/>
        <v>5977.48</v>
      </c>
      <c r="T33" s="41"/>
      <c r="U33" s="1136"/>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740</v>
      </c>
      <c r="G34" s="298"/>
      <c r="H34" s="291"/>
      <c r="I34" s="254"/>
      <c r="J34" s="253"/>
      <c r="K34" s="291">
        <f t="shared" si="15"/>
        <v>0</v>
      </c>
      <c r="L34" s="254">
        <f>SUMIFS(BV_Data_An_Cour!$O:$O,BV_Data_An_Cour!$U:$U,$B34,BV_Data_An_Cour!$V:$V,$C34,BV_Data_An_Cour!$W:$W,L$2)</f>
        <v>0</v>
      </c>
      <c r="M34" s="253"/>
      <c r="N34" s="276">
        <f t="shared" si="16"/>
        <v>-740</v>
      </c>
      <c r="O34" s="253"/>
      <c r="P34" s="291">
        <f t="shared" si="17"/>
        <v>10.110181818181816</v>
      </c>
      <c r="Q34" s="256">
        <f t="array" ref="Q34">+INDEX('Réel 2024'!$A$2:$AO$501,MATCH($A34,'Réel 2024'!$A$2:$A$501,0),MATCH(Q$2,'Réel 2024'!$A$2:$AO$2,0))</f>
        <v>556.05999999999995</v>
      </c>
      <c r="R34" s="253"/>
      <c r="S34" s="276">
        <f t="shared" si="18"/>
        <v>-556.05999999999995</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v>
      </c>
      <c r="F35" s="248">
        <f>+INDEX('Budget original'!$A$2:$AO$501,MATCH($A35,'Budget original'!$A$2:$A$501,0),MATCH(F$2,'Budget original'!$A$2:$AO$2,0))</f>
        <v>8880</v>
      </c>
      <c r="G35" s="300"/>
      <c r="H35" s="294"/>
      <c r="I35" s="248"/>
      <c r="J35" s="246"/>
      <c r="K35" s="294">
        <f t="shared" si="15"/>
        <v>138.72375</v>
      </c>
      <c r="L35" s="248">
        <f>SUMIFS(BV_Data_An_Cour!$O:$O,BV_Data_An_Cour!$U:$U,$B35,BV_Data_An_Cour!$V:$V,$C35,BV_Data_An_Cour!$W:$W,L$2)</f>
        <v>7768.53</v>
      </c>
      <c r="M35" s="246"/>
      <c r="N35" s="296">
        <f t="shared" si="16"/>
        <v>-1111.4700000000003</v>
      </c>
      <c r="O35" s="246"/>
      <c r="P35" s="294">
        <f t="shared" si="17"/>
        <v>117.53781818181818</v>
      </c>
      <c r="Q35" s="256">
        <f t="array" ref="Q35">+INDEX('Réel 2024'!$A$2:$AO$501,MATCH($A35,'Réel 2024'!$A$2:$A$501,0),MATCH(Q$2,'Réel 2024'!$A$2:$AO$2,0))</f>
        <v>6464.58</v>
      </c>
      <c r="R35" s="246"/>
      <c r="S35" s="296">
        <f t="shared" si="18"/>
        <v>1303.9499999999998</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-4.2905405405405403</v>
      </c>
      <c r="F36" s="254">
        <f>+INDEX('Budget original'!$A$2:$AO$501,MATCH($A36,'Budget original'!$A$2:$A$501,0),MATCH(F$2,'Budget original'!$A$2:$AO$2,0))</f>
        <v>-317.5</v>
      </c>
      <c r="G36" s="298"/>
      <c r="H36" s="291"/>
      <c r="I36" s="254"/>
      <c r="J36" s="253"/>
      <c r="K36" s="291">
        <f t="shared" si="15"/>
        <v>-51.488214285714285</v>
      </c>
      <c r="L36" s="301">
        <f>SUMIFS(BV_Data_An_Cour!$O:$O,BV_Data_An_Cour!$U:$U,$B36,BV_Data_An_Cour!$V:$V,$C36,BV_Data_An_Cour!$W:$W,L$2)</f>
        <v>-2883.34</v>
      </c>
      <c r="M36" s="41"/>
      <c r="N36" s="276">
        <f t="shared" si="16"/>
        <v>-2565.84</v>
      </c>
      <c r="O36" s="253"/>
      <c r="P36" s="291">
        <f t="shared" si="17"/>
        <v>367.98563636363633</v>
      </c>
      <c r="Q36" s="272">
        <f t="array" ref="Q36">+INDEX('Réel 2024'!$A$2:$AO$501,MATCH($A36,'Réel 2024'!$A$2:$A$501,0),MATCH(Q$2,'Réel 2024'!$A$2:$AO$2,0))</f>
        <v>20239.21</v>
      </c>
      <c r="R36" s="253"/>
      <c r="S36" s="276">
        <f t="shared" si="18"/>
        <v>-23122.55</v>
      </c>
      <c r="T36" s="41"/>
      <c r="U36" s="1280"/>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321.98092245036372</v>
      </c>
      <c r="F37" s="254">
        <f>+INDEX('Budget original'!$A$2:$AO$501,MATCH($A37,'Budget original'!$A$2:$A$501,0),MATCH(F$2,'Budget original'!$A$2:$AO$2,0))</f>
        <v>23826.588261326917</v>
      </c>
      <c r="G37" s="298"/>
      <c r="H37" s="291"/>
      <c r="I37" s="254"/>
      <c r="J37" s="253"/>
      <c r="K37" s="1285">
        <f t="shared" si="15"/>
        <v>500.01482142857145</v>
      </c>
      <c r="L37" s="894">
        <f>SUMIFS(BV_Data_An_Cour!$O:$O,BV_Data_An_Cour!$U:$U,$B37,BV_Data_An_Cour!$V:$V,$C37,BV_Data_An_Cour!$W:$W,L$2)</f>
        <v>28000.83</v>
      </c>
      <c r="M37" s="41"/>
      <c r="N37" s="904">
        <f t="shared" si="16"/>
        <v>4174.2417386730849</v>
      </c>
      <c r="O37" s="253"/>
      <c r="P37" s="291">
        <f t="shared" si="17"/>
        <v>437.24599999999998</v>
      </c>
      <c r="Q37" s="256">
        <f t="array" ref="Q37">+INDEX('Réel 2024'!$A$2:$AO$501,MATCH($A37,'Réel 2024'!$A$2:$A$501,0),MATCH(Q$2,'Réel 2024'!$A$2:$AO$2,0))</f>
        <v>24048.53</v>
      </c>
      <c r="R37" s="253"/>
      <c r="S37" s="276">
        <f t="shared" si="18"/>
        <v>3952.3000000000029</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0.40937457160776797</v>
      </c>
      <c r="F41" s="307">
        <f>SUM(F31:F40)</f>
        <v>111754.85166973899</v>
      </c>
      <c r="G41" s="308"/>
      <c r="H41" s="306"/>
      <c r="I41" s="307"/>
      <c r="J41" s="308" t="s">
        <v>119</v>
      </c>
      <c r="K41" s="306">
        <f>L41/L$27</f>
        <v>0.58906159240277889</v>
      </c>
      <c r="L41" s="307">
        <f>SUM(L31:L40)</f>
        <v>92254.12000000001</v>
      </c>
      <c r="M41" s="309"/>
      <c r="N41" s="307">
        <f t="shared" si="16"/>
        <v>-19500.731669738976</v>
      </c>
      <c r="O41" s="308" t="s">
        <v>119</v>
      </c>
      <c r="P41" s="306">
        <f>Q41/Q$27</f>
        <v>0.60635162107466578</v>
      </c>
      <c r="Q41" s="310">
        <f>SUM(Q31:Q40)</f>
        <v>94272.299999999988</v>
      </c>
      <c r="R41" s="311"/>
      <c r="S41" s="307">
        <f t="shared" si="18"/>
        <v>-2018.1799999999785</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20698.717948717946</v>
      </c>
      <c r="G42" s="253"/>
      <c r="H42" s="41"/>
      <c r="I42" s="254"/>
      <c r="J42" s="253"/>
      <c r="K42" s="41"/>
      <c r="L42" s="256">
        <f>SUMIFS(BV_Data_An_Cour!$O:$O,BV_Data_An_Cour!$U:$U,$B42,BV_Data_An_Cour!$V:$V,$C42,BV_Data_An_Cour!$W:$W,L$2)</f>
        <v>8276.74</v>
      </c>
      <c r="M42" s="253"/>
      <c r="N42" s="276">
        <f t="shared" si="16"/>
        <v>-12421.977948717946</v>
      </c>
      <c r="O42" s="253"/>
      <c r="P42" s="1087">
        <f>Q42/Q27</f>
        <v>0.15248480395259331</v>
      </c>
      <c r="Q42" s="256">
        <f t="array" ref="Q42">+INDEX('Réel 2024'!$A$2:$AO$501,MATCH($A42,'Réel 2024'!$A$2:$A$501,0),MATCH(Q$2,'Réel 2024'!$A$2:$AO$2,0))</f>
        <v>23707.52</v>
      </c>
      <c r="R42" s="253"/>
      <c r="S42" s="276">
        <f t="shared" si="18"/>
        <v>-15430.78</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18491.133085468718</v>
      </c>
      <c r="G43" s="298"/>
      <c r="H43" s="41"/>
      <c r="I43" s="248"/>
      <c r="J43" s="253"/>
      <c r="K43" s="41"/>
      <c r="L43" s="256">
        <f>SUMIFS(BV_Data_An_Cour!$O:$O,BV_Data_An_Cour!$U:$U,$B43,BV_Data_An_Cour!$V:$V,$C43,BV_Data_An_Cour!$W:$W,L$2)</f>
        <v>12360.33</v>
      </c>
      <c r="M43" s="253"/>
      <c r="N43" s="276">
        <f t="shared" si="16"/>
        <v>-6130.8030854687186</v>
      </c>
      <c r="O43" s="253"/>
      <c r="P43" s="41"/>
      <c r="Q43" s="256">
        <f t="array" ref="Q43">+INDEX('Réel 2024'!$A$2:$AO$501,MATCH($A43,'Réel 2024'!$A$2:$A$501,0),MATCH(Q$2,'Réel 2024'!$A$2:$AO$2,0))</f>
        <v>12526.87</v>
      </c>
      <c r="R43" s="253"/>
      <c r="S43" s="276">
        <f t="shared" si="18"/>
        <v>-166.54000000000087</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0</v>
      </c>
      <c r="G44" s="316"/>
      <c r="H44" s="315"/>
      <c r="I44" s="254"/>
      <c r="J44" s="241"/>
      <c r="K44" s="315"/>
      <c r="L44" s="272">
        <f>SUMIFS(BV_Data_An_Cour!$O:$O,BV_Data_An_Cour!$U:$U,$B44,BV_Data_An_Cour!$V:$V,$C44,BV_Data_An_Cour!$W:$W,L$2)</f>
        <v>7219.67</v>
      </c>
      <c r="M44" s="241"/>
      <c r="N44" s="317">
        <f t="shared" si="16"/>
        <v>7219.67</v>
      </c>
      <c r="O44" s="241"/>
      <c r="P44" s="315"/>
      <c r="Q44" s="272">
        <f t="array" ref="Q44">+INDEX('Réel 2024'!$A$2:$AO$501,MATCH($A44,'Réel 2024'!$A$2:$A$501,0),MATCH(Q$2,'Réel 2024'!$A$2:$AO$2,0))</f>
        <v>-312</v>
      </c>
      <c r="R44" s="241"/>
      <c r="S44" s="317">
        <f t="shared" si="18"/>
        <v>7531.67</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12643.918376575097</v>
      </c>
      <c r="G49" s="298"/>
      <c r="H49" s="41"/>
      <c r="I49" s="248"/>
      <c r="J49" s="253"/>
      <c r="K49" s="41"/>
      <c r="L49" s="248">
        <f>SUMIFS(BV_Data_An_Cour!$O:$O,BV_Data_An_Cour!$U:$U,$B49,BV_Data_An_Cour!$V:$V,$C49,BV_Data_An_Cour!$W:$W,L$2)</f>
        <v>10662.01</v>
      </c>
      <c r="M49" s="253"/>
      <c r="N49" s="276">
        <f t="shared" si="16"/>
        <v>-1981.9083765750966</v>
      </c>
      <c r="O49" s="253"/>
      <c r="P49" s="41"/>
      <c r="Q49" s="248">
        <f t="array" ref="Q49">+INDEX('Réel 2024'!$A$2:$AO$501,MATCH($A49,'Réel 2024'!$A$2:$A$501,0),MATCH(Q$2,'Réel 2024'!$A$2:$AO$2,0))</f>
        <v>12291.71</v>
      </c>
      <c r="R49" s="253"/>
      <c r="S49" s="276">
        <f t="shared" si="18"/>
        <v>-1629.6999999999989</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15373.222343324787</v>
      </c>
      <c r="G50" s="316"/>
      <c r="H50" s="315"/>
      <c r="I50" s="254"/>
      <c r="J50" s="241"/>
      <c r="K50" s="315"/>
      <c r="L50" s="256">
        <f>SUMIFS(BV_Data_An_Cour!$O:$O,BV_Data_An_Cour!$U:$U,$B50,BV_Data_An_Cour!$V:$V,$C50,BV_Data_An_Cour!$W:$W,L$2)</f>
        <v>13455.59</v>
      </c>
      <c r="M50" s="241"/>
      <c r="N50" s="317">
        <f t="shared" si="16"/>
        <v>-1917.6323433247871</v>
      </c>
      <c r="O50" s="241"/>
      <c r="P50" s="315"/>
      <c r="Q50" s="256">
        <f t="array" ref="Q50">+INDEX('Réel 2024'!$A$2:$AO$501,MATCH($A50,'Réel 2024'!$A$2:$A$501,0),MATCH(Q$2,'Réel 2024'!$A$2:$AO$2,0))</f>
        <v>14654.31</v>
      </c>
      <c r="R50" s="241"/>
      <c r="S50" s="317">
        <f t="shared" si="18"/>
        <v>-1198.7199999999993</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7920.5515116695087</v>
      </c>
      <c r="G51" s="298"/>
      <c r="H51" s="41"/>
      <c r="I51" s="254"/>
      <c r="J51" s="253"/>
      <c r="K51" s="41"/>
      <c r="L51" s="256">
        <f>SUMIFS(BV_Data_An_Cour!$O:$O,BV_Data_An_Cour!$U:$U,$B51,BV_Data_An_Cour!$V:$V,$C51,BV_Data_An_Cour!$W:$W,L$2)</f>
        <v>6062.58</v>
      </c>
      <c r="M51" s="253"/>
      <c r="N51" s="276">
        <f t="shared" si="16"/>
        <v>-1857.9715116695088</v>
      </c>
      <c r="O51" s="253"/>
      <c r="P51" s="41"/>
      <c r="Q51" s="256">
        <f t="array" ref="Q51">+INDEX('Réel 2024'!$A$2:$AO$501,MATCH($A51,'Réel 2024'!$A$2:$A$501,0),MATCH(Q$2,'Réel 2024'!$A$2:$AO$2,0))</f>
        <v>7784.41</v>
      </c>
      <c r="R51" s="253"/>
      <c r="S51" s="276">
        <f t="shared" si="18"/>
        <v>-1721.83</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3453.4050191526694</v>
      </c>
      <c r="G52" s="298"/>
      <c r="H52" s="41"/>
      <c r="I52" s="254"/>
      <c r="J52" s="253"/>
      <c r="K52" s="41"/>
      <c r="L52" s="256">
        <f>SUMIFS(BV_Data_An_Cour!$O:$O,BV_Data_An_Cour!$U:$U,$B52,BV_Data_An_Cour!$V:$V,$C52,BV_Data_An_Cour!$W:$W,L$2)</f>
        <v>1876.33</v>
      </c>
      <c r="M52" s="253"/>
      <c r="N52" s="276">
        <f t="shared" si="16"/>
        <v>-1577.0750191526695</v>
      </c>
      <c r="O52" s="253"/>
      <c r="P52" s="41"/>
      <c r="Q52" s="256">
        <f t="array" ref="Q52">+INDEX('Réel 2024'!$A$2:$AO$501,MATCH($A52,'Réel 2024'!$A$2:$A$501,0),MATCH(Q$2,'Réel 2024'!$A$2:$AO$2,0))</f>
        <v>2218.0500000000002</v>
      </c>
      <c r="R52" s="253"/>
      <c r="S52" s="276">
        <f t="shared" si="18"/>
        <v>-341.72000000000025</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0.28785365073664554</v>
      </c>
      <c r="F54" s="307">
        <f>+SUM(F42:F53)</f>
        <v>78580.948284908722</v>
      </c>
      <c r="G54" s="308"/>
      <c r="H54" s="306"/>
      <c r="I54" s="307"/>
      <c r="J54" s="308" t="s">
        <v>119</v>
      </c>
      <c r="K54" s="306">
        <f>L54/L$27</f>
        <v>0.38255846406670824</v>
      </c>
      <c r="L54" s="307">
        <f>+SUM(L42:L53)</f>
        <v>59913.25</v>
      </c>
      <c r="M54" s="311"/>
      <c r="N54" s="307">
        <f>+SUM(N42:N53)</f>
        <v>-18667.698284908729</v>
      </c>
      <c r="O54" s="308" t="s">
        <v>119</v>
      </c>
      <c r="P54" s="306">
        <f>Q54/Q$27</f>
        <v>0.46869939689199508</v>
      </c>
      <c r="Q54" s="307">
        <f>+SUM(Q42:Q53)</f>
        <v>72870.87</v>
      </c>
      <c r="R54" s="311"/>
      <c r="S54" s="307">
        <f>+SUM(S42:S53)</f>
        <v>-12957.619999999999</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6586.98</v>
      </c>
      <c r="M57" s="246"/>
      <c r="N57" s="296">
        <f t="shared" si="19"/>
        <v>-2365.5679333333337</v>
      </c>
      <c r="O57" s="246"/>
      <c r="P57" s="318"/>
      <c r="Q57" s="248">
        <f t="array" ref="Q57">+INDEX('Réel 2024'!$A$2:$AO$501,MATCH($A57,'Réel 2024'!$A$2:$A$501,0),MATCH(Q$2,'Réel 2024'!$A$2:$AO$2,0))</f>
        <v>8585.7900000000009</v>
      </c>
      <c r="R57" s="246"/>
      <c r="S57" s="296">
        <f t="shared" si="20"/>
        <v>-1998.8100000000013</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6690</v>
      </c>
      <c r="G58" s="298"/>
      <c r="H58" s="41"/>
      <c r="I58" s="254"/>
      <c r="J58" s="253"/>
      <c r="K58" s="41"/>
      <c r="L58" s="256">
        <f>SUMIFS(BV_Data_An_Cour!$O:$O,BV_Data_An_Cour!$U:$U,$B58,BV_Data_An_Cour!$V:$V,$C58,BV_Data_An_Cour!$W:$W,L$2)</f>
        <v>7443.72</v>
      </c>
      <c r="M58" s="253"/>
      <c r="N58" s="276">
        <f t="shared" si="19"/>
        <v>753.72000000000025</v>
      </c>
      <c r="O58" s="253"/>
      <c r="P58" s="41"/>
      <c r="Q58" s="256">
        <f t="array" ref="Q58">+INDEX('Réel 2024'!$A$2:$AO$501,MATCH($A58,'Réel 2024'!$A$2:$A$501,0),MATCH(Q$2,'Réel 2024'!$A$2:$AO$2,0))</f>
        <v>7256.78</v>
      </c>
      <c r="R58" s="253"/>
      <c r="S58" s="276">
        <f t="shared" si="20"/>
        <v>186.94000000000051</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1500</v>
      </c>
      <c r="G59" s="298"/>
      <c r="H59" s="41"/>
      <c r="I59" s="254"/>
      <c r="J59" s="253"/>
      <c r="K59" s="41"/>
      <c r="L59" s="256">
        <f>SUMIFS(BV_Data_An_Cour!$O:$O,BV_Data_An_Cour!$U:$U,$B59,BV_Data_An_Cour!$V:$V,$C59,BV_Data_An_Cour!$W:$W,L$2)</f>
        <v>1992.45</v>
      </c>
      <c r="M59" s="253"/>
      <c r="N59" s="276">
        <f t="shared" si="19"/>
        <v>492.45000000000005</v>
      </c>
      <c r="O59" s="253"/>
      <c r="P59" s="41"/>
      <c r="Q59" s="256">
        <f t="array" ref="Q59">+INDEX('Réel 2024'!$A$2:$AO$501,MATCH($A59,'Réel 2024'!$A$2:$A$501,0),MATCH(Q$2,'Réel 2024'!$A$2:$AO$2,0))</f>
        <v>1059.24</v>
      </c>
      <c r="R59" s="253"/>
      <c r="S59" s="276">
        <f t="shared" si="20"/>
        <v>933.21</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3629.12</v>
      </c>
      <c r="G60" s="300"/>
      <c r="H60" s="318"/>
      <c r="I60" s="248"/>
      <c r="J60" s="246"/>
      <c r="K60" s="318"/>
      <c r="L60" s="248">
        <f>SUMIFS(BV_Data_An_Cour!$O:$O,BV_Data_An_Cour!$U:$U,$B60,BV_Data_An_Cour!$V:$V,$C60,BV_Data_An_Cour!$W:$W,L$2)</f>
        <v>2526.25</v>
      </c>
      <c r="M60" s="246"/>
      <c r="N60" s="296">
        <f t="shared" si="19"/>
        <v>-1102.8699999999999</v>
      </c>
      <c r="O60" s="246"/>
      <c r="P60" s="318"/>
      <c r="Q60" s="248">
        <f t="array" ref="Q60">+INDEX('Réel 2024'!$A$2:$AO$501,MATCH($A60,'Réel 2024'!$A$2:$A$501,0),MATCH(Q$2,'Réel 2024'!$A$2:$AO$2,0))</f>
        <v>10430.41</v>
      </c>
      <c r="R60" s="246"/>
      <c r="S60" s="296">
        <f t="shared" si="20"/>
        <v>-7904.16</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70</v>
      </c>
      <c r="G61" s="298"/>
      <c r="H61" s="41"/>
      <c r="I61" s="254"/>
      <c r="J61" s="253"/>
      <c r="K61" s="41"/>
      <c r="L61" s="256">
        <f>SUMIFS(BV_Data_An_Cour!$O:$O,BV_Data_An_Cour!$U:$U,$B61,BV_Data_An_Cour!$V:$V,$C61,BV_Data_An_Cour!$W:$W,L$2)</f>
        <v>0</v>
      </c>
      <c r="M61" s="253"/>
      <c r="N61" s="276">
        <f t="shared" si="19"/>
        <v>-70</v>
      </c>
      <c r="O61" s="253"/>
      <c r="P61" s="41"/>
      <c r="Q61" s="256">
        <f t="array" ref="Q61">+INDEX('Réel 2024'!$A$2:$AO$501,MATCH($A61,'Réel 2024'!$A$2:$A$501,0),MATCH(Q$2,'Réel 2024'!$A$2:$AO$2,0))</f>
        <v>140.41</v>
      </c>
      <c r="R61" s="253"/>
      <c r="S61" s="276">
        <f t="shared" si="20"/>
        <v>-140.41</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0</v>
      </c>
      <c r="G62" s="298"/>
      <c r="H62" s="41"/>
      <c r="I62" s="254"/>
      <c r="J62" s="253"/>
      <c r="K62" s="41"/>
      <c r="L62" s="256">
        <f>SUMIFS(BV_Data_An_Cour!$O:$O,BV_Data_An_Cour!$U:$U,$B62,BV_Data_An_Cour!$V:$V,$C62,BV_Data_An_Cour!$W:$W,L$2)</f>
        <v>0</v>
      </c>
      <c r="M62" s="253"/>
      <c r="N62" s="276">
        <f t="shared" si="19"/>
        <v>0</v>
      </c>
      <c r="O62" s="253"/>
      <c r="P62" s="41"/>
      <c r="Q62" s="256">
        <f t="array" ref="Q62">+INDEX('Réel 2024'!$A$2:$AO$501,MATCH($A62,'Réel 2024'!$A$2:$A$501,0),MATCH(Q$2,'Réel 2024'!$A$2:$AO$2,0))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595</v>
      </c>
      <c r="G63" s="298"/>
      <c r="H63" s="41"/>
      <c r="I63" s="254"/>
      <c r="J63" s="253"/>
      <c r="K63" s="41"/>
      <c r="L63" s="256">
        <f>SUMIFS(BV_Data_An_Cour!$O:$O,BV_Data_An_Cour!$U:$U,$B63,BV_Data_An_Cour!$V:$V,$C63,BV_Data_An_Cour!$W:$W,L$2)</f>
        <v>1096.3800000000001</v>
      </c>
      <c r="M63" s="253"/>
      <c r="N63" s="276">
        <f t="shared" si="19"/>
        <v>501.38000000000011</v>
      </c>
      <c r="O63" s="253"/>
      <c r="P63" s="41"/>
      <c r="Q63" s="256">
        <f t="array" ref="Q63">+INDEX('Réel 2024'!$A$2:$AO$501,MATCH($A63,'Réel 2024'!$A$2:$A$501,0),MATCH(Q$2,'Réel 2024'!$A$2:$AO$2,0))</f>
        <v>543.03</v>
      </c>
      <c r="R63" s="253"/>
      <c r="S63" s="276">
        <f t="shared" si="20"/>
        <v>553.35000000000014</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437.5</v>
      </c>
      <c r="G64" s="298"/>
      <c r="H64" s="41"/>
      <c r="I64" s="254"/>
      <c r="J64" s="253"/>
      <c r="K64" s="41"/>
      <c r="L64" s="256">
        <f>SUMIFS(BV_Data_An_Cour!$O:$O,BV_Data_An_Cour!$U:$U,$B64,BV_Data_An_Cour!$V:$V,$C64,BV_Data_An_Cour!$W:$W,L$2)</f>
        <v>188.84</v>
      </c>
      <c r="M64" s="253"/>
      <c r="N64" s="276">
        <f t="shared" si="19"/>
        <v>-248.66</v>
      </c>
      <c r="O64" s="253"/>
      <c r="P64" s="41"/>
      <c r="Q64" s="256">
        <f t="array" ref="Q64">+INDEX('Réel 2024'!$A$2:$AO$501,MATCH($A64,'Réel 2024'!$A$2:$A$501,0),MATCH(Q$2,'Réel 2024'!$A$2:$AO$2,0))</f>
        <v>387.42</v>
      </c>
      <c r="R64" s="253"/>
      <c r="S64" s="276">
        <f t="shared" si="20"/>
        <v>-198.58</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227.92</v>
      </c>
      <c r="G65" s="298"/>
      <c r="H65" s="41"/>
      <c r="I65" s="254"/>
      <c r="J65" s="253"/>
      <c r="K65" s="41"/>
      <c r="L65" s="256">
        <f>SUMIFS(BV_Data_An_Cour!$O:$O,BV_Data_An_Cour!$U:$U,$B65,BV_Data_An_Cour!$V:$V,$C65,BV_Data_An_Cour!$W:$W,L$2)</f>
        <v>73.97</v>
      </c>
      <c r="M65" s="253"/>
      <c r="N65" s="276">
        <f t="shared" si="19"/>
        <v>-153.94999999999999</v>
      </c>
      <c r="O65" s="253"/>
      <c r="P65" s="41"/>
      <c r="Q65" s="256">
        <f t="array" ref="Q65">+INDEX('Réel 2024'!$A$2:$AO$501,MATCH($A65,'Réel 2024'!$A$2:$A$501,0),MATCH(Q$2,'Réel 2024'!$A$2:$AO$2,0))</f>
        <v>405.83</v>
      </c>
      <c r="R65" s="253"/>
      <c r="S65" s="276">
        <f t="shared" si="20"/>
        <v>-331.86</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120</v>
      </c>
      <c r="G66" s="298"/>
      <c r="H66" s="41"/>
      <c r="I66" s="254"/>
      <c r="J66" s="253"/>
      <c r="K66" s="41"/>
      <c r="L66" s="256">
        <f>SUMIFS(BV_Data_An_Cour!$O:$O,BV_Data_An_Cour!$U:$U,$B66,BV_Data_An_Cour!$V:$V,$C66,BV_Data_An_Cour!$W:$W,L$2)</f>
        <v>338.63</v>
      </c>
      <c r="M66" s="253"/>
      <c r="N66" s="276">
        <f t="shared" si="19"/>
        <v>218.63</v>
      </c>
      <c r="O66" s="253"/>
      <c r="P66" s="41"/>
      <c r="Q66" s="256">
        <f t="array" ref="Q66">+INDEX('Réel 2024'!$A$2:$AO$501,MATCH($A66,'Réel 2024'!$A$2:$A$501,0),MATCH(Q$2,'Réel 2024'!$A$2:$AO$2,0))</f>
        <v>71.209999999999994</v>
      </c>
      <c r="R66" s="253"/>
      <c r="S66" s="276">
        <f t="shared" si="20"/>
        <v>267.42</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1916.6666666666667</v>
      </c>
      <c r="G67" s="298"/>
      <c r="H67" s="41"/>
      <c r="I67" s="254"/>
      <c r="J67" s="253"/>
      <c r="K67" s="41"/>
      <c r="L67" s="256">
        <f>SUMIFS(BV_Data_An_Cour!$O:$O,BV_Data_An_Cour!$U:$U,$B67,BV_Data_An_Cour!$V:$V,$C67,BV_Data_An_Cour!$W:$W,L$2)</f>
        <v>703.36</v>
      </c>
      <c r="M67" s="253"/>
      <c r="N67" s="276">
        <f t="shared" si="19"/>
        <v>-1213.3066666666668</v>
      </c>
      <c r="O67" s="253"/>
      <c r="P67" s="41"/>
      <c r="Q67" s="256">
        <f t="array" ref="Q67">+INDEX('Réel 2024'!$A$2:$AO$501,MATCH($A67,'Réel 2024'!$A$2:$A$501,0),MATCH(Q$2,'Réel 2024'!$A$2:$AO$2,0))</f>
        <v>3869.98</v>
      </c>
      <c r="R67" s="253"/>
      <c r="S67" s="276">
        <f t="shared" si="20"/>
        <v>-3166.62</v>
      </c>
      <c r="T67" s="41"/>
      <c r="U67" s="1280"/>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3886.4260291018004</v>
      </c>
      <c r="G68" s="298"/>
      <c r="H68" s="41"/>
      <c r="I68" s="254"/>
      <c r="J68" s="253"/>
      <c r="K68" s="41"/>
      <c r="L68" s="895">
        <f>SUMIFS(BV_Data_An_Cour!$O:$O,BV_Data_An_Cour!$U:$U,$B68,BV_Data_An_Cour!$V:$V,$C68,BV_Data_An_Cour!$W:$W,L$2)</f>
        <v>3826.7</v>
      </c>
      <c r="M68" s="253"/>
      <c r="N68" s="904">
        <f t="shared" si="19"/>
        <v>-59.726029101800577</v>
      </c>
      <c r="O68" s="253"/>
      <c r="P68" s="41"/>
      <c r="Q68" s="256">
        <f t="array" ref="Q68">+INDEX('Réel 2024'!$A$2:$AO$501,MATCH($A68,'Réel 2024'!$A$2:$A$501,0),MATCH(Q$2,'Réel 2024'!$A$2:$AO$2,0))</f>
        <v>3719.82</v>
      </c>
      <c r="R68" s="253"/>
      <c r="S68" s="276">
        <f t="shared" si="20"/>
        <v>106.87999999999965</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0.10266038693490991</v>
      </c>
      <c r="F72" s="307">
        <f>+SUM(F55:F71)</f>
        <v>28025.1806291018</v>
      </c>
      <c r="G72" s="308"/>
      <c r="H72" s="306"/>
      <c r="I72" s="307"/>
      <c r="J72" s="308" t="s">
        <v>119</v>
      </c>
      <c r="K72" s="306">
        <f>L72/L$27</f>
        <v>0.1582080454749287</v>
      </c>
      <c r="L72" s="307">
        <f>+SUM(L55:L71)</f>
        <v>24777.280000000006</v>
      </c>
      <c r="M72" s="311"/>
      <c r="N72" s="307">
        <f>+SUM(N55:N71)</f>
        <v>-3247.9006291018009</v>
      </c>
      <c r="O72" s="308" t="s">
        <v>119</v>
      </c>
      <c r="P72" s="306">
        <f>Q72/Q$27</f>
        <v>0.23457150310815983</v>
      </c>
      <c r="Q72" s="307">
        <f>+SUM(Q55:Q71)</f>
        <v>36469.919999999998</v>
      </c>
      <c r="R72" s="311"/>
      <c r="S72" s="307">
        <f>+SUM(S55:S71)</f>
        <v>-11692.640000000001</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0.79988860927932348</v>
      </c>
      <c r="F74" s="307">
        <f>F41+F54+F72</f>
        <v>218360.98058374954</v>
      </c>
      <c r="G74" s="308"/>
      <c r="H74" s="306"/>
      <c r="I74" s="307"/>
      <c r="J74" s="308" t="s">
        <v>119</v>
      </c>
      <c r="K74" s="306">
        <f>L74/L$27</f>
        <v>1.1298281019444156</v>
      </c>
      <c r="L74" s="307">
        <f>L41+L54+L72</f>
        <v>176944.65</v>
      </c>
      <c r="M74" s="311"/>
      <c r="N74" s="320">
        <f t="shared" ref="N74:N82" si="21">L74-F74</f>
        <v>-41416.330583749543</v>
      </c>
      <c r="O74" s="308" t="s">
        <v>119</v>
      </c>
      <c r="P74" s="306">
        <f>Q74/Q$27</f>
        <v>1.3096225210748205</v>
      </c>
      <c r="Q74" s="307">
        <f>Q41+Q54+Q72</f>
        <v>203613.08999999997</v>
      </c>
      <c r="R74" s="311"/>
      <c r="S74" s="320">
        <f>L74-Q74</f>
        <v>-26668.439999999973</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35000</v>
      </c>
      <c r="G75" s="298"/>
      <c r="H75" s="41"/>
      <c r="I75" s="254"/>
      <c r="J75" s="253"/>
      <c r="K75" s="41"/>
      <c r="L75" s="256">
        <f>-SUMIFS(BV_Data_An_Cour!$O:$O,BV_Data_An_Cour!$U:$U,$B75,BV_Data_An_Cour!$V:$V,$C75,BV_Data_An_Cour!$W:$W,L$2)-L156</f>
        <v>37700</v>
      </c>
      <c r="M75" s="253"/>
      <c r="N75" s="276">
        <f t="shared" si="21"/>
        <v>2700</v>
      </c>
      <c r="O75" s="253"/>
      <c r="P75" s="41"/>
      <c r="Q75" s="256">
        <f>+INDEX('Réel 2024'!$A$2:$AO$501,MATCH($A75,'Réel 2024'!$A$2:$A$501,0),MATCH(Q$2,'Réel 2024'!$A$2:$AO$2,0))</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960">
        <f>+F78/D27</f>
        <v>1277.8827013247083</v>
      </c>
      <c r="F78" s="254">
        <f>+INDEX('Budget original'!$A$2:$AO$501,MATCH($A78,'Budget original'!$A$2:$A$501,0),MATCH(F$2,'Budget original'!$A$2:$AO$2,0))</f>
        <v>100952.73340465195</v>
      </c>
      <c r="G78" s="298"/>
      <c r="H78" s="41"/>
      <c r="I78" s="254"/>
      <c r="J78" s="1015"/>
      <c r="K78" s="960">
        <f>+L78/J27</f>
        <v>1615.285625</v>
      </c>
      <c r="L78" s="256">
        <f>-SUMIFS(BV_Data_An_Cour!$O:$O,BV_Data_An_Cour!$U:$U,$B78,BV_Data_An_Cour!$V:$V,$C78,BV_Data_An_Cour!$W:$W,L$2)</f>
        <v>129222.85</v>
      </c>
      <c r="M78" s="253"/>
      <c r="N78" s="276">
        <f t="shared" si="21"/>
        <v>28270.116595348052</v>
      </c>
      <c r="O78" s="253"/>
      <c r="P78" s="41"/>
      <c r="Q78" s="256">
        <f t="array" ref="Q78">+INDEX('Réel 2024'!$A$2:$AO$501,MATCH($A78,'Réel 2024'!$A$2:$A$501,0),MATCH(Q$2,'Réel 2024'!$A$2:$AO$2,0))</f>
        <v>69794</v>
      </c>
      <c r="R78" s="253"/>
      <c r="S78" s="276">
        <f t="shared" si="22"/>
        <v>59428.850000000006</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01">
        <f>E82/499</f>
        <v>0.9119238476953907</v>
      </c>
      <c r="E82" s="323">
        <f>+F82/D24</f>
        <v>455.04999999999995</v>
      </c>
      <c r="F82" s="254">
        <f>+INDEX('Budget original'!$A$2:$AO$501,MATCH($A82,'Budget original'!$A$2:$A$501,0),MATCH(F$2,'Budget original'!$A$2:$AO$2,0))</f>
        <v>33673.699999999997</v>
      </c>
      <c r="G82" s="298"/>
      <c r="H82" s="41"/>
      <c r="I82" s="254"/>
      <c r="J82" s="1103">
        <f>K82/474</f>
        <v>0.96786467751657634</v>
      </c>
      <c r="K82" s="323">
        <f>+L82/J24</f>
        <v>458.76785714285717</v>
      </c>
      <c r="L82" s="256">
        <f>-SUMIFS(BV_Data_An_Cour!$O:$O,BV_Data_An_Cour!$U:$U,$B82,BV_Data_An_Cour!$V:$V,$C82,BV_Data_An_Cour!$W:$W,L$2)</f>
        <v>25691</v>
      </c>
      <c r="M82" s="253"/>
      <c r="N82" s="276">
        <f t="shared" si="21"/>
        <v>-7982.6999999999971</v>
      </c>
      <c r="O82" s="253"/>
      <c r="P82" s="41"/>
      <c r="Q82" s="256">
        <f t="array" ref="Q82">+INDEX('Réel 2024'!$A$2:$AO$501,MATCH($A82,'Réel 2024'!$A$2:$A$501,0),MATCH(Q$2,'Réel 2024'!$A$2:$AO$2,0))</f>
        <v>23652</v>
      </c>
      <c r="R82" s="253"/>
      <c r="S82" s="276">
        <f t="shared" si="22"/>
        <v>2039</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169626.43340465194</v>
      </c>
      <c r="G83" s="308"/>
      <c r="H83" s="306"/>
      <c r="I83" s="307"/>
      <c r="J83" s="308"/>
      <c r="K83" s="306"/>
      <c r="L83" s="307">
        <f>+SUM(L75:L82)</f>
        <v>192613.85</v>
      </c>
      <c r="M83" s="311"/>
      <c r="N83" s="307">
        <f>+SUM(N75:N82)</f>
        <v>22987.416595348055</v>
      </c>
      <c r="O83" s="308"/>
      <c r="P83" s="306"/>
      <c r="Q83" s="307">
        <f>+SUM(Q75:Q82)</f>
        <v>93446</v>
      </c>
      <c r="R83" s="311"/>
      <c r="S83" s="307">
        <f>+SUM(S75:S82)</f>
        <v>61467.850000000006</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224254.6891353018</v>
      </c>
      <c r="G85" s="336"/>
      <c r="H85" s="334"/>
      <c r="I85" s="335"/>
      <c r="J85" s="336"/>
      <c r="K85" s="333"/>
      <c r="L85" s="335">
        <f>L27-L74+L83</f>
        <v>172281.21000000014</v>
      </c>
      <c r="M85" s="336"/>
      <c r="N85" s="335">
        <f>N27-N41-N54-N72+N83</f>
        <v>-51973.479135301721</v>
      </c>
      <c r="O85" s="336"/>
      <c r="P85" s="1090">
        <f>Q85/Q5</f>
        <v>1.5865495928417336E-2</v>
      </c>
      <c r="Q85" s="335">
        <f>Q27-Q74+Q83</f>
        <v>45307.549999999901</v>
      </c>
      <c r="R85" s="336"/>
      <c r="S85" s="335">
        <f>S27-S41-S54-S72+S83</f>
        <v>89273.660000000236</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17"/>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Mars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99" t="s">
        <v>343</v>
      </c>
      <c r="E91" s="1300"/>
      <c r="F91" s="1301"/>
      <c r="G91" s="1304"/>
      <c r="H91" s="1300"/>
      <c r="I91" s="1301"/>
      <c r="J91" s="1304" t="s">
        <v>344</v>
      </c>
      <c r="K91" s="1300"/>
      <c r="L91" s="1301"/>
      <c r="M91" s="1304" t="s">
        <v>3310</v>
      </c>
      <c r="N91" s="1301"/>
      <c r="O91" s="1299" t="s">
        <v>345</v>
      </c>
      <c r="P91" s="1300"/>
      <c r="Q91" s="1301"/>
      <c r="R91" s="1302" t="s">
        <v>3312</v>
      </c>
      <c r="S91" s="130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3317</v>
      </c>
      <c r="K92" s="243" t="s">
        <v>94</v>
      </c>
      <c r="L92" s="244" t="s">
        <v>95</v>
      </c>
      <c r="M92" s="245" t="s">
        <v>3317</v>
      </c>
      <c r="N92" s="244" t="s">
        <v>95</v>
      </c>
      <c r="O92" s="243" t="s">
        <v>93</v>
      </c>
      <c r="P92" s="243" t="s">
        <v>348</v>
      </c>
      <c r="Q92" s="244" t="s">
        <v>95</v>
      </c>
      <c r="R92" s="245" t="s">
        <v>3317</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1332498.4906039732</v>
      </c>
      <c r="G93" s="267"/>
      <c r="H93" s="250"/>
      <c r="I93" s="248"/>
      <c r="J93" s="246"/>
      <c r="K93" s="250"/>
      <c r="L93" s="248">
        <f>-SUMIFS(BV_Data_An_Cour!$O:$O,BV_Data_An_Cour!$X:$X,"Oui",BV_Data_An_Cour!$U:$U,$B93)</f>
        <v>964461.09000000008</v>
      </c>
      <c r="M93" s="342"/>
      <c r="N93" s="343"/>
      <c r="O93" s="246"/>
      <c r="P93" s="250"/>
      <c r="Q93" s="248">
        <f t="array" ref="Q93">+INDEX('Réel 2024'!$A$2:$AO$501,MATCH($A93,'Réel 2024'!$A$2:$A$501,0),MATCH(Q$2,'Réel 2024'!$A$2:$AO$2,0))</f>
        <v>833663.21</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31</v>
      </c>
      <c r="E94" s="254">
        <f>IF(D94=0,0,F94/D94)</f>
        <v>1500</v>
      </c>
      <c r="F94" s="254">
        <f>+INDEX('Budget original'!$A$2:$AO$501,MATCH($A94,'Budget original'!$A$2:$A$501,0),MATCH(F$2,'Budget original'!$A$2:$AO$2,0))</f>
        <v>46500</v>
      </c>
      <c r="G94" s="255"/>
      <c r="H94" s="254"/>
      <c r="I94" s="254"/>
      <c r="J94" s="255">
        <f>-SUMIFS(BV_Data_An_Cour!$O:$O,BV_Data_An_Cour!$U:$U,$B94,BV_Data_An_Cour!$V:$V,$C94,BV_Data_An_Cour!$W:$W,J$2)</f>
        <v>15</v>
      </c>
      <c r="K94" s="254">
        <f t="shared" ref="K94:K95" si="23">IF(J94=0,0,L94/J94)</f>
        <v>492.0213333333362</v>
      </c>
      <c r="L94" s="256">
        <f>-SUMIFS(BV_Data_An_Cour!$O:$O,BV_Data_An_Cour!$U:$U,$B94,BV_Data_An_Cour!$V:$V,$C94,BV_Data_An_Cour!$W:$W,$L2)</f>
        <v>7380.3200000000434</v>
      </c>
      <c r="M94" s="255">
        <f>J94-D94</f>
        <v>-16</v>
      </c>
      <c r="N94" s="256">
        <f>L94-F94</f>
        <v>-39119.679999999957</v>
      </c>
      <c r="O94" s="255">
        <f t="array" ref="O94">+INDEX('Réel 2024'!$A$2:$AO$501,MATCH($A94,'Réel 2024'!$A$2:$A$501,0),MATCH(O$2,'Réel 2024'!$A$2:$AO$2,0))</f>
        <v>28</v>
      </c>
      <c r="P94" s="254">
        <f t="shared" ref="P94:P96" si="24">IF(O94=0,0,Q94/O94)</f>
        <v>1195.8296428571393</v>
      </c>
      <c r="Q94" s="256">
        <f t="array" ref="Q94">+INDEX('Réel 2024'!$A$2:$AO$501,MATCH($A94,'Réel 2024'!$A$2:$A$501,0),MATCH(Q$2,'Réel 2024'!$A$2:$AO$2,0))</f>
        <v>33483.229999999901</v>
      </c>
      <c r="R94" s="255">
        <f t="shared" ref="R94:R95" si="25">J94-O94</f>
        <v>-13</v>
      </c>
      <c r="S94" s="256">
        <f t="shared" ref="S94:S95" si="26">L94-Q94</f>
        <v>-26102.909999999858</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9</v>
      </c>
      <c r="E95" s="1019">
        <f t="shared" ref="E95:E105" si="27">IF(D95=0,0,F95/D95)</f>
        <v>1500</v>
      </c>
      <c r="F95" s="254">
        <f>+INDEX('Budget original'!$A$2:$AO$501,MATCH($A95,'Budget original'!$A$2:$A$501,0),MATCH(F$2,'Budget original'!$A$2:$AO$2,0))</f>
        <v>13500</v>
      </c>
      <c r="G95" s="255"/>
      <c r="H95" s="254"/>
      <c r="I95" s="254"/>
      <c r="J95" s="255">
        <f>-SUMIFS(BV_Data_An_Cour!$O:$O,BV_Data_An_Cour!$U:$U,$B95,BV_Data_An_Cour!$V:$V,$C95,BV_Data_An_Cour!$W:$W,J$2)</f>
        <v>0</v>
      </c>
      <c r="K95" s="254">
        <f t="shared" si="23"/>
        <v>0</v>
      </c>
      <c r="L95" s="256">
        <f>-SUMIFS(BV_Data_An_Cour!$O:$O,BV_Data_An_Cour!$U:$U,$B95,BV_Data_An_Cour!$V:$V,$C95,BV_Data_An_Cour!$W:$W,$L2)</f>
        <v>-6367.51</v>
      </c>
      <c r="M95" s="255">
        <f>J95-D95</f>
        <v>-9</v>
      </c>
      <c r="N95" s="256">
        <f>L95-F95</f>
        <v>-19867.510000000002</v>
      </c>
      <c r="O95" s="255">
        <f t="array" ref="O95">+INDEX('Réel 2024'!$A$2:$AO$501,MATCH($A95,'Réel 2024'!$A$2:$A$501,0),MATCH(O$2,'Réel 2024'!$A$2:$AO$2,0))</f>
        <v>1</v>
      </c>
      <c r="P95" s="254">
        <f t="shared" si="24"/>
        <v>3949.99</v>
      </c>
      <c r="Q95" s="256">
        <f t="array" ref="Q95">+INDEX('Réel 2024'!$A$2:$AO$501,MATCH($A95,'Réel 2024'!$A$2:$A$501,0),MATCH(Q$2,'Réel 2024'!$A$2:$AO$2,0))</f>
        <v>3949.99</v>
      </c>
      <c r="R95" s="255">
        <f t="shared" si="25"/>
        <v>-1</v>
      </c>
      <c r="S95" s="256">
        <f t="shared" si="26"/>
        <v>-10317.5</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30" t="s">
        <v>3858</v>
      </c>
      <c r="D96" s="254">
        <f>+INDEX('Budget original'!$A$2:$AO$501,MATCH($A96,'Budget original'!$A$2:$A$501,0),MATCH(D$2,'Budget original'!$A$2:$AO$2,0))</f>
        <v>9</v>
      </c>
      <c r="E96" s="1021">
        <f t="shared" si="27"/>
        <v>1500</v>
      </c>
      <c r="F96" s="254">
        <f>+INDEX('Budget original'!$A$2:$AO$501,MATCH($A96,'Budget original'!$A$2:$A$501,0),MATCH(F$2,'Budget original'!$A$2:$AO$2,0))</f>
        <v>13500</v>
      </c>
      <c r="G96" s="1020"/>
      <c r="H96" s="254"/>
      <c r="I96" s="254"/>
      <c r="J96" s="1020">
        <f>-SUMIFS(BV_Data_An_Cour!$O:$O,BV_Data_An_Cour!$U:$U,$B96,BV_Data_An_Cour!$V:$V,$C96,BV_Data_An_Cour!$W:$W,J$2)</f>
        <v>3</v>
      </c>
      <c r="K96" s="254">
        <f t="shared" ref="K96" si="28">IF(J96=0,0,L96/J96)</f>
        <v>4096.9666666666644</v>
      </c>
      <c r="L96" s="895">
        <f>-SUMIFS(BV_Data_An_Cour!$O:$O,BV_Data_An_Cour!$U:$U,$B96,BV_Data_An_Cour!$V:$V,$C96,BV_Data_An_Cour!$W:$W,$L2)</f>
        <v>12290.899999999994</v>
      </c>
      <c r="M96" s="1020">
        <f>J96-D96</f>
        <v>-6</v>
      </c>
      <c r="N96" s="895">
        <f>L96-F96</f>
        <v>-1209.1000000000058</v>
      </c>
      <c r="O96" s="1020">
        <f>+INDEX('Réel 2024'!$A$2:$AO$501,MATCH($A96,'Réel 2024'!$A$2:$A$501,0),MATCH(O$2,'Réel 2024'!$A$2:$AO$2,0))</f>
        <v>1</v>
      </c>
      <c r="P96" s="254">
        <f t="shared" si="24"/>
        <v>4152.3</v>
      </c>
      <c r="Q96" s="895">
        <f>+INDEX('Réel 2024'!$A$2:$AO$501,MATCH($A96,'Réel 2024'!$A$2:$A$501,0),MATCH(Q$2,'Réel 2024'!$A$2:$AO$2,0))</f>
        <v>4152.3</v>
      </c>
      <c r="R96" s="1020">
        <f>J96-O96</f>
        <v>2</v>
      </c>
      <c r="S96" s="895">
        <f>L96-Q96</f>
        <v>8138.599999999994</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49</v>
      </c>
      <c r="E97" s="254">
        <f t="shared" si="27"/>
        <v>1500</v>
      </c>
      <c r="F97" s="261">
        <f>+F94+F95+F96</f>
        <v>73500</v>
      </c>
      <c r="G97" s="262"/>
      <c r="H97" s="260"/>
      <c r="I97" s="261"/>
      <c r="J97" s="262">
        <f>+J94+J95+J96</f>
        <v>18</v>
      </c>
      <c r="K97" s="1284">
        <f>IF(J97&lt;=0,0,L97/J97)</f>
        <v>739.09500000000207</v>
      </c>
      <c r="L97" s="261">
        <f>+L94+L95+L96</f>
        <v>13303.710000000037</v>
      </c>
      <c r="M97" s="262">
        <f>J97-D97</f>
        <v>-31</v>
      </c>
      <c r="N97" s="261">
        <f>L97-F97</f>
        <v>-60196.289999999964</v>
      </c>
      <c r="O97" s="262">
        <f>+O95+O94+O96</f>
        <v>30</v>
      </c>
      <c r="P97" s="260">
        <f>IF(O97=0,0,Q97/O97)</f>
        <v>1386.1839999999968</v>
      </c>
      <c r="Q97" s="261">
        <f>+Q94+Q95+Q96</f>
        <v>41585.519999999902</v>
      </c>
      <c r="R97" s="262">
        <f>R94+R95</f>
        <v>-14</v>
      </c>
      <c r="S97" s="261">
        <f>S94+S95</f>
        <v>-36420.409999999858</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-0.63265306122448983</v>
      </c>
      <c r="N98" s="346">
        <f>N97/F97</f>
        <v>-0.81899714285714242</v>
      </c>
      <c r="O98" s="253"/>
      <c r="P98" s="41">
        <f t="shared" ref="P98" si="30">IF(O98=0,0,Q98/O98)</f>
        <v>0</v>
      </c>
      <c r="Q98" s="263"/>
      <c r="R98" s="345">
        <f>R97/O97</f>
        <v>-0.46666666666666667</v>
      </c>
      <c r="S98" s="346">
        <f>IF(Q97=0,0,(S97/Q97))</f>
        <v>-0.87579546919215978</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9</v>
      </c>
      <c r="E100" s="254">
        <f t="shared" si="27"/>
        <v>500</v>
      </c>
      <c r="F100" s="254">
        <f>+INDEX('Budget original'!$A$2:$AO$501,MATCH($A100,'Budget original'!$A$2:$A$501,0),MATCH(F$2,'Budget original'!$A$2:$AO$2,0))</f>
        <v>4500</v>
      </c>
      <c r="G100" s="255"/>
      <c r="H100" s="254"/>
      <c r="I100" s="254"/>
      <c r="J100" s="255">
        <f>-SUMIFS(BV_Data_An_Cour!$O:$O,BV_Data_An_Cour!$U:$U,$B100,BV_Data_An_Cour!$V:$V,$C100,BV_Data_An_Cour!$W:$W,J$2)</f>
        <v>28</v>
      </c>
      <c r="K100" s="254">
        <f>IF(J100=0,0,L100/J100)</f>
        <v>972.83571428571508</v>
      </c>
      <c r="L100" s="256">
        <f>-SUMIFS(BV_Data_An_Cour!$O:$O,BV_Data_An_Cour!$U:$U,$B100,BV_Data_An_Cour!$V:$V,$C100,BV_Data_An_Cour!$W:$W,L$2)</f>
        <v>27239.400000000023</v>
      </c>
      <c r="M100" s="255">
        <f>J100-D100</f>
        <v>19</v>
      </c>
      <c r="N100" s="256">
        <f>L100-F100</f>
        <v>22739.400000000023</v>
      </c>
      <c r="O100" s="255">
        <f t="array" ref="O100">+INDEX('Réel 2024'!$A$2:$AO$501,MATCH($A100,'Réel 2024'!$A$2:$A$501,0),MATCH(O$2,'Réel 2024'!$A$2:$AO$2,0))</f>
        <v>10</v>
      </c>
      <c r="P100" s="254">
        <f>IF(O100=0,0,Q100/O100)</f>
        <v>1059.873</v>
      </c>
      <c r="Q100" s="256">
        <f t="array" ref="Q100">+INDEX('Réel 2024'!$A$2:$AO$501,MATCH($A100,'Réel 2024'!$A$2:$A$501,0),MATCH(Q$2,'Réel 2024'!$A$2:$AO$2,0))</f>
        <v>10598.73</v>
      </c>
      <c r="R100" s="255">
        <f>J100-O100</f>
        <v>18</v>
      </c>
      <c r="S100" s="256">
        <f>L100-Q100</f>
        <v>16640.670000000024</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17150</v>
      </c>
      <c r="G102" s="255"/>
      <c r="H102" s="254"/>
      <c r="I102" s="254"/>
      <c r="J102" s="255"/>
      <c r="K102" s="254">
        <f>IF(J97=0,0,L102/J97)</f>
        <v>239.61111111111111</v>
      </c>
      <c r="L102" s="256">
        <f>-SUMIFS(BV_Data_An_Cour!$O:$O,BV_Data_An_Cour!$U:$U,$B102,BV_Data_An_Cour!$V:$V,$C102,BV_Data_An_Cour!$W:$W,$L2)</f>
        <v>4313</v>
      </c>
      <c r="M102" s="255"/>
      <c r="N102" s="256">
        <f>L102-F102</f>
        <v>-12837</v>
      </c>
      <c r="O102" s="255"/>
      <c r="P102" s="254"/>
      <c r="Q102" s="256">
        <f t="array" ref="Q102">+INDEX('Réel 2024'!$A$2:$AO$501,MATCH($A102,'Réel 2024'!$A$2:$A$501,0),MATCH(Q$2,'Réel 2024'!$A$2:$AO$2,0))</f>
        <v>11802.4</v>
      </c>
      <c r="R102" s="255">
        <f t="shared" ref="R102:R104" si="31">O102-K102</f>
        <v>-239.61111111111111</v>
      </c>
      <c r="S102" s="256">
        <f t="shared" ref="S102:S105" si="32">L102-Q102</f>
        <v>-7489.4</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78400</v>
      </c>
      <c r="G103" s="255"/>
      <c r="H103" s="254"/>
      <c r="I103" s="254"/>
      <c r="J103" s="255"/>
      <c r="K103" s="254">
        <f>IF(J97=0,0,L103/J97)</f>
        <v>1182.3283333333334</v>
      </c>
      <c r="L103" s="256">
        <f>-SUMIFS(BV_Data_An_Cour!$O:$O,BV_Data_An_Cour!$U:$U,$B103,BV_Data_An_Cour!$V:$V,$C103,BV_Data_An_Cour!$W:$W,$L2)</f>
        <v>21281.91</v>
      </c>
      <c r="M103" s="255"/>
      <c r="N103" s="256">
        <f>L103-F103</f>
        <v>-57118.09</v>
      </c>
      <c r="O103" s="255"/>
      <c r="P103" s="254"/>
      <c r="Q103" s="256">
        <f t="array" ref="Q103">+INDEX('Réel 2024'!$A$2:$AO$501,MATCH($A103,'Réel 2024'!$A$2:$A$501,0),MATCH(Q$2,'Réel 2024'!$A$2:$AO$2,0))</f>
        <v>42431.979999999901</v>
      </c>
      <c r="R103" s="255">
        <f t="shared" si="31"/>
        <v>-1182.3283333333334</v>
      </c>
      <c r="S103" s="256">
        <f t="shared" si="32"/>
        <v>-21150.069999999901</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2450</v>
      </c>
      <c r="G104" s="255"/>
      <c r="H104" s="250"/>
      <c r="I104" s="254"/>
      <c r="J104" s="255"/>
      <c r="K104" s="250">
        <f>IF(J97=0,0,L104/J97)</f>
        <v>0</v>
      </c>
      <c r="L104" s="256">
        <f>-SUMIFS(BV_Data_An_Cour!$O:$O,BV_Data_An_Cour!$U:$U,$B104,BV_Data_An_Cour!$V:$V,$C104,BV_Data_An_Cour!$W:$W,$L$2)</f>
        <v>0</v>
      </c>
      <c r="M104" s="267"/>
      <c r="N104" s="256">
        <f>L104-F104</f>
        <v>-2450</v>
      </c>
      <c r="O104" s="255"/>
      <c r="P104" s="250"/>
      <c r="Q104" s="256">
        <f t="array" ref="Q104">+INDEX('Réel 2024'!$A$2:$AO$501,MATCH($A104,'Réel 2024'!$A$2:$A$501,0),MATCH(Q$2,'Réel 2024'!$A$2:$AO$2,0))</f>
        <v>1824.82</v>
      </c>
      <c r="R104" s="255">
        <f t="shared" si="31"/>
        <v>0</v>
      </c>
      <c r="S104" s="256">
        <f t="shared" si="32"/>
        <v>-1824.82</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49</v>
      </c>
      <c r="E105" s="254">
        <f t="shared" si="27"/>
        <v>2000</v>
      </c>
      <c r="F105" s="261">
        <f>F102+F103+F104</f>
        <v>98000</v>
      </c>
      <c r="G105" s="262"/>
      <c r="H105" s="260"/>
      <c r="I105" s="261"/>
      <c r="J105" s="262">
        <f>J97</f>
        <v>18</v>
      </c>
      <c r="K105" s="260">
        <f>IF(J105&lt;=0,0,L105/J105)</f>
        <v>1421.9394444444445</v>
      </c>
      <c r="L105" s="261">
        <f>L102+L103+L104</f>
        <v>25594.91</v>
      </c>
      <c r="M105" s="255">
        <f>J105-D105</f>
        <v>-31</v>
      </c>
      <c r="N105" s="261">
        <f>L105-F105</f>
        <v>-72405.09</v>
      </c>
      <c r="O105" s="262">
        <f>O97</f>
        <v>30</v>
      </c>
      <c r="P105" s="260">
        <f t="shared" ref="P105" si="33">IF(O105=0,0,Q105/O105)</f>
        <v>1868.6399999999967</v>
      </c>
      <c r="Q105" s="261">
        <f>Q102+Q103+Q104</f>
        <v>56059.199999999903</v>
      </c>
      <c r="R105" s="273"/>
      <c r="S105" s="261">
        <f t="shared" si="32"/>
        <v>-30464.289999999903</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-0.73882744897959185</v>
      </c>
      <c r="O106" s="253"/>
      <c r="P106" s="41"/>
      <c r="Q106" s="276"/>
      <c r="R106" s="277"/>
      <c r="S106" s="265">
        <f>IF(Q105=0,0,(S105/Q105))</f>
        <v>-0.54343069469417959</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58</v>
      </c>
      <c r="E108" s="280">
        <f>IF(D108&lt;=0,0,F108/D108)</f>
        <v>3034.4827586206898</v>
      </c>
      <c r="F108" s="281">
        <f>F97+F105+F100</f>
        <v>176000</v>
      </c>
      <c r="G108" s="282"/>
      <c r="H108" s="350"/>
      <c r="I108" s="281"/>
      <c r="J108" s="282">
        <f>J97+J100</f>
        <v>46</v>
      </c>
      <c r="K108" s="280">
        <f>IF(J108&lt;=0,0,L108/J108)</f>
        <v>1437.7830434782622</v>
      </c>
      <c r="L108" s="281">
        <f>L97+L105+L100</f>
        <v>66138.020000000062</v>
      </c>
      <c r="M108" s="282">
        <f>J108-D108</f>
        <v>-12</v>
      </c>
      <c r="N108" s="281">
        <f>L108-F108</f>
        <v>-109861.97999999994</v>
      </c>
      <c r="O108" s="282">
        <f>O97+O100</f>
        <v>40</v>
      </c>
      <c r="P108" s="280">
        <f>IF(O108&lt;=0,0,Q108/O108)</f>
        <v>2706.0862499999948</v>
      </c>
      <c r="Q108" s="281">
        <f>Q97+Q105+Q100</f>
        <v>108243.44999999979</v>
      </c>
      <c r="R108" s="282">
        <f>J108-O108</f>
        <v>6</v>
      </c>
      <c r="S108" s="281">
        <f>L108-Q108</f>
        <v>-42105.429999999731</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893">
        <f>L108/F108</f>
        <v>0.37578420454545491</v>
      </c>
      <c r="M109" s="286">
        <f>M108/D108</f>
        <v>-0.20689655172413793</v>
      </c>
      <c r="N109" s="287">
        <f>N108/F108</f>
        <v>-0.62421579545454509</v>
      </c>
      <c r="O109" s="283"/>
      <c r="P109" s="284"/>
      <c r="Q109" s="285"/>
      <c r="R109" s="351">
        <f>O108/R108</f>
        <v>6.666666666666667</v>
      </c>
      <c r="S109" s="352">
        <f>IF(Q108=0,0,(S108/Q108))</f>
        <v>-0.38898824824966138</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38">
        <f>F112/F97</f>
        <v>0.30809523809523809</v>
      </c>
      <c r="E112" s="291">
        <f t="shared" ref="E112:E121" si="34">F112/D$97</f>
        <v>462.14285714285717</v>
      </c>
      <c r="F112" s="254">
        <f>+INDEX('Budget original'!$A$2:$AO$501,MATCH($A112,'Budget original'!$A$2:$A$501,0),MATCH(F$2,'Budget original'!$A$2:$AO$2,0))</f>
        <v>22645</v>
      </c>
      <c r="G112" s="292"/>
      <c r="H112" s="291"/>
      <c r="I112" s="254"/>
      <c r="J112" s="292">
        <f>L112/L97</f>
        <v>0.79595090392078383</v>
      </c>
      <c r="K112" s="291">
        <f>IF($J$97=0,0,L112/(J$94+J$95+J96))</f>
        <v>588.2833333333333</v>
      </c>
      <c r="L112" s="256">
        <f>SUMIFS(BV_Data_An_Cour!$O:$O,BV_Data_An_Cour!$U:$U,$B112,BV_Data_An_Cour!$V:$V,$C112,BV_Data_An_Cour!$W:$W,$L$2)</f>
        <v>10589.1</v>
      </c>
      <c r="M112" s="253"/>
      <c r="N112" s="276">
        <f t="shared" ref="N112:N153" si="35">L112-F112</f>
        <v>-12055.9</v>
      </c>
      <c r="O112" s="1088">
        <f>Q112/Q97</f>
        <v>0.34281523953530058</v>
      </c>
      <c r="P112" s="291">
        <f t="shared" ref="P112:P121" si="36">Q112/O$97</f>
        <v>475.20499999999998</v>
      </c>
      <c r="Q112" s="256">
        <f t="array" ref="Q112">+INDEX('Réel 2024'!$A$2:$AO$501,MATCH($A112,'Réel 2024'!$A$2:$A$501,0),MATCH(Q$2,'Réel 2024'!$A$2:$AO$2,0))</f>
        <v>14256.15</v>
      </c>
      <c r="R112" s="253"/>
      <c r="S112" s="276">
        <f t="shared" ref="S112:S153" si="37">L112-Q112</f>
        <v>-3667.0499999999993</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34">
        <f>F113/(F105)</f>
        <v>0.26097755401720157</v>
      </c>
      <c r="E113" s="294">
        <f t="shared" si="34"/>
        <v>521.95510803440322</v>
      </c>
      <c r="F113" s="248">
        <f>+INDEX('Budget original'!$A$2:$AO$501,MATCH($A113,'Budget original'!$A$2:$A$501,0),MATCH(F$2,'Budget original'!$A$2:$AO$2,0))</f>
        <v>25575.800293685756</v>
      </c>
      <c r="G113" s="295"/>
      <c r="H113" s="294"/>
      <c r="I113" s="248"/>
      <c r="J113" s="295">
        <f>L113/(L105)</f>
        <v>0.22492675301456422</v>
      </c>
      <c r="K113" s="294">
        <f>IF($J$97=0,0,L113/(J$94+J$95+J96))</f>
        <v>319.83222222222219</v>
      </c>
      <c r="L113" s="256">
        <f>SUMIFS(BV_Data_An_Cour!$O:$O,BV_Data_An_Cour!$U:$U,$B113,BV_Data_An_Cour!$V:$V,$C113,BV_Data_An_Cour!$W:$W,$L$2)</f>
        <v>5756.98</v>
      </c>
      <c r="M113" s="246"/>
      <c r="N113" s="296">
        <f t="shared" si="35"/>
        <v>-19818.820293685756</v>
      </c>
      <c r="O113" s="1089">
        <f>Q113/(Q105+Q19)</f>
        <v>0.2272839692092051</v>
      </c>
      <c r="P113" s="294">
        <f t="shared" si="36"/>
        <v>523.20466666666664</v>
      </c>
      <c r="Q113" s="256">
        <f t="array" ref="Q113">+INDEX('Réel 2024'!$A$2:$AO$501,MATCH($A113,'Réel 2024'!$A$2:$A$501,0),MATCH(Q$2,'Réel 2024'!$A$2:$AO$2,0))</f>
        <v>15696.14</v>
      </c>
      <c r="R113" s="246"/>
      <c r="S113" s="296">
        <f t="shared" si="37"/>
        <v>-9939.16</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392</v>
      </c>
      <c r="G114" s="298"/>
      <c r="H114" s="291"/>
      <c r="I114" s="254"/>
      <c r="J114" s="253"/>
      <c r="K114" s="291">
        <f>IF($J$97=0,0,L114/(J$94+J$95+J96))</f>
        <v>-17.826666666666668</v>
      </c>
      <c r="L114" s="272">
        <f>SUMIFS(BV_Data_An_Cour!$O:$O,BV_Data_An_Cour!$U:$U,$B114,BV_Data_An_Cour!$V:$V,$C114,BV_Data_An_Cour!$W:$W,$L$2)</f>
        <v>-320.88</v>
      </c>
      <c r="M114" s="253"/>
      <c r="N114" s="276">
        <f t="shared" si="35"/>
        <v>-712.88</v>
      </c>
      <c r="O114" s="253"/>
      <c r="P114" s="291">
        <f t="shared" si="36"/>
        <v>-89.568666666666658</v>
      </c>
      <c r="Q114" s="272">
        <f t="array" ref="Q114">+INDEX('Réel 2024'!$A$2:$AO$501,MATCH($A114,'Réel 2024'!$A$2:$A$501,0),MATCH(Q$2,'Réel 2024'!$A$2:$AO$2,0))</f>
        <v>-2687.06</v>
      </c>
      <c r="R114" s="253"/>
      <c r="S114" s="276">
        <f t="shared" si="37"/>
        <v>2366.1799999999998</v>
      </c>
      <c r="T114" s="41"/>
      <c r="U114" s="41"/>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50</v>
      </c>
      <c r="F115" s="254">
        <f>+INDEX('Budget original'!$A$2:$AO$501,MATCH($A115,'Budget original'!$A$2:$A$501,0),MATCH(F$2,'Budget original'!$A$2:$AO$2,0))</f>
        <v>2450</v>
      </c>
      <c r="G115" s="298"/>
      <c r="H115" s="291"/>
      <c r="I115" s="254"/>
      <c r="J115" s="253"/>
      <c r="K115" s="291">
        <f>IF($J$97=0,0,L115/(J$94+J$95+J96))</f>
        <v>10.854444444444445</v>
      </c>
      <c r="L115" s="256">
        <f>SUMIFS(BV_Data_An_Cour!$O:$O,BV_Data_An_Cour!$U:$U,$B115,BV_Data_An_Cour!$V:$V,$C115,BV_Data_An_Cour!$W:$W,$L$2)</f>
        <v>195.38</v>
      </c>
      <c r="M115" s="253"/>
      <c r="N115" s="276">
        <f t="shared" si="35"/>
        <v>-2254.62</v>
      </c>
      <c r="O115" s="253"/>
      <c r="P115" s="291">
        <f t="shared" si="36"/>
        <v>39.287666666666674</v>
      </c>
      <c r="Q115" s="256">
        <f t="array" ref="Q115">+INDEX('Réel 2024'!$A$2:$AO$501,MATCH($A115,'Réel 2024'!$A$2:$A$501,0),MATCH(Q$2,'Réel 2024'!$A$2:$AO$2,0))</f>
        <v>1178.6300000000001</v>
      </c>
      <c r="R115" s="253"/>
      <c r="S115" s="276">
        <f t="shared" si="37"/>
        <v>-983.25000000000011</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170</v>
      </c>
      <c r="F116" s="248">
        <f>+INDEX('Budget original'!$A$2:$AO$501,MATCH($A116,'Budget original'!$A$2:$A$501,0),MATCH(F$2,'Budget original'!$A$2:$AO$2,0))</f>
        <v>8330</v>
      </c>
      <c r="G116" s="300"/>
      <c r="H116" s="294"/>
      <c r="I116" s="248"/>
      <c r="J116" s="246"/>
      <c r="K116" s="294">
        <f>IF($J$97=0,0,L116/(J$94+J$95+J96))</f>
        <v>200.05</v>
      </c>
      <c r="L116" s="248">
        <f>SUMIFS(BV_Data_An_Cour!$O:$O,BV_Data_An_Cour!$U:$U,$B116,BV_Data_An_Cour!$V:$V,$C116,BV_Data_An_Cour!$W:$W,$L$2)</f>
        <v>3600.9</v>
      </c>
      <c r="M116" s="246"/>
      <c r="N116" s="296">
        <f t="shared" si="35"/>
        <v>-4729.1000000000004</v>
      </c>
      <c r="O116" s="246"/>
      <c r="P116" s="294">
        <f t="shared" si="36"/>
        <v>218.37800000000001</v>
      </c>
      <c r="Q116" s="248">
        <f t="array" ref="Q116">+INDEX('Réel 2024'!$A$2:$AO$501,MATCH($A116,'Réel 2024'!$A$2:$A$501,0),MATCH(Q$2,'Réel 2024'!$A$2:$AO$2,0))</f>
        <v>6551.34</v>
      </c>
      <c r="R116" s="246"/>
      <c r="S116" s="296">
        <f t="shared" si="37"/>
        <v>-2950.44</v>
      </c>
      <c r="T116" s="41"/>
      <c r="U116" s="291"/>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187.80102040816325</v>
      </c>
      <c r="F117" s="254">
        <f>+INDEX('Budget original'!$A$2:$AO$501,MATCH($A117,'Budget original'!$A$2:$A$501,0),MATCH(F$2,'Budget original'!$A$2:$AO$2,0))</f>
        <v>9202.25</v>
      </c>
      <c r="G117" s="298"/>
      <c r="H117" s="291"/>
      <c r="I117" s="254"/>
      <c r="J117" s="253"/>
      <c r="K117" s="291">
        <f>IF($J$97=0,0,L117/(J$94+J$95+J96))</f>
        <v>424.05722222222226</v>
      </c>
      <c r="L117" s="256">
        <f>SUMIFS(BV_Data_An_Cour!$O:$O,BV_Data_An_Cour!$U:$U,$B117,BV_Data_An_Cour!$V:$V,$C117,BV_Data_An_Cour!$W:$W,$L$2)</f>
        <v>7633.0300000000007</v>
      </c>
      <c r="M117" s="253"/>
      <c r="N117" s="276">
        <f t="shared" si="35"/>
        <v>-1569.2199999999993</v>
      </c>
      <c r="O117" s="253"/>
      <c r="P117" s="291">
        <f t="shared" si="36"/>
        <v>353.85499999999996</v>
      </c>
      <c r="Q117" s="256">
        <f t="array" ref="Q117">+INDEX('Réel 2024'!$A$2:$AO$501,MATCH($A117,'Réel 2024'!$A$2:$A$501,0),MATCH(Q$2,'Réel 2024'!$A$2:$AO$2,0))</f>
        <v>10615.65</v>
      </c>
      <c r="R117" s="253"/>
      <c r="S117" s="276">
        <f t="shared" si="37"/>
        <v>-2982.619999999999</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0</v>
      </c>
      <c r="F118" s="254">
        <f>+INDEX('Budget original'!$A$2:$AO$501,MATCH($A118,'Budget original'!$A$2:$A$501,0),MATCH(F$2,'Budget original'!$A$2:$AO$2,0))</f>
        <v>0</v>
      </c>
      <c r="G118" s="298"/>
      <c r="H118" s="291"/>
      <c r="I118" s="254"/>
      <c r="J118" s="253"/>
      <c r="K118" s="291">
        <f>IF($J$97=0,0,L118/(J$94+J$95+J96))</f>
        <v>77.841666666666669</v>
      </c>
      <c r="L118" s="895">
        <f>SUMIFS(BV_Data_An_Cour!$O:$O,BV_Data_An_Cour!$U:$U,$B118,BV_Data_An_Cour!$V:$V,$C118,BV_Data_An_Cour!$W:$W,$L$2)</f>
        <v>1401.15</v>
      </c>
      <c r="M118" s="253"/>
      <c r="N118" s="904">
        <f t="shared" si="35"/>
        <v>1401.15</v>
      </c>
      <c r="O118" s="253"/>
      <c r="P118" s="291">
        <f t="shared" si="36"/>
        <v>67.793333333333337</v>
      </c>
      <c r="Q118" s="256">
        <f t="array" ref="Q118">+INDEX('Réel 2024'!$A$2:$AO$501,MATCH($A118,'Réel 2024'!$A$2:$A$501,0),MATCH(Q$2,'Réel 2024'!$A$2:$AO$2,0))</f>
        <v>2033.8</v>
      </c>
      <c r="R118" s="253"/>
      <c r="S118" s="276">
        <f t="shared" si="37"/>
        <v>-632.64999999999986</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0.38974460394139632</v>
      </c>
      <c r="F122" s="307">
        <f>SUM(F112:F121)</f>
        <v>68595.050293685752</v>
      </c>
      <c r="G122" s="308"/>
      <c r="H122" s="306"/>
      <c r="I122" s="307"/>
      <c r="J122" s="308" t="s">
        <v>119</v>
      </c>
      <c r="K122" s="306">
        <f>L122/L$108</f>
        <v>0.43629458517203834</v>
      </c>
      <c r="L122" s="307">
        <f>SUM(L112:L121)</f>
        <v>28855.660000000003</v>
      </c>
      <c r="M122" s="311"/>
      <c r="N122" s="307">
        <f t="shared" si="35"/>
        <v>-39739.390293685748</v>
      </c>
      <c r="O122" s="308" t="s">
        <v>119</v>
      </c>
      <c r="P122" s="306">
        <f>Q122/Q$108</f>
        <v>0.44016196822994919</v>
      </c>
      <c r="Q122" s="307">
        <f>SUM(Q112:Q121)</f>
        <v>47644.65</v>
      </c>
      <c r="R122" s="311"/>
      <c r="S122" s="307">
        <f t="shared" si="37"/>
        <v>-18788.989999999998</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11227.564102564102</v>
      </c>
      <c r="G123" s="253"/>
      <c r="H123" s="41"/>
      <c r="I123" s="254"/>
      <c r="J123" s="253"/>
      <c r="K123" s="41"/>
      <c r="L123" s="256">
        <f>SUMIFS(BV_Data_An_Cour!$O:$O,BV_Data_An_Cour!$U:$U,$B123,BV_Data_An_Cour!$V:$V,$C123,BV_Data_An_Cour!$W:$W,$L$2)</f>
        <v>7451.74</v>
      </c>
      <c r="M123" s="253"/>
      <c r="N123" s="276">
        <f t="shared" si="35"/>
        <v>-3775.8241025641018</v>
      </c>
      <c r="O123" s="253"/>
      <c r="P123" s="41"/>
      <c r="Q123" s="256">
        <f t="array" ref="Q123">+INDEX('Réel 2024'!$A$2:$AO$501,MATCH($A123,'Réel 2024'!$A$2:$A$501,0),MATCH(Q$2,'Réel 2024'!$A$2:$AO$2,0))</f>
        <v>9449.93</v>
      </c>
      <c r="R123" s="253"/>
      <c r="S123" s="276">
        <f t="shared" si="37"/>
        <v>-1998.1900000000005</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5795.0548270605132</v>
      </c>
      <c r="G124" s="298"/>
      <c r="H124" s="41"/>
      <c r="I124" s="248"/>
      <c r="J124" s="253"/>
      <c r="K124" s="41"/>
      <c r="L124" s="248">
        <f>SUMIFS(BV_Data_An_Cour!$O:$O,BV_Data_An_Cour!$U:$U,$B124,BV_Data_An_Cour!$V:$V,$C124,BV_Data_An_Cour!$W:$W,$L$2)</f>
        <v>2746.74</v>
      </c>
      <c r="M124" s="253"/>
      <c r="N124" s="276">
        <f t="shared" si="35"/>
        <v>-3048.3148270605134</v>
      </c>
      <c r="O124" s="253"/>
      <c r="P124" s="41"/>
      <c r="Q124" s="248">
        <f t="array" ref="Q124">+INDEX('Réel 2024'!$A$2:$AO$501,MATCH($A124,'Réel 2024'!$A$2:$A$501,0),MATCH(Q$2,'Réel 2024'!$A$2:$AO$2,0))</f>
        <v>5514.42</v>
      </c>
      <c r="R124" s="253"/>
      <c r="S124" s="276">
        <f t="shared" si="37"/>
        <v>-2767.6800000000003</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0</v>
      </c>
      <c r="G125" s="316"/>
      <c r="H125" s="315"/>
      <c r="I125" s="254"/>
      <c r="J125" s="241"/>
      <c r="K125" s="315"/>
      <c r="L125" s="256">
        <f>SUMIFS(BV_Data_An_Cour!$O:$O,BV_Data_An_Cour!$U:$U,$B125,BV_Data_An_Cour!$V:$V,$C125,BV_Data_An_Cour!$W:$W,$L$2)</f>
        <v>7219.66</v>
      </c>
      <c r="M125" s="241"/>
      <c r="N125" s="317">
        <f t="shared" si="35"/>
        <v>7219.66</v>
      </c>
      <c r="O125" s="241"/>
      <c r="P125" s="315"/>
      <c r="Q125" s="256">
        <f t="array" ref="Q125">+INDEX('Réel 2024'!$A$2:$AO$501,MATCH($A125,'Réel 2024'!$A$2:$A$501,0),MATCH(Q$2,'Réel 2024'!$A$2:$AO$2,0))</f>
        <v>3236</v>
      </c>
      <c r="R125" s="241"/>
      <c r="S125" s="317">
        <f t="shared" si="37"/>
        <v>3983.66</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7341.2871709354713</v>
      </c>
      <c r="G130" s="298"/>
      <c r="H130" s="41"/>
      <c r="I130" s="254"/>
      <c r="J130" s="253"/>
      <c r="K130" s="41"/>
      <c r="L130" s="256">
        <f>SUMIFS(BV_Data_An_Cour!$O:$O,BV_Data_An_Cour!$U:$U,$B130,BV_Data_An_Cour!$V:$V,$C130,BV_Data_An_Cour!$W:$W,$L$2)</f>
        <v>6771.26</v>
      </c>
      <c r="M130" s="253"/>
      <c r="N130" s="276">
        <f t="shared" si="35"/>
        <v>-570.02717093547108</v>
      </c>
      <c r="O130" s="253"/>
      <c r="P130" s="41"/>
      <c r="Q130" s="256">
        <f t="array" ref="Q130">+INDEX('Réel 2024'!$A$2:$AO$501,MATCH($A130,'Réel 2024'!$A$2:$A$501,0),MATCH(Q$2,'Réel 2024'!$A$2:$AO$2,0))</f>
        <v>7286.69</v>
      </c>
      <c r="R130" s="253"/>
      <c r="S130" s="276">
        <f t="shared" si="37"/>
        <v>-515.42999999999938</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8925.9703047497369</v>
      </c>
      <c r="G131" s="316"/>
      <c r="H131" s="315"/>
      <c r="I131" s="271"/>
      <c r="J131" s="241"/>
      <c r="K131" s="315"/>
      <c r="L131" s="272">
        <f>SUMIFS(BV_Data_An_Cour!$O:$O,BV_Data_An_Cour!$U:$U,$B131,BV_Data_An_Cour!$V:$V,$C131,BV_Data_An_Cour!$W:$W,$L$2)</f>
        <v>7969.54</v>
      </c>
      <c r="M131" s="241"/>
      <c r="N131" s="317">
        <f t="shared" si="35"/>
        <v>-956.43030474973693</v>
      </c>
      <c r="O131" s="241"/>
      <c r="P131" s="315"/>
      <c r="Q131" s="272">
        <f t="array" ref="Q131">+INDEX('Réel 2024'!$A$2:$AO$501,MATCH($A131,'Réel 2024'!$A$2:$A$501,0),MATCH(Q$2,'Réel 2024'!$A$2:$AO$2,0))</f>
        <v>8838.65</v>
      </c>
      <c r="R131" s="241"/>
      <c r="S131" s="317">
        <f t="shared" si="37"/>
        <v>-869.10999999999967</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4598.815135273233</v>
      </c>
      <c r="G132" s="298"/>
      <c r="H132" s="41"/>
      <c r="I132" s="254"/>
      <c r="J132" s="253"/>
      <c r="K132" s="41"/>
      <c r="L132" s="256">
        <f>SUMIFS(BV_Data_An_Cour!$O:$O,BV_Data_An_Cour!$U:$U,$B132,BV_Data_An_Cour!$V:$V,$C132,BV_Data_An_Cour!$W:$W,$L$2)</f>
        <v>3904.16</v>
      </c>
      <c r="M132" s="253"/>
      <c r="N132" s="276">
        <f t="shared" si="35"/>
        <v>-694.6551352732331</v>
      </c>
      <c r="O132" s="253"/>
      <c r="P132" s="41"/>
      <c r="Q132" s="256">
        <f t="array" ref="Q132">+INDEX('Réel 2024'!$A$2:$AO$501,MATCH($A132,'Réel 2024'!$A$2:$A$501,0),MATCH(Q$2,'Réel 2024'!$A$2:$AO$2,0))</f>
        <v>4841.78</v>
      </c>
      <c r="R132" s="253"/>
      <c r="S132" s="276">
        <f t="shared" si="37"/>
        <v>-937.61999999999989</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2005.1092713568246</v>
      </c>
      <c r="G133" s="298"/>
      <c r="H133" s="41"/>
      <c r="I133" s="254"/>
      <c r="J133" s="253"/>
      <c r="K133" s="41"/>
      <c r="L133" s="256">
        <f>SUMIFS(BV_Data_An_Cour!$O:$O,BV_Data_An_Cour!$U:$U,$B133,BV_Data_An_Cour!$V:$V,$C133,BV_Data_An_Cour!$W:$W,$L$2)</f>
        <v>653.87</v>
      </c>
      <c r="M133" s="253"/>
      <c r="N133" s="276">
        <f t="shared" si="35"/>
        <v>-1351.2392713568247</v>
      </c>
      <c r="O133" s="253"/>
      <c r="P133" s="41"/>
      <c r="Q133" s="256">
        <f t="array" ref="Q133">+INDEX('Réel 2024'!$A$2:$AO$501,MATCH($A133,'Réel 2024'!$A$2:$A$501,0),MATCH(Q$2,'Réel 2024'!$A$2:$AO$2,0))</f>
        <v>1030.8900000000001</v>
      </c>
      <c r="R133" s="253"/>
      <c r="S133" s="276">
        <f t="shared" si="37"/>
        <v>-377.0200000000001</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0.22666932279511295</v>
      </c>
      <c r="F135" s="307">
        <f>+SUM(F123:F134)</f>
        <v>39893.80081193988</v>
      </c>
      <c r="G135" s="308"/>
      <c r="H135" s="306"/>
      <c r="I135" s="307"/>
      <c r="J135" s="308" t="s">
        <v>119</v>
      </c>
      <c r="K135" s="306">
        <f>L135/L$108</f>
        <v>0.55515677669213526</v>
      </c>
      <c r="L135" s="307">
        <f>SUM(L123:L134)</f>
        <v>36716.970000000008</v>
      </c>
      <c r="M135" s="355"/>
      <c r="N135" s="320">
        <f t="shared" si="35"/>
        <v>-3176.8308119398716</v>
      </c>
      <c r="O135" s="308" t="s">
        <v>119</v>
      </c>
      <c r="P135" s="306">
        <f>Q135/Q$108</f>
        <v>0.37136990737083925</v>
      </c>
      <c r="Q135" s="307">
        <f>+SUM(Q123:Q134)</f>
        <v>40198.359999999993</v>
      </c>
      <c r="R135" s="355"/>
      <c r="S135" s="320">
        <f t="shared" si="37"/>
        <v>-3481.3899999999849</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2403.85</v>
      </c>
      <c r="M138" s="246"/>
      <c r="N138" s="296">
        <f t="shared" si="35"/>
        <v>1119.696711111111</v>
      </c>
      <c r="O138" s="246"/>
      <c r="P138" s="318"/>
      <c r="Q138" s="248">
        <f t="array" ref="Q138">+INDEX('Réel 2024'!$A$2:$AO$501,MATCH($A138,'Réel 2024'!$A$2:$A$501,0),MATCH(Q$2,'Réel 2024'!$A$2:$AO$2,0))</f>
        <v>1624.37</v>
      </c>
      <c r="R138" s="246"/>
      <c r="S138" s="296">
        <f t="shared" si="37"/>
        <v>779.48</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3290</v>
      </c>
      <c r="G139" s="298"/>
      <c r="H139" s="41"/>
      <c r="I139" s="254"/>
      <c r="J139" s="253"/>
      <c r="K139" s="41"/>
      <c r="L139" s="256">
        <f>SUMIFS(BV_Data_An_Cour!$O:$O,BV_Data_An_Cour!$U:$U,$B139,BV_Data_An_Cour!$V:$V,$C139,BV_Data_An_Cour!$W:$W,$L$2)</f>
        <v>3228.42</v>
      </c>
      <c r="M139" s="253"/>
      <c r="N139" s="276">
        <f t="shared" si="35"/>
        <v>-61.579999999999927</v>
      </c>
      <c r="O139" s="253"/>
      <c r="P139" s="41"/>
      <c r="Q139" s="256">
        <f t="array" ref="Q139">+INDEX('Réel 2024'!$A$2:$AO$501,MATCH($A139,'Réel 2024'!$A$2:$A$501,0),MATCH(Q$2,'Réel 2024'!$A$2:$AO$2,0))</f>
        <v>3638.89</v>
      </c>
      <c r="R139" s="253"/>
      <c r="S139" s="276">
        <f t="shared" si="37"/>
        <v>-410.4699999999998</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750</v>
      </c>
      <c r="G140" s="298"/>
      <c r="H140" s="41"/>
      <c r="I140" s="254"/>
      <c r="J140" s="253"/>
      <c r="K140" s="41"/>
      <c r="L140" s="256">
        <f>SUMIFS(BV_Data_An_Cour!$O:$O,BV_Data_An_Cour!$U:$U,$B140,BV_Data_An_Cour!$V:$V,$C140,BV_Data_An_Cour!$W:$W,$L$2)</f>
        <v>747.18</v>
      </c>
      <c r="M140" s="253"/>
      <c r="N140" s="276">
        <f t="shared" si="35"/>
        <v>-2.82000000000005</v>
      </c>
      <c r="O140" s="253"/>
      <c r="P140" s="41"/>
      <c r="Q140" s="256">
        <f t="array" ref="Q140">+INDEX('Réel 2024'!$A$2:$AO$501,MATCH($A140,'Réel 2024'!$A$2:$A$501,0),MATCH(Q$2,'Réel 2024'!$A$2:$AO$2,0))</f>
        <v>427.26</v>
      </c>
      <c r="R140" s="253"/>
      <c r="S140" s="276">
        <f t="shared" si="37"/>
        <v>319.91999999999996</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1360.9199999999998</v>
      </c>
      <c r="G141" s="300"/>
      <c r="H141" s="318"/>
      <c r="I141" s="248"/>
      <c r="J141" s="246"/>
      <c r="K141" s="318"/>
      <c r="L141" s="248">
        <f>SUMIFS(BV_Data_An_Cour!$O:$O,BV_Data_An_Cour!$U:$U,$B141,BV_Data_An_Cour!$V:$V,$C141,BV_Data_An_Cour!$W:$W,$L$2)</f>
        <v>2337.7600000000002</v>
      </c>
      <c r="M141" s="246"/>
      <c r="N141" s="296">
        <f t="shared" si="35"/>
        <v>976.84000000000037</v>
      </c>
      <c r="O141" s="246"/>
      <c r="P141" s="318"/>
      <c r="Q141" s="248">
        <f t="array" ref="Q141">+INDEX('Réel 2024'!$A$2:$AO$501,MATCH($A141,'Réel 2024'!$A$2:$A$501,0),MATCH(Q$2,'Réel 2024'!$A$2:$AO$2,0))</f>
        <v>3463.94</v>
      </c>
      <c r="R141" s="246"/>
      <c r="S141" s="296">
        <f t="shared" si="37"/>
        <v>-1126.1799999999998</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50</v>
      </c>
      <c r="G142" s="298"/>
      <c r="H142" s="41"/>
      <c r="I142" s="254"/>
      <c r="J142" s="253"/>
      <c r="K142" s="41"/>
      <c r="L142" s="256">
        <f>SUMIFS(BV_Data_An_Cour!$O:$O,BV_Data_An_Cour!$U:$U,$B142,BV_Data_An_Cour!$V:$V,$C142,BV_Data_An_Cour!$W:$W,$L$2)</f>
        <v>0</v>
      </c>
      <c r="M142" s="253"/>
      <c r="N142" s="276">
        <f t="shared" si="35"/>
        <v>-50</v>
      </c>
      <c r="O142" s="253"/>
      <c r="P142" s="41"/>
      <c r="Q142" s="256">
        <f t="array" ref="Q142">+INDEX('Réel 2024'!$A$2:$AO$501,MATCH($A142,'Réel 2024'!$A$2:$A$501,0),MATCH(Q$2,'Réel 2024'!$A$2:$AO$2,0))</f>
        <v>140.41</v>
      </c>
      <c r="R142" s="253"/>
      <c r="S142" s="276">
        <f t="shared" si="37"/>
        <v>-140.41</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0</v>
      </c>
      <c r="G143" s="298"/>
      <c r="H143" s="41"/>
      <c r="I143" s="254"/>
      <c r="J143" s="253"/>
      <c r="K143" s="41"/>
      <c r="L143" s="256">
        <f>SUMIFS(BV_Data_An_Cour!$O:$O,BV_Data_An_Cour!$U:$U,$B143,BV_Data_An_Cour!$V:$V,$C143,BV_Data_An_Cour!$W:$W,$L$2)</f>
        <v>0</v>
      </c>
      <c r="M143" s="253"/>
      <c r="N143" s="276">
        <f t="shared" si="35"/>
        <v>0</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272</v>
      </c>
      <c r="G144" s="298"/>
      <c r="H144" s="41"/>
      <c r="I144" s="254"/>
      <c r="J144" s="253"/>
      <c r="K144" s="41"/>
      <c r="L144" s="256">
        <f>SUMIFS(BV_Data_An_Cour!$O:$O,BV_Data_An_Cour!$U:$U,$B144,BV_Data_An_Cour!$V:$V,$C144,BV_Data_An_Cour!$W:$W,$L$2)</f>
        <v>789.93</v>
      </c>
      <c r="M144" s="253"/>
      <c r="N144" s="276">
        <f t="shared" si="35"/>
        <v>517.92999999999995</v>
      </c>
      <c r="O144" s="253"/>
      <c r="P144" s="41"/>
      <c r="Q144" s="256">
        <f t="array" ref="Q144">+INDEX('Réel 2024'!$A$2:$AO$501,MATCH($A144,'Réel 2024'!$A$2:$A$501,0),MATCH(Q$2,'Réel 2024'!$A$2:$AO$2,0))</f>
        <v>203.63</v>
      </c>
      <c r="R144" s="253"/>
      <c r="S144" s="276">
        <f t="shared" si="37"/>
        <v>586.29999999999995</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87.5</v>
      </c>
      <c r="G145" s="298"/>
      <c r="H145" s="41"/>
      <c r="I145" s="254"/>
      <c r="J145" s="253"/>
      <c r="K145" s="41"/>
      <c r="L145" s="256">
        <f>SUMIFS(BV_Data_An_Cour!$O:$O,BV_Data_An_Cour!$U:$U,$B145,BV_Data_An_Cour!$V:$V,$C145,BV_Data_An_Cour!$W:$W,$L$2)</f>
        <v>66.209999999999994</v>
      </c>
      <c r="M145" s="253"/>
      <c r="N145" s="276">
        <f t="shared" si="35"/>
        <v>-21.290000000000006</v>
      </c>
      <c r="O145" s="253"/>
      <c r="P145" s="41"/>
      <c r="Q145" s="256">
        <f t="array" ref="Q145">+INDEX('Réel 2024'!$A$2:$AO$501,MATCH($A145,'Réel 2024'!$A$2:$A$501,0),MATCH(Q$2,'Réel 2024'!$A$2:$AO$2,0))</f>
        <v>78.91</v>
      </c>
      <c r="R145" s="253"/>
      <c r="S145" s="276">
        <f t="shared" si="37"/>
        <v>-12.700000000000003</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85.469999999999985</v>
      </c>
      <c r="G146" s="298"/>
      <c r="H146" s="41"/>
      <c r="I146" s="254"/>
      <c r="J146" s="253"/>
      <c r="K146" s="41"/>
      <c r="L146" s="256">
        <f>SUMIFS(BV_Data_An_Cour!$O:$O,BV_Data_An_Cour!$U:$U,$B146,BV_Data_An_Cour!$V:$V,$C146,BV_Data_An_Cour!$W:$W,$L$2)</f>
        <v>27.74</v>
      </c>
      <c r="M146" s="253"/>
      <c r="N146" s="276">
        <f t="shared" si="35"/>
        <v>-57.72999999999999</v>
      </c>
      <c r="O146" s="253"/>
      <c r="P146" s="41"/>
      <c r="Q146" s="256">
        <f t="array" ref="Q146">+INDEX('Réel 2024'!$A$2:$AO$501,MATCH($A146,'Réel 2024'!$A$2:$A$501,0),MATCH(Q$2,'Réel 2024'!$A$2:$AO$2,0))</f>
        <v>179.49</v>
      </c>
      <c r="R146" s="253"/>
      <c r="S146" s="276">
        <f t="shared" si="37"/>
        <v>-151.75</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45</v>
      </c>
      <c r="G147" s="298"/>
      <c r="H147" s="41"/>
      <c r="I147" s="254"/>
      <c r="J147" s="253"/>
      <c r="K147" s="41"/>
      <c r="L147" s="256">
        <f>SUMIFS(BV_Data_An_Cour!$O:$O,BV_Data_An_Cour!$U:$U,$B147,BV_Data_An_Cour!$V:$V,$C147,BV_Data_An_Cour!$W:$W,$L$2)</f>
        <v>126.98</v>
      </c>
      <c r="M147" s="253"/>
      <c r="N147" s="276">
        <f t="shared" si="35"/>
        <v>81.98</v>
      </c>
      <c r="O147" s="253"/>
      <c r="P147" s="41"/>
      <c r="Q147" s="256">
        <f t="array" ref="Q147">+INDEX('Réel 2024'!$A$2:$AO$501,MATCH($A147,'Réel 2024'!$A$2:$A$501,0),MATCH(Q$2,'Réel 2024'!$A$2:$AO$2,0))</f>
        <v>26.7</v>
      </c>
      <c r="R147" s="253"/>
      <c r="S147" s="276">
        <f t="shared" si="37"/>
        <v>100.28</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416.66666666666669</v>
      </c>
      <c r="G148" s="298"/>
      <c r="H148" s="41"/>
      <c r="I148" s="254"/>
      <c r="J148" s="253"/>
      <c r="K148" s="41"/>
      <c r="L148" s="256">
        <f>SUMIFS(BV_Data_An_Cour!$O:$O,BV_Data_An_Cour!$U:$U,$B148,BV_Data_An_Cour!$V:$V,$C148,BV_Data_An_Cour!$W:$W,$L$2)</f>
        <v>263.76</v>
      </c>
      <c r="M148" s="253"/>
      <c r="N148" s="276">
        <f t="shared" si="35"/>
        <v>-152.90666666666669</v>
      </c>
      <c r="O148" s="253"/>
      <c r="P148" s="41"/>
      <c r="Q148" s="256">
        <f t="array" ref="Q148">+INDEX('Réel 2024'!$A$2:$AO$501,MATCH($A148,'Réel 2024'!$A$2:$A$501,0),MATCH(Q$2,'Réel 2024'!$A$2:$AO$2,0))</f>
        <v>254.99</v>
      </c>
      <c r="R148" s="253"/>
      <c r="S148" s="276">
        <f t="shared" si="37"/>
        <v>8.7699999999999818</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884.80425183842488</v>
      </c>
      <c r="G149" s="298"/>
      <c r="H149" s="41"/>
      <c r="I149" s="254"/>
      <c r="J149" s="253"/>
      <c r="K149" s="41"/>
      <c r="L149" s="895">
        <f>SUMIFS(BV_Data_An_Cour!$O:$O,BV_Data_An_Cour!$U:$U,$B149,BV_Data_An_Cour!$V:$V,$C149,BV_Data_An_Cour!$W:$W,$L$2)</f>
        <v>867.88</v>
      </c>
      <c r="M149" s="253"/>
      <c r="N149" s="904">
        <f t="shared" si="35"/>
        <v>-16.92425183842488</v>
      </c>
      <c r="O149" s="253"/>
      <c r="P149" s="41"/>
      <c r="Q149" s="256">
        <f t="array" ref="Q149">+INDEX('Réel 2024'!$A$2:$AO$501,MATCH($A149,'Réel 2024'!$A$2:$A$501,0),MATCH(Q$2,'Réel 2024'!$A$2:$AO$2,0))</f>
        <v>871.03</v>
      </c>
      <c r="R149" s="253"/>
      <c r="S149" s="276">
        <f t="shared" si="37"/>
        <v>-3.1499999999999773</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4.844610345110216E-2</v>
      </c>
      <c r="F153" s="307">
        <f>+SUM(F136:F152)</f>
        <v>8526.5142073939805</v>
      </c>
      <c r="G153" s="308"/>
      <c r="H153" s="306"/>
      <c r="I153" s="307"/>
      <c r="J153" s="308" t="s">
        <v>119</v>
      </c>
      <c r="K153" s="306">
        <f>L153/L$108</f>
        <v>0.16419768840978288</v>
      </c>
      <c r="L153" s="307">
        <f>+SUM(L136:L152)</f>
        <v>10859.71</v>
      </c>
      <c r="M153" s="311"/>
      <c r="N153" s="307">
        <f t="shared" si="35"/>
        <v>2333.1957926060186</v>
      </c>
      <c r="O153" s="308" t="s">
        <v>119</v>
      </c>
      <c r="P153" s="306">
        <f>Q153/Q$108</f>
        <v>0.10078780748396343</v>
      </c>
      <c r="Q153" s="307">
        <f>+SUM(Q136:Q152)</f>
        <v>10909.62</v>
      </c>
      <c r="R153" s="311"/>
      <c r="S153" s="307">
        <f t="shared" si="37"/>
        <v>-49.910000000001673</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0.66486003018761142</v>
      </c>
      <c r="F155" s="307">
        <f>F122+F135+F153</f>
        <v>117015.3653130196</v>
      </c>
      <c r="G155" s="308"/>
      <c r="H155" s="306"/>
      <c r="I155" s="307"/>
      <c r="J155" s="308" t="s">
        <v>119</v>
      </c>
      <c r="K155" s="306">
        <f>L155/L$108</f>
        <v>1.1556490502739563</v>
      </c>
      <c r="L155" s="307">
        <f>L122+L135+L153</f>
        <v>76432.34</v>
      </c>
      <c r="M155" s="311"/>
      <c r="N155" s="320">
        <f t="shared" ref="N155:N162" si="39">L155-F155</f>
        <v>-40583.025313019607</v>
      </c>
      <c r="O155" s="308" t="s">
        <v>119</v>
      </c>
      <c r="P155" s="306">
        <f>Q155/Q$108</f>
        <v>0.91231968308475186</v>
      </c>
      <c r="Q155" s="307">
        <f>Q122+Q135+Q153</f>
        <v>98752.62999999999</v>
      </c>
      <c r="R155" s="311"/>
      <c r="S155" s="320">
        <f t="shared" ref="S155:S162" si="40">L155-Q155</f>
        <v>-22320.289999999994</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02">
        <f>E159/474</f>
        <v>0.96002109704641347</v>
      </c>
      <c r="E159" s="323">
        <f>F159/D97</f>
        <v>455.05</v>
      </c>
      <c r="F159" s="254">
        <f>+INDEX('Budget original'!$A$2:$AO$501,MATCH($A159,'Budget original'!$A$2:$A$501,0),MATCH(F$2,'Budget original'!$A$2:$AO$2,0))</f>
        <v>22297.45</v>
      </c>
      <c r="G159" s="298"/>
      <c r="H159" s="41"/>
      <c r="I159" s="254"/>
      <c r="J159" s="1103">
        <f>K159/474</f>
        <v>1.0140646976090015</v>
      </c>
      <c r="K159" s="323">
        <f>L159/J97</f>
        <v>480.66666666666669</v>
      </c>
      <c r="L159" s="256">
        <f>-SUMIFS(BV_Data_An_Cour!$O:$O,BV_Data_An_Cour!$U:$U,$B159,BV_Data_An_Cour!$V:$V,$C159,BV_Data_An_Cour!$W:$W,L$2)</f>
        <v>8652</v>
      </c>
      <c r="M159" s="253"/>
      <c r="N159" s="276">
        <f t="shared" si="39"/>
        <v>-13645.45</v>
      </c>
      <c r="O159" s="253"/>
      <c r="P159" s="41"/>
      <c r="Q159" s="256">
        <f t="array" ref="Q159">+INDEX('Réel 2024'!$A$2:$AO$501,MATCH($A159,'Réel 2024'!$A$2:$A$501,0),MATCH(Q$2,'Réel 2024'!$A$2:$AO$2,0))</f>
        <v>14076</v>
      </c>
      <c r="R159" s="253"/>
      <c r="S159" s="276">
        <f t="shared" si="40"/>
        <v>-5424</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22297.45</v>
      </c>
      <c r="G163" s="308"/>
      <c r="H163" s="306"/>
      <c r="I163" s="307"/>
      <c r="J163" s="308"/>
      <c r="K163" s="306"/>
      <c r="L163" s="307">
        <f>+SUM(L156:L162)</f>
        <v>8652</v>
      </c>
      <c r="M163" s="311"/>
      <c r="N163" s="307">
        <f>SUM(N156:N159)</f>
        <v>-13645.45</v>
      </c>
      <c r="O163" s="308"/>
      <c r="P163" s="306"/>
      <c r="Q163" s="307">
        <f>+SUM(Q156:Q162)</f>
        <v>14076</v>
      </c>
      <c r="R163" s="311"/>
      <c r="S163" s="307">
        <f>+SUM(S156:S162)</f>
        <v>-5424</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81282.084686980394</v>
      </c>
      <c r="G165" s="361"/>
      <c r="H165" s="333"/>
      <c r="I165" s="335"/>
      <c r="J165" s="332"/>
      <c r="K165" s="334"/>
      <c r="L165" s="335">
        <f>L108-L155+L163</f>
        <v>-1642.3199999999342</v>
      </c>
      <c r="M165" s="332"/>
      <c r="N165" s="335">
        <f>L165-F165</f>
        <v>-82924.404686980328</v>
      </c>
      <c r="O165" s="332"/>
      <c r="P165" s="1090">
        <f>+Q165/Q93</f>
        <v>2.8268993662320548E-2</v>
      </c>
      <c r="Q165" s="335">
        <f>Q108-Q155+Q163</f>
        <v>23566.819999999803</v>
      </c>
      <c r="R165" s="332"/>
      <c r="S165" s="335">
        <f>L165-Q165</f>
        <v>-25209.139999999737</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Mars 2026</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99" t="s">
        <v>343</v>
      </c>
      <c r="E170" s="1300"/>
      <c r="F170" s="1301"/>
      <c r="G170" s="1304"/>
      <c r="H170" s="1300"/>
      <c r="I170" s="1301"/>
      <c r="J170" s="1304" t="s">
        <v>344</v>
      </c>
      <c r="K170" s="1300"/>
      <c r="L170" s="1301"/>
      <c r="M170" s="1304" t="s">
        <v>3310</v>
      </c>
      <c r="N170" s="1301"/>
      <c r="O170" s="1299" t="s">
        <v>345</v>
      </c>
      <c r="P170" s="1300"/>
      <c r="Q170" s="1301"/>
      <c r="R170" s="1302" t="s">
        <v>3312</v>
      </c>
      <c r="S170" s="1303"/>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370.38159707021657</v>
      </c>
      <c r="E172" s="291">
        <f>+INDEX('Budget original'!$A$2:$AO$501,MATCH($A172,'Budget original'!$A$2:$A$501,0),MATCH(E$2,'Budget original'!$A$2:$AO$2,0))</f>
        <v>129633.5589745758</v>
      </c>
      <c r="F172" s="291">
        <f>+INDEX('Budget original'!$A$2:$AO$501,MATCH($A172,'Budget original'!$A$2:$A$501,0),MATCH(F$2,'Budget original'!$A$2:$AO$2,0))</f>
        <v>102021.61091299116</v>
      </c>
      <c r="G172" s="277"/>
      <c r="H172" s="291"/>
      <c r="I172" s="291"/>
      <c r="J172" s="277">
        <f>-SUMIFS(BV_Data_An_Cour!$O:$O,BV_Data_An_Cour!$U:$U,$B172,BV_Data_An_Cour!$V:$V,$C172,BV_Data_An_Cour!$W:$W,J$2)</f>
        <v>329</v>
      </c>
      <c r="K172" s="254">
        <f>-SUMIFS(BV_Data_An_Cour!$O:$O,BV_Data_An_Cour!$X:$X,"Oui",BV_Data_An_Cour!$U:$U,$B172,BV_Data_An_Cour!$V:$V,$C172)</f>
        <v>116198.37999999999</v>
      </c>
      <c r="L172" s="256">
        <f>-SUMIFS(BV_Data_An_Cour!$O:$O,BV_Data_An_Cour!$U:$U,$B172,BV_Data_An_Cour!$V:$V,$C172,BV_Data_An_Cour!$W:$W,$L$2)</f>
        <v>92050.23</v>
      </c>
      <c r="M172" s="292">
        <f>(K172-E172)/E172</f>
        <v>-0.10363966769755022</v>
      </c>
      <c r="N172" s="276">
        <f>L172-F172</f>
        <v>-9971.3809129911679</v>
      </c>
      <c r="O172" s="277">
        <f t="array" ref="O172">+INDEX('Réel 2024'!$A$2:$AO$501,MATCH($A172,'Réel 2024'!$A$2:$A$501,0),MATCH(O$2,'Réel 2024'!$A$2:$AO$2,0))</f>
        <v>340</v>
      </c>
      <c r="P172" s="254">
        <f t="array" ref="P172">+INDEX('Réel 2024'!$A$2:$AO$501,MATCH($A172,'Réel 2024'!$A$2:$A$501,0),MATCH(P$2,'Réel 2024'!$A$2:$AO$2,0))</f>
        <v>122570.44</v>
      </c>
      <c r="Q172" s="256">
        <f t="array" ref="Q172">+INDEX('Réel 2024'!$A$2:$AO$501,MATCH($A172,'Réel 2024'!$A$2:$A$501,0),MATCH(Q$2,'Réel 2024'!$A$2:$AO$2,0))</f>
        <v>95803</v>
      </c>
      <c r="R172" s="292">
        <f>IF(O172=0,0,J172/O172)</f>
        <v>0.96764705882352942</v>
      </c>
      <c r="S172" s="276">
        <f>L172-Q172</f>
        <v>-3752.7700000000041</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0.78700000000000003</v>
      </c>
      <c r="G173" s="277"/>
      <c r="H173" s="349"/>
      <c r="I173" s="362"/>
      <c r="J173" s="277"/>
      <c r="K173" s="41"/>
      <c r="L173" s="362">
        <f>IF(L172=0,0,L172/K172)</f>
        <v>0.79218169823021634</v>
      </c>
      <c r="M173" s="292"/>
      <c r="N173" s="276"/>
      <c r="O173" s="277"/>
      <c r="P173" s="41"/>
      <c r="Q173" s="362">
        <f>Q172/P172</f>
        <v>0.78161586105100056</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350</v>
      </c>
      <c r="F174" s="364"/>
      <c r="G174" s="365"/>
      <c r="H174" s="363"/>
      <c r="I174" s="364"/>
      <c r="J174" s="365"/>
      <c r="K174" s="363">
        <f>IFERROR(K172/J172,0)</f>
        <v>353.18656534954403</v>
      </c>
      <c r="L174" s="364"/>
      <c r="M174" s="295"/>
      <c r="N174" s="296"/>
      <c r="O174" s="365"/>
      <c r="P174" s="363">
        <f>IFERROR(P172/O172,0)</f>
        <v>360.50129411764709</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290.91736964263987</v>
      </c>
      <c r="E175" s="291">
        <f>+INDEX('Budget original'!$A$2:$AO$501,MATCH($A175,'Budget original'!$A$2:$A$501,0),MATCH(E$2,'Budget original'!$A$2:$AO$2,0))</f>
        <v>87275.210892791962</v>
      </c>
      <c r="F175" s="291">
        <f>+INDEX('Budget original'!$A$2:$AO$501,MATCH($A175,'Budget original'!$A$2:$A$501,0),MATCH(F$2,'Budget original'!$A$2:$AO$2,0))</f>
        <v>56292.511025850814</v>
      </c>
      <c r="G175" s="367"/>
      <c r="H175" s="291"/>
      <c r="I175" s="291"/>
      <c r="J175" s="367">
        <f>-SUMIFS(BV_Data_An_Cour!$O:$O,BV_Data_An_Cour!$U:$U,$B175,BV_Data_An_Cour!$V:$V,$C175,BV_Data_An_Cour!$W:$W,J$2)</f>
        <v>170</v>
      </c>
      <c r="K175" s="271">
        <f>-SUMIFS(BV_Data_An_Cour!$O:$O,BV_Data_An_Cour!$X:$X,"Oui",BV_Data_An_Cour!$U:$U,$B175,BV_Data_An_Cour!$V:$V,$C175)</f>
        <v>75228.899999999994</v>
      </c>
      <c r="L175" s="256">
        <f>-SUMIFS(BV_Data_An_Cour!$O:$O,BV_Data_An_Cour!$U:$U,$B175,BV_Data_An_Cour!$V:$V,$C175,BV_Data_An_Cour!$W:$W,$L$2)</f>
        <v>49709.09</v>
      </c>
      <c r="M175" s="292">
        <f>(K175-E175)/E175</f>
        <v>-0.13802671766201219</v>
      </c>
      <c r="N175" s="317">
        <f>L175-F175</f>
        <v>-6583.4210258508174</v>
      </c>
      <c r="O175" s="367">
        <f t="array" ref="O175">+INDEX('Réel 2024'!$A$2:$AO$501,MATCH($A175,'Réel 2024'!$A$2:$A$501,0),MATCH(O$2,'Réel 2024'!$A$2:$AO$2,0))</f>
        <v>287</v>
      </c>
      <c r="P175" s="271">
        <f t="array" ref="P175">+INDEX('Réel 2024'!$A$2:$AO$501,MATCH($A175,'Réel 2024'!$A$2:$A$501,0),MATCH(P$2,'Réel 2024'!$A$2:$AO$2,0))</f>
        <v>83188.259999999995</v>
      </c>
      <c r="Q175" s="256">
        <f t="array" ref="Q175">+INDEX('Réel 2024'!$A$2:$AO$501,MATCH($A175,'Réel 2024'!$A$2:$A$501,0),MATCH(Q$2,'Réel 2024'!$A$2:$AO$2,0))</f>
        <v>53154.959999999897</v>
      </c>
      <c r="R175" s="292">
        <f>IF(O175=0,0,J175/O175)</f>
        <v>0.59233449477351918</v>
      </c>
      <c r="S175" s="276">
        <f>L175-Q175</f>
        <v>-3445.8699999999008</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0.64500000000000002</v>
      </c>
      <c r="G176" s="253"/>
      <c r="H176" s="41"/>
      <c r="I176" s="362"/>
      <c r="J176" s="253"/>
      <c r="K176" s="41"/>
      <c r="L176" s="362">
        <f>IF(L175=0,0,L175/K175)</f>
        <v>0.66077119298567444</v>
      </c>
      <c r="M176" s="264"/>
      <c r="N176" s="265"/>
      <c r="O176" s="253"/>
      <c r="P176" s="41"/>
      <c r="Q176" s="362">
        <f>Q175/P175</f>
        <v>0.63897189338976312</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300</v>
      </c>
      <c r="F177" s="364"/>
      <c r="G177" s="365"/>
      <c r="H177" s="363"/>
      <c r="I177" s="364"/>
      <c r="J177" s="365"/>
      <c r="K177" s="363">
        <f>IFERROR(K175/J175,0)</f>
        <v>442.52294117647057</v>
      </c>
      <c r="L177" s="364"/>
      <c r="M177" s="295"/>
      <c r="N177" s="296"/>
      <c r="O177" s="365"/>
      <c r="P177" s="363">
        <f>IFERROR(P175/O175,0)</f>
        <v>289.85456445993032</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246.95173245070447</v>
      </c>
      <c r="E178" s="291">
        <f>+INDEX('Budget original'!$A$2:$AO$501,MATCH($A178,'Budget original'!$A$2:$A$501,0),MATCH(E$2,'Budget original'!$A$2:$AO$2,0))</f>
        <v>77048.9405246198</v>
      </c>
      <c r="F178" s="291">
        <f>+INDEX('Budget original'!$A$2:$AO$501,MATCH($A178,'Budget original'!$A$2:$A$501,0),MATCH(F$2,'Budget original'!$A$2:$AO$2,0))</f>
        <v>57786.70539346485</v>
      </c>
      <c r="G178" s="277"/>
      <c r="H178" s="291"/>
      <c r="I178" s="291"/>
      <c r="J178" s="277">
        <f>-SUMIFS(BV_Data_An_Cour!$O:$O,BV_Data_An_Cour!$U:$U,$B178,BV_Data_An_Cour!$V:$V,$C178,BV_Data_An_Cour!$W:$W,J$2)</f>
        <v>350</v>
      </c>
      <c r="K178" s="271">
        <f>-SUMIFS(BV_Data_An_Cour!$O:$O,BV_Data_An_Cour!$X:$X,"Oui",BV_Data_An_Cour!$U:$U,$B178,BV_Data_An_Cour!$V:$V,$C178)</f>
        <v>93513.72</v>
      </c>
      <c r="L178" s="256">
        <f>-SUMIFS(BV_Data_An_Cour!$O:$O,BV_Data_An_Cour!$U:$U,$B178,BV_Data_An_Cour!$V:$V,$C178,BV_Data_An_Cour!$W:$W,$L$2)</f>
        <v>72043.39</v>
      </c>
      <c r="M178" s="292">
        <f>(K178-E178)/E178</f>
        <v>0.21369248380669342</v>
      </c>
      <c r="N178" s="276">
        <f>L178-F178</f>
        <v>14256.684606535149</v>
      </c>
      <c r="O178" s="277">
        <f t="array" ref="O178">+INDEX('Réel 2024'!$A$2:$AO$501,MATCH($A178,'Réel 2024'!$A$2:$A$501,0),MATCH(O$2,'Réel 2024'!$A$2:$AO$2,0))</f>
        <v>221</v>
      </c>
      <c r="P178" s="271">
        <f t="array" ref="P178">+INDEX('Réel 2024'!$A$2:$AO$501,MATCH($A178,'Réel 2024'!$A$2:$A$501,0),MATCH(P$2,'Réel 2024'!$A$2:$AO$2,0))</f>
        <v>68191.08</v>
      </c>
      <c r="Q178" s="256">
        <f t="array" ref="Q178">+INDEX('Réel 2024'!$A$2:$AO$501,MATCH($A178,'Réel 2024'!$A$2:$A$501,0),MATCH(Q$2,'Réel 2024'!$A$2:$AO$2,0))</f>
        <v>53135.29</v>
      </c>
      <c r="R178" s="292">
        <f>IF(O178=0,0,J178/O178)</f>
        <v>1.5837104072398189</v>
      </c>
      <c r="S178" s="276">
        <f>L178-Q178</f>
        <v>18908.099999999999</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0.75</v>
      </c>
      <c r="G179" s="277"/>
      <c r="H179" s="349"/>
      <c r="I179" s="362"/>
      <c r="J179" s="277"/>
      <c r="K179" s="349"/>
      <c r="L179" s="362">
        <f>IF(L178=0,0,L178/K178)</f>
        <v>0.77040449251724774</v>
      </c>
      <c r="M179" s="292"/>
      <c r="N179" s="276">
        <f>L179-F179</f>
        <v>2.0404492517247741E-2</v>
      </c>
      <c r="O179" s="277"/>
      <c r="P179" s="349"/>
      <c r="Q179" s="362">
        <f>Q178/P178</f>
        <v>0.77921173854410286</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312</v>
      </c>
      <c r="F180" s="364"/>
      <c r="G180" s="365"/>
      <c r="H180" s="363"/>
      <c r="I180" s="364"/>
      <c r="J180" s="365"/>
      <c r="K180" s="363">
        <f>IFERROR(K178/J178,0)</f>
        <v>267.18205714285716</v>
      </c>
      <c r="L180" s="364"/>
      <c r="M180" s="295"/>
      <c r="N180" s="296"/>
      <c r="O180" s="365"/>
      <c r="P180" s="363">
        <f>IFERROR(P178/O178,0)</f>
        <v>308.55692307692311</v>
      </c>
      <c r="Q180" s="362"/>
      <c r="R180" s="365"/>
      <c r="S180" s="276"/>
      <c r="T180" s="291"/>
      <c r="U180" s="944"/>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0</v>
      </c>
      <c r="E181" s="291">
        <f>+INDEX('Budget original'!$A$2:$AO$501,MATCH($A181,'Budget original'!$A$2:$A$501,0),MATCH(E$2,'Budget original'!$A$2:$AO$2,0))</f>
        <v>7920.1031537553536</v>
      </c>
      <c r="F181" s="291">
        <f>+INDEX('Budget original'!$A$2:$AO$501,MATCH($A181,'Budget original'!$A$2:$A$501,0),MATCH(F$2,'Budget original'!$A$2:$AO$2,0))</f>
        <v>6177.6804599291763</v>
      </c>
      <c r="G181" s="367"/>
      <c r="H181" s="291"/>
      <c r="I181" s="291"/>
      <c r="J181" s="367">
        <f>-SUMIFS(BV_Data_An_Cour!$O:$O,BV_Data_An_Cour!$U:$U,$B181,BV_Data_An_Cour!$V:$V,$C181,BV_Data_An_Cour!$W:$W,J$2)</f>
        <v>0</v>
      </c>
      <c r="K181" s="271">
        <f>-SUMIFS(BV_Data_An_Cour!$O:$O,BV_Data_An_Cour!$X:$X,"Oui",BV_Data_An_Cour!$U:$U,$B181,BV_Data_An_Cour!$V:$V,$C181)</f>
        <v>7312.41</v>
      </c>
      <c r="L181" s="272">
        <f>-SUMIFS(BV_Data_An_Cour!$O:$O,BV_Data_An_Cour!$U:$U,$B181,BV_Data_An_Cour!$V:$V,$C181,BV_Data_An_Cour!$W:$W,$L$2)</f>
        <v>5775.46</v>
      </c>
      <c r="M181" s="371">
        <f>IF(E181=0,0,(K181-E181)/E181)</f>
        <v>-7.6727934214747343E-2</v>
      </c>
      <c r="N181" s="317">
        <f>L181-F181</f>
        <v>-402.22045992917629</v>
      </c>
      <c r="O181" s="367">
        <f t="array" ref="O181">+INDEX('Réel 2024'!$A$2:$AO$501,MATCH($A181,'Réel 2024'!$A$2:$A$501,0),MATCH(O$2,'Réel 2024'!$A$2:$AO$2,0))</f>
        <v>0</v>
      </c>
      <c r="P181" s="271">
        <f t="array" ref="P181">+INDEX('Réel 2024'!$A$2:$AO$501,MATCH($A181,'Réel 2024'!$A$2:$A$501,0),MATCH(P$2,'Réel 2024'!$A$2:$AO$2,0))</f>
        <v>8215.18</v>
      </c>
      <c r="Q181" s="272">
        <f t="array" ref="Q181">+INDEX('Réel 2024'!$A$2:$AO$501,MATCH($A181,'Réel 2024'!$A$2:$A$501,0),MATCH(Q$2,'Réel 2024'!$A$2:$AO$2,0))</f>
        <v>6311.64</v>
      </c>
      <c r="R181" s="292">
        <f>IF(O181=0,0,J181/O181)</f>
        <v>0</v>
      </c>
      <c r="S181" s="317">
        <f>L181-Q181</f>
        <v>-536.18000000000029</v>
      </c>
      <c r="T181" s="291"/>
      <c r="U181" s="944"/>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0.78</v>
      </c>
      <c r="G182" s="270"/>
      <c r="H182" s="372"/>
      <c r="I182" s="362"/>
      <c r="J182" s="373"/>
      <c r="K182" s="372">
        <f>IF(J182&lt;=0,0,L182/J182)</f>
        <v>0</v>
      </c>
      <c r="L182" s="362">
        <f>IF(L181=0,0,L181/K181)</f>
        <v>0.78981621654146861</v>
      </c>
      <c r="M182" s="277">
        <f>J182-D182</f>
        <v>0</v>
      </c>
      <c r="N182" s="374"/>
      <c r="O182" s="373"/>
      <c r="P182" s="372"/>
      <c r="Q182" s="362">
        <f>IFERROR(Q181/P181,0)</f>
        <v>0.768289921827641</v>
      </c>
      <c r="R182" s="253"/>
      <c r="S182" s="374"/>
      <c r="T182" s="319"/>
      <c r="U182" s="944"/>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-3337.9860131866349</v>
      </c>
      <c r="G184" s="253"/>
      <c r="H184" s="291"/>
      <c r="I184" s="291"/>
      <c r="J184" s="277"/>
      <c r="K184" s="291"/>
      <c r="L184" s="291">
        <f>-SUMIFS(BV_Data_An_Cour!$O:$O,BV_Data_An_Cour!$U:$U,$B184,BV_Data_An_Cour!$V:$V,$C184,BV_Data_An_Cour!$W:$W,$L$2)</f>
        <v>-2324.0300000000002</v>
      </c>
      <c r="M184" s="373"/>
      <c r="N184" s="276">
        <f>L184-F184</f>
        <v>1013.9560131866347</v>
      </c>
      <c r="O184" s="277"/>
      <c r="P184" s="291"/>
      <c r="Q184" s="256">
        <f t="array" ref="Q184">+INDEX('Réel 2024'!$A$2:$AO$501,MATCH($A184,'Réel 2024'!$A$2:$A$501,0),MATCH(Q$2,'Réel 2024'!$A$2:$AO$2,0))</f>
        <v>-634.37</v>
      </c>
      <c r="R184" s="379"/>
      <c r="S184" s="276">
        <f t="shared" ref="S184:S185" si="41">L184-Q184</f>
        <v>-1689.6600000000003</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908.25069916356097</v>
      </c>
      <c r="E185" s="381">
        <f>E172+E175+E178+E181+E184</f>
        <v>301877.81354574295</v>
      </c>
      <c r="F185" s="382">
        <f>F172+F175+F178+F181+F184</f>
        <v>218940.52177904936</v>
      </c>
      <c r="G185" s="383"/>
      <c r="H185" s="381"/>
      <c r="I185" s="382"/>
      <c r="J185" s="383">
        <f t="shared" ref="J185:L185" si="42">J172+J175+J178+J181+J184</f>
        <v>849</v>
      </c>
      <c r="K185" s="381">
        <f t="shared" si="42"/>
        <v>292253.40999999997</v>
      </c>
      <c r="L185" s="382">
        <f t="shared" si="42"/>
        <v>217254.14</v>
      </c>
      <c r="M185" s="384">
        <f>(K185-E185)/E185</f>
        <v>-3.1881784993399671E-2</v>
      </c>
      <c r="N185" s="382">
        <f>L185-F185</f>
        <v>-1686.3817790493486</v>
      </c>
      <c r="O185" s="383">
        <f t="shared" ref="O185:Q185" si="43">O172+O175+O178+O181+O184</f>
        <v>848</v>
      </c>
      <c r="P185" s="381">
        <f t="shared" si="43"/>
        <v>282164.96000000002</v>
      </c>
      <c r="Q185" s="382">
        <f t="shared" si="43"/>
        <v>207770.51999999993</v>
      </c>
      <c r="R185" s="264">
        <f>IF(O185=0,0,J185/O185)</f>
        <v>1.0011792452830188</v>
      </c>
      <c r="S185" s="382">
        <f t="shared" si="41"/>
        <v>9483.6200000000827</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0.72526204959369678</v>
      </c>
      <c r="G186" s="389"/>
      <c r="H186" s="387"/>
      <c r="I186" s="265"/>
      <c r="J186" s="389"/>
      <c r="K186" s="387">
        <f>IF(J185=0,0,K185/J185)</f>
        <v>344.23252061248525</v>
      </c>
      <c r="L186" s="265">
        <f>IF(L185=0,0,L185/K185)</f>
        <v>0.74337589422823169</v>
      </c>
      <c r="M186" s="389"/>
      <c r="N186" s="388">
        <f>N185/F185</f>
        <v>-7.702465333261666E-3</v>
      </c>
      <c r="O186" s="389"/>
      <c r="P186" s="387">
        <f>IF(O185=0,0,P185/O185)</f>
        <v>332.74169811320758</v>
      </c>
      <c r="Q186" s="265">
        <f>Q185/P185</f>
        <v>0.73634415839585443</v>
      </c>
      <c r="R186" s="389"/>
      <c r="S186" s="265">
        <f>S185/Q185</f>
        <v>4.564468529991688E-2</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20247.880139630204</v>
      </c>
      <c r="F188" s="291">
        <f>+INDEX('Budget original'!$A$2:$AO$501,MATCH($A188,'Budget original'!$A$2:$A$501,0),MATCH(F$2,'Budget original'!$A$2:$AO$2,0))</f>
        <v>4049.5760279260412</v>
      </c>
      <c r="G188" s="277"/>
      <c r="H188" s="291"/>
      <c r="I188" s="291"/>
      <c r="J188" s="277"/>
      <c r="K188" s="254">
        <f>-SUMIFS(BV_Data_An_Cour!$O:$O,BV_Data_An_Cour!$X:$X,"Oui",BV_Data_An_Cour!$U:$U,$B188,BV_Data_An_Cour!$V:$V,$C188)</f>
        <v>10490.09</v>
      </c>
      <c r="L188" s="256">
        <f>-SUMIFS(BV_Data_An_Cour!$O:$O,BV_Data_An_Cour!$U:$U,$B188,BV_Data_An_Cour!$V:$V,$C188,BV_Data_An_Cour!$W:$W,$L$2)</f>
        <v>2335.87</v>
      </c>
      <c r="M188" s="292">
        <f>IF(E188=0,0,(K188-E188)/E188)</f>
        <v>-0.48191662891819226</v>
      </c>
      <c r="N188" s="276">
        <f>L188-F188</f>
        <v>-1713.7060279260413</v>
      </c>
      <c r="O188" s="277"/>
      <c r="P188" s="254">
        <f t="array" ref="P188">+INDEX('Réel 2024'!$A$2:$AO$501,MATCH($A188,'Réel 2024'!$A$2:$A$501,0),MATCH(P$2,'Réel 2024'!$A$2:$AO$2,0))</f>
        <v>18065.2</v>
      </c>
      <c r="Q188" s="256">
        <f t="array" ref="Q188">+INDEX('Réel 2024'!$A$2:$AO$501,MATCH($A188,'Réel 2024'!$A$2:$A$501,0),MATCH(Q$2,'Réel 2024'!$A$2:$AO$2,0))</f>
        <v>2649.47</v>
      </c>
      <c r="R188" s="292">
        <f>IF(O188=0,0,J188/O188)</f>
        <v>0</v>
      </c>
      <c r="S188" s="276">
        <f>L188-Q188</f>
        <v>-313.59999999999991</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0.2</v>
      </c>
      <c r="G189" s="253"/>
      <c r="H189" s="349"/>
      <c r="I189" s="362"/>
      <c r="J189" s="373"/>
      <c r="K189" s="372"/>
      <c r="L189" s="362">
        <f>IF(L188=0,0,L188/K188)</f>
        <v>0.22267397133866343</v>
      </c>
      <c r="M189" s="373"/>
      <c r="N189" s="374"/>
      <c r="O189" s="373"/>
      <c r="P189" s="372"/>
      <c r="Q189" s="362">
        <f>IFERROR(Q188/P188,0)</f>
        <v>0.14666153709895266</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7310.8644496203269</v>
      </c>
      <c r="F191" s="291">
        <f>+INDEX('Budget original'!$A$2:$AO$501,MATCH($A191,'Budget original'!$A$2:$A$501,0),MATCH(F$2,'Budget original'!$A$2:$AO$2,0))</f>
        <v>5117.6051147342287</v>
      </c>
      <c r="G191" s="253"/>
      <c r="H191" s="291"/>
      <c r="I191" s="291"/>
      <c r="J191" s="277">
        <f>-SUMIFS(BV_Data_An_Cour!$O:$O,BV_Data_An_Cour!$U:$U,$B191,BV_Data_An_Cour!$V:$V,$C191,BV_Data_An_Cour!$W:$W,J$2)</f>
        <v>30</v>
      </c>
      <c r="K191" s="254">
        <f>-SUMIFS(BV_Data_An_Cour!$O:$O,BV_Data_An_Cour!$X:$X,"Oui",BV_Data_An_Cour!$U:$U,$B191,BV_Data_An_Cour!$V:$V,$C191)</f>
        <v>6259.75</v>
      </c>
      <c r="L191" s="256">
        <f>-SUMIFS(BV_Data_An_Cour!$O:$O,BV_Data_An_Cour!$U:$U,$B191,BV_Data_An_Cour!$V:$V,$C191,BV_Data_An_Cour!$W:$W,$L$2)</f>
        <v>4968.38</v>
      </c>
      <c r="M191" s="292">
        <f>IF(E191=0,0,(K191-E191)/E191)</f>
        <v>-0.14377430423770396</v>
      </c>
      <c r="N191" s="276">
        <f>L191-F191</f>
        <v>-149.22511473422855</v>
      </c>
      <c r="O191" s="373"/>
      <c r="P191" s="254">
        <f t="array" ref="P191">+INDEX('Réel 2024'!$A$2:$AO$501,MATCH($A191,'Réel 2024'!$A$2:$A$501,0),MATCH(P$2,'Réel 2024'!$A$2:$AO$2,0))</f>
        <v>11580</v>
      </c>
      <c r="Q191" s="256">
        <f t="array" ref="Q191">+INDEX('Réel 2024'!$A$2:$AO$501,MATCH($A191,'Réel 2024'!$A$2:$A$501,0),MATCH(Q$2,'Réel 2024'!$A$2:$AO$2,0))</f>
        <v>8610.2900000000009</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0.79370262390670554</v>
      </c>
      <c r="M192" s="373"/>
      <c r="N192" s="374"/>
      <c r="O192" s="373"/>
      <c r="P192" s="372"/>
      <c r="Q192" s="362">
        <f>IF(Q191=0,0,Q191/P191)</f>
        <v>0.74354835924006912</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329436.55813499348</v>
      </c>
      <c r="F194" s="281">
        <f>F185+F188+F191</f>
        <v>228107.70292170963</v>
      </c>
      <c r="G194" s="282"/>
      <c r="H194" s="279"/>
      <c r="I194" s="281"/>
      <c r="J194" s="282"/>
      <c r="K194" s="279">
        <f t="shared" ref="K194:L194" si="44">K185+K188+K191</f>
        <v>309003.25</v>
      </c>
      <c r="L194" s="281">
        <f t="shared" si="44"/>
        <v>224558.39</v>
      </c>
      <c r="M194" s="399">
        <f>L195-F195</f>
        <v>3.4300840658120779E-2</v>
      </c>
      <c r="N194" s="281">
        <f>L194-F194</f>
        <v>-3549.3129217096139</v>
      </c>
      <c r="O194" s="282"/>
      <c r="P194" s="279">
        <f t="shared" ref="P194:Q194" si="45">P185+P188+P191</f>
        <v>311810.16000000003</v>
      </c>
      <c r="Q194" s="281">
        <f t="shared" si="45"/>
        <v>219030.27999999994</v>
      </c>
      <c r="R194" s="399"/>
      <c r="S194" s="281">
        <f>L194-Q194</f>
        <v>5528.1100000000733</v>
      </c>
      <c r="T194" s="319"/>
      <c r="U194" s="1102"/>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0.69241769709188672</v>
      </c>
      <c r="G195" s="283"/>
      <c r="H195" s="284"/>
      <c r="I195" s="287"/>
      <c r="J195" s="283"/>
      <c r="K195" s="284"/>
      <c r="L195" s="287">
        <f>L194/K194</f>
        <v>0.7267185377500075</v>
      </c>
      <c r="M195" s="286"/>
      <c r="N195" s="287">
        <f>N194/F194</f>
        <v>-1.5559811774211752E-2</v>
      </c>
      <c r="O195" s="283"/>
      <c r="P195" s="284"/>
      <c r="Q195" s="287">
        <f>Q194/P194</f>
        <v>0.70244754051631908</v>
      </c>
      <c r="R195" s="286"/>
      <c r="S195" s="287">
        <f>L194/S194</f>
        <v>40.621186987957373</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7153.8461538461543</v>
      </c>
      <c r="G198" s="253"/>
      <c r="H198" s="41"/>
      <c r="I198" s="254"/>
      <c r="J198" s="253"/>
      <c r="K198" s="41"/>
      <c r="L198" s="256">
        <f>SUMIFS(BV_Data_An_Cour!$O:$O,BV_Data_An_Cour!$U:$U,$B198,BV_Data_An_Cour!$V:$V,$C198,BV_Data_An_Cour!$W:$W,$L$2)</f>
        <v>10006.58</v>
      </c>
      <c r="M198" s="253"/>
      <c r="N198" s="256">
        <f t="shared" ref="N198:N229" si="46">L198-F198</f>
        <v>2852.7338461538457</v>
      </c>
      <c r="O198" s="253"/>
      <c r="P198" s="41"/>
      <c r="Q198" s="256">
        <f t="array" ref="Q198">+INDEX('Réel 2024'!$A$2:$AO$501,MATCH($A198,'Réel 2024'!$A$2:$A$501,0),MATCH(Q$2,'Réel 2024'!$A$2:$AO$2,0))</f>
        <v>17089</v>
      </c>
      <c r="R198" s="253"/>
      <c r="S198" s="256">
        <f t="shared" ref="S198:S229" si="47">L198-Q198</f>
        <v>-7082.42</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13686.064196719999</v>
      </c>
      <c r="G199" s="298"/>
      <c r="H199" s="41"/>
      <c r="I199" s="248"/>
      <c r="J199" s="253"/>
      <c r="K199" s="41"/>
      <c r="L199" s="256">
        <f>SUMIFS(BV_Data_An_Cour!$O:$O,BV_Data_An_Cour!$U:$U,$B199,BV_Data_An_Cour!$V:$V,$C199,BV_Data_An_Cour!$W:$W,$L$2)</f>
        <v>17220.8</v>
      </c>
      <c r="M199" s="253"/>
      <c r="N199" s="256">
        <f t="shared" si="46"/>
        <v>3534.7358032800003</v>
      </c>
      <c r="O199" s="253"/>
      <c r="P199" s="41"/>
      <c r="Q199" s="256">
        <f t="array" ref="Q199">+INDEX('Réel 2024'!$A$2:$AO$501,MATCH($A199,'Réel 2024'!$A$2:$A$501,0),MATCH(Q$2,'Réel 2024'!$A$2:$AO$2,0))</f>
        <v>8555.6299999999992</v>
      </c>
      <c r="R199" s="253"/>
      <c r="S199" s="276">
        <f t="shared" si="47"/>
        <v>8665.17</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399999999999999">
      <c r="A200" s="5" t="s">
        <v>475</v>
      </c>
      <c r="B200" s="41" t="s">
        <v>161</v>
      </c>
      <c r="C200" s="312" t="s">
        <v>122</v>
      </c>
      <c r="D200" s="314"/>
      <c r="E200" s="315"/>
      <c r="F200" s="254">
        <f>+INDEX('Budget original'!$A$2:$AO$501,MATCH($A200,'Budget original'!$A$2:$A$501,0),MATCH(F$2,'Budget original'!$A$2:$AO$2,0))</f>
        <v>35049.351564666664</v>
      </c>
      <c r="G200" s="316"/>
      <c r="H200" s="315"/>
      <c r="I200" s="254"/>
      <c r="J200" s="241"/>
      <c r="K200" s="315"/>
      <c r="L200" s="1329">
        <f>SUMIFS(BV_Data_An_Cour!$O:$O,BV_Data_An_Cour!$U:$U,$B200,BV_Data_An_Cour!$V:$V,$C200,BV_Data_An_Cour!$W:$W,$L$2)</f>
        <v>15297.39</v>
      </c>
      <c r="M200" s="241"/>
      <c r="N200" s="272">
        <f t="shared" si="46"/>
        <v>-19751.961564666664</v>
      </c>
      <c r="O200" s="241"/>
      <c r="P200" s="315"/>
      <c r="Q200" s="272">
        <f t="array" ref="Q200">+INDEX('Réel 2024'!$A$2:$AO$501,MATCH($A200,'Réel 2024'!$A$2:$A$501,0),MATCH(Q$2,'Réel 2024'!$A$2:$AO$2,0))</f>
        <v>16309.16</v>
      </c>
      <c r="R200" s="241"/>
      <c r="S200" s="317">
        <f t="shared" si="47"/>
        <v>-1011.7700000000004</v>
      </c>
      <c r="T200" s="41"/>
      <c r="U200" s="38"/>
      <c r="V200" s="41"/>
      <c r="W200" s="41"/>
      <c r="X200" s="41"/>
      <c r="Y200" s="41"/>
      <c r="Z200" s="41"/>
      <c r="AA200" s="41"/>
      <c r="AB200" s="41"/>
      <c r="AC200" s="41"/>
      <c r="AD200" s="41"/>
      <c r="AE200" s="41"/>
      <c r="AF200" s="41"/>
      <c r="AG200" s="41"/>
      <c r="AH200" s="41"/>
      <c r="AI200" s="41"/>
      <c r="AJ200" s="41"/>
      <c r="AK200" s="41"/>
      <c r="AL200" s="41"/>
      <c r="AM200" s="41"/>
      <c r="AN200" s="41"/>
    </row>
    <row r="201" spans="1:40" ht="20.399999999999999">
      <c r="A201" s="5" t="s">
        <v>476</v>
      </c>
      <c r="B201" s="41" t="s">
        <v>161</v>
      </c>
      <c r="C201" s="312" t="s">
        <v>123</v>
      </c>
      <c r="D201" s="297"/>
      <c r="E201" s="1087">
        <f>F201/E172</f>
        <v>0.22446114882496696</v>
      </c>
      <c r="F201" s="254">
        <f>+INDEX('Budget original'!$A$2:$AO$501,MATCH($A201,'Budget original'!$A$2:$A$501,0),MATCH(F$2,'Budget original'!$A$2:$AO$2,0))</f>
        <v>29097.697573702389</v>
      </c>
      <c r="G201" s="298"/>
      <c r="H201" s="41"/>
      <c r="I201" s="254"/>
      <c r="J201" s="253"/>
      <c r="K201" s="1104">
        <f>L201/K172</f>
        <v>0.17263493690703779</v>
      </c>
      <c r="L201" s="256">
        <f>SUMIFS(BV_Data_An_Cour!$O:$O,BV_Data_An_Cour!$U:$U,$B201,BV_Data_An_Cour!$V:$V,$C201,BV_Data_An_Cour!$W:$W,$L$2)</f>
        <v>20059.900000000001</v>
      </c>
      <c r="M201" s="253"/>
      <c r="N201" s="256">
        <f t="shared" si="46"/>
        <v>-9037.797573702388</v>
      </c>
      <c r="O201" s="253"/>
      <c r="P201" s="41"/>
      <c r="Q201" s="256">
        <f t="array" ref="Q201">+INDEX('Réel 2024'!$A$2:$AO$501,MATCH($A201,'Réel 2024'!$A$2:$A$501,0),MATCH(Q$2,'Réel 2024'!$A$2:$AO$2,0))</f>
        <v>16437.28</v>
      </c>
      <c r="R201" s="253"/>
      <c r="S201" s="276">
        <f t="shared" si="47"/>
        <v>3622.6200000000026</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399999999999999">
      <c r="A205" s="5" t="s">
        <v>478</v>
      </c>
      <c r="B205" s="41" t="s">
        <v>161</v>
      </c>
      <c r="C205" s="313" t="s">
        <v>124</v>
      </c>
      <c r="D205" s="297"/>
      <c r="E205" s="41"/>
      <c r="F205" s="254">
        <f>+INDEX('Budget original'!$A$2:$AO$501,MATCH($A205,'Budget original'!$A$2:$A$501,0),MATCH(F$2,'Budget original'!$A$2:$AO$2,0))</f>
        <v>19392.749967965792</v>
      </c>
      <c r="G205" s="298"/>
      <c r="H205" s="41"/>
      <c r="I205" s="254"/>
      <c r="J205" s="253"/>
      <c r="K205" s="41"/>
      <c r="L205" s="256">
        <f>SUMIFS(BV_Data_An_Cour!$O:$O,BV_Data_An_Cour!$U:$U,$B205,BV_Data_An_Cour!$V:$V,$C205,BV_Data_An_Cour!$W:$W,$L$2)</f>
        <v>17791.38</v>
      </c>
      <c r="M205" s="253"/>
      <c r="N205" s="256">
        <f t="shared" si="46"/>
        <v>-1601.3699679657911</v>
      </c>
      <c r="O205" s="253"/>
      <c r="P205" s="41"/>
      <c r="Q205" s="256">
        <f t="array" ref="Q205">+INDEX('Réel 2024'!$A$2:$AO$501,MATCH($A205,'Réel 2024'!$A$2:$A$501,0),MATCH(Q$2,'Réel 2024'!$A$2:$AO$2,0))</f>
        <v>13993.31</v>
      </c>
      <c r="R205" s="253"/>
      <c r="S205" s="276">
        <f t="shared" si="47"/>
        <v>3798.0700000000015</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23578.85018131524</v>
      </c>
      <c r="G206" s="316"/>
      <c r="H206" s="315"/>
      <c r="I206" s="272"/>
      <c r="J206" s="241"/>
      <c r="K206" s="315"/>
      <c r="L206" s="272">
        <f>SUMIFS(BV_Data_An_Cour!$O:$O,BV_Data_An_Cour!$U:$U,$B206,BV_Data_An_Cour!$V:$V,$C206,BV_Data_An_Cour!$W:$W,$L$2)</f>
        <v>21631.11</v>
      </c>
      <c r="M206" s="241"/>
      <c r="N206" s="272">
        <f t="shared" si="46"/>
        <v>-1947.7401813152392</v>
      </c>
      <c r="O206" s="241"/>
      <c r="P206" s="315"/>
      <c r="Q206" s="272">
        <f t="array" ref="Q206">+INDEX('Réel 2024'!$A$2:$AO$501,MATCH($A206,'Réel 2024'!$A$2:$A$501,0),MATCH(Q$2,'Réel 2024'!$A$2:$AO$2,0))</f>
        <v>16705.810000000001</v>
      </c>
      <c r="R206" s="241"/>
      <c r="S206" s="317">
        <f t="shared" si="47"/>
        <v>4925.2999999999993</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12148.233680373285</v>
      </c>
      <c r="G207" s="298"/>
      <c r="H207" s="41"/>
      <c r="I207" s="254"/>
      <c r="J207" s="253"/>
      <c r="K207" s="41"/>
      <c r="L207" s="256">
        <f>SUMIFS(BV_Data_An_Cour!$O:$O,BV_Data_An_Cour!$U:$U,$B207,BV_Data_An_Cour!$V:$V,$C207,BV_Data_An_Cour!$W:$W,$L$2)</f>
        <v>10186.24</v>
      </c>
      <c r="M207" s="253"/>
      <c r="N207" s="256">
        <f t="shared" si="46"/>
        <v>-1961.9936803732853</v>
      </c>
      <c r="O207" s="253"/>
      <c r="P207" s="41"/>
      <c r="Q207" s="256">
        <f t="array" ref="Q207">+INDEX('Réel 2024'!$A$2:$AO$501,MATCH($A207,'Réel 2024'!$A$2:$A$501,0),MATCH(Q$2,'Réel 2024'!$A$2:$AO$2,0))</f>
        <v>8464.64</v>
      </c>
      <c r="R207" s="253"/>
      <c r="S207" s="276">
        <f t="shared" si="47"/>
        <v>1721.6000000000004</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5296.6982291360309</v>
      </c>
      <c r="G208" s="298"/>
      <c r="H208" s="41"/>
      <c r="I208" s="254"/>
      <c r="J208" s="253"/>
      <c r="K208" s="41"/>
      <c r="L208" s="256">
        <f>SUMIFS(BV_Data_An_Cour!$O:$O,BV_Data_An_Cour!$U:$U,$B208,BV_Data_An_Cour!$V:$V,$C208,BV_Data_An_Cour!$W:$W,$L$2)</f>
        <v>3029.01</v>
      </c>
      <c r="M208" s="253"/>
      <c r="N208" s="256">
        <f t="shared" si="46"/>
        <v>-2267.6882291360307</v>
      </c>
      <c r="O208" s="253"/>
      <c r="P208" s="41"/>
      <c r="Q208" s="256">
        <f t="array" ref="Q208">+INDEX('Réel 2024'!$A$2:$AO$501,MATCH($A208,'Réel 2024'!$A$2:$A$501,0),MATCH(Q$2,'Réel 2024'!$A$2:$AO$2,0))</f>
        <v>3790.27</v>
      </c>
      <c r="R208" s="253"/>
      <c r="S208" s="276">
        <f t="shared" si="47"/>
        <v>-761.25999999999976</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0.6374335004269035</v>
      </c>
      <c r="F210" s="307">
        <f>+SUM(F198:F209)</f>
        <v>145403.49154772557</v>
      </c>
      <c r="G210" s="308"/>
      <c r="H210" s="306"/>
      <c r="I210" s="307"/>
      <c r="J210" s="308" t="s">
        <v>175</v>
      </c>
      <c r="K210" s="306">
        <f>L210/L$194</f>
        <v>0.51310668018237926</v>
      </c>
      <c r="L210" s="307">
        <f>+SUM(L198:L209)</f>
        <v>115222.41</v>
      </c>
      <c r="M210" s="355"/>
      <c r="N210" s="307">
        <f t="shared" si="46"/>
        <v>-30181.081547725567</v>
      </c>
      <c r="O210" s="308" t="s">
        <v>175</v>
      </c>
      <c r="P210" s="306">
        <f>Q210/Q$194</f>
        <v>0.46269903868999307</v>
      </c>
      <c r="Q210" s="307">
        <f>+SUM(Q198:Q209)</f>
        <v>101345.09999999999</v>
      </c>
      <c r="R210" s="355"/>
      <c r="S210" s="320">
        <f t="shared" si="47"/>
        <v>13877.310000000012</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5697.5</v>
      </c>
      <c r="G211" s="298"/>
      <c r="H211" s="41"/>
      <c r="I211" s="254"/>
      <c r="J211" s="253"/>
      <c r="K211" s="41"/>
      <c r="L211" s="256">
        <f>SUMIFS(BV_Data_An_Cour!$O:$O,BV_Data_An_Cour!$U:$U,$B211,BV_Data_An_Cour!$V:$V,$C211,BV_Data_An_Cour!$W:$W,$L$2)</f>
        <v>2756.43</v>
      </c>
      <c r="M211" s="253"/>
      <c r="N211" s="276">
        <f t="shared" si="46"/>
        <v>-2941.07</v>
      </c>
      <c r="O211" s="253"/>
      <c r="P211" s="41"/>
      <c r="Q211" s="256">
        <f t="array" ref="Q211">+INDEX('Réel 2024'!$A$2:$AO$501,MATCH($A211,'Réel 2024'!$A$2:$A$501,0),MATCH(Q$2,'Réel 2024'!$A$2:$AO$2,0))</f>
        <v>13734.02</v>
      </c>
      <c r="R211" s="253"/>
      <c r="S211" s="276">
        <f t="shared" si="47"/>
        <v>-10977.59</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2023.0100000000002</v>
      </c>
      <c r="M212" s="253"/>
      <c r="N212" s="276">
        <f t="shared" si="46"/>
        <v>-1399.1674033237091</v>
      </c>
      <c r="O212" s="253"/>
      <c r="P212" s="41"/>
      <c r="Q212" s="256">
        <f t="array" ref="Q212">+INDEX('Réel 2024'!$A$2:$AO$501,MATCH($A212,'Réel 2024'!$A$2:$A$501,0),MATCH(Q$2,'Réel 2024'!$A$2:$AO$2,0))</f>
        <v>4779.6099999999997</v>
      </c>
      <c r="R212" s="253"/>
      <c r="S212" s="276">
        <f t="shared" si="47"/>
        <v>-2756.5999999999995</v>
      </c>
      <c r="T212" s="41"/>
      <c r="U212" s="1120"/>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14083.739355555555</v>
      </c>
      <c r="G213" s="300"/>
      <c r="H213" s="318"/>
      <c r="I213" s="248"/>
      <c r="J213" s="246"/>
      <c r="K213" s="318"/>
      <c r="L213" s="256">
        <f>SUMIFS(BV_Data_An_Cour!$O:$O,BV_Data_An_Cour!$U:$U,$B213,BV_Data_An_Cour!$V:$V,$C213,BV_Data_An_Cour!$W:$W,$L$2)</f>
        <v>9445.2999999999993</v>
      </c>
      <c r="M213" s="246"/>
      <c r="N213" s="296">
        <f t="shared" si="46"/>
        <v>-4638.4393555555562</v>
      </c>
      <c r="O213" s="246"/>
      <c r="P213" s="318"/>
      <c r="Q213" s="256">
        <f t="array" ref="Q213">+INDEX('Réel 2024'!$A$2:$AO$501,MATCH($A213,'Réel 2024'!$A$2:$A$501,0),MATCH(Q$2,'Réel 2024'!$A$2:$AO$2,0))</f>
        <v>10165.459999999999</v>
      </c>
      <c r="R213" s="246"/>
      <c r="S213" s="296">
        <f t="shared" si="47"/>
        <v>-720.15999999999985</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5480</v>
      </c>
      <c r="G214" s="298"/>
      <c r="H214" s="41"/>
      <c r="I214" s="254"/>
      <c r="J214" s="253"/>
      <c r="K214" s="41"/>
      <c r="L214" s="272">
        <f>SUMIFS(BV_Data_An_Cour!$O:$O,BV_Data_An_Cour!$U:$U,$B214,BV_Data_An_Cour!$V:$V,$C214,BV_Data_An_Cour!$W:$W,$L$2)</f>
        <v>4437.25</v>
      </c>
      <c r="M214" s="253"/>
      <c r="N214" s="276">
        <f t="shared" si="46"/>
        <v>-1042.75</v>
      </c>
      <c r="O214" s="253"/>
      <c r="P214" s="41"/>
      <c r="Q214" s="272">
        <f t="array" ref="Q214">+INDEX('Réel 2024'!$A$2:$AO$501,MATCH($A214,'Réel 2024'!$A$2:$A$501,0),MATCH(Q$2,'Réel 2024'!$A$2:$AO$2,0))</f>
        <v>5301.19</v>
      </c>
      <c r="R214" s="253"/>
      <c r="S214" s="276">
        <f t="shared" si="47"/>
        <v>-863.9399999999996</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1250</v>
      </c>
      <c r="G215" s="298"/>
      <c r="H215" s="41"/>
      <c r="I215" s="254"/>
      <c r="J215" s="253"/>
      <c r="K215" s="41"/>
      <c r="L215" s="256">
        <f>SUMIFS(BV_Data_An_Cour!$O:$O,BV_Data_An_Cour!$U:$U,$B215,BV_Data_An_Cour!$V:$V,$C215,BV_Data_An_Cour!$W:$W,$L$2)</f>
        <v>1494.34</v>
      </c>
      <c r="M215" s="253"/>
      <c r="N215" s="276">
        <f t="shared" si="46"/>
        <v>244.33999999999992</v>
      </c>
      <c r="O215" s="253"/>
      <c r="P215" s="41"/>
      <c r="Q215" s="256">
        <f t="array" ref="Q215">+INDEX('Réel 2024'!$A$2:$AO$501,MATCH($A215,'Réel 2024'!$A$2:$A$501,0),MATCH(Q$2,'Réel 2024'!$A$2:$AO$2,0))</f>
        <v>713.23</v>
      </c>
      <c r="R215" s="253"/>
      <c r="S215" s="276">
        <f t="shared" si="47"/>
        <v>781.1099999999999</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14721.84</v>
      </c>
      <c r="G216" s="300"/>
      <c r="H216" s="318"/>
      <c r="I216" s="248"/>
      <c r="J216" s="246"/>
      <c r="K216" s="318"/>
      <c r="L216" s="256">
        <f>SUMIFS(BV_Data_An_Cour!$O:$O,BV_Data_An_Cour!$U:$U,$B216,BV_Data_An_Cour!$V:$V,$C216,BV_Data_An_Cour!$W:$W,$L$2)</f>
        <v>20975.82</v>
      </c>
      <c r="M216" s="246"/>
      <c r="N216" s="296">
        <f t="shared" si="46"/>
        <v>6253.98</v>
      </c>
      <c r="O216" s="246"/>
      <c r="P216" s="318"/>
      <c r="Q216" s="256">
        <f t="array" ref="Q216">+INDEX('Réel 2024'!$A$2:$AO$501,MATCH($A216,'Réel 2024'!$A$2:$A$501,0),MATCH(Q$2,'Réel 2024'!$A$2:$AO$2,0))</f>
        <v>17978.91</v>
      </c>
      <c r="R216" s="246"/>
      <c r="S216" s="296">
        <f t="shared" si="47"/>
        <v>2996.91</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5000</v>
      </c>
      <c r="G218" s="298"/>
      <c r="H218" s="41"/>
      <c r="I218" s="254"/>
      <c r="J218" s="253"/>
      <c r="K218" s="41"/>
      <c r="L218" s="256">
        <f>SUMIFS(BV_Data_An_Cour!$O:$O,BV_Data_An_Cour!$U:$U,$B218,BV_Data_An_Cour!$V:$V,$C218,BV_Data_An_Cour!$W:$W,$L$2)</f>
        <v>6976.85</v>
      </c>
      <c r="M218" s="253"/>
      <c r="N218" s="276">
        <f t="shared" si="46"/>
        <v>1976.8500000000004</v>
      </c>
      <c r="O218" s="253"/>
      <c r="P218" s="41"/>
      <c r="Q218" s="256">
        <f t="array" ref="Q218">+INDEX('Réel 2024'!$A$2:$AO$501,MATCH($A218,'Réel 2024'!$A$2:$A$501,0),MATCH(Q$2,'Réel 2024'!$A$2:$AO$2,0))</f>
        <v>4593.95</v>
      </c>
      <c r="R218" s="253"/>
      <c r="S218" s="276">
        <f t="shared" si="47"/>
        <v>2382.9000000000005</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1000</v>
      </c>
      <c r="G219" s="298"/>
      <c r="H219" s="41"/>
      <c r="I219" s="254"/>
      <c r="J219" s="253"/>
      <c r="K219" s="41"/>
      <c r="L219" s="256">
        <f>SUMIFS(BV_Data_An_Cour!$O:$O,BV_Data_An_Cour!$U:$U,$B219,BV_Data_An_Cour!$V:$V,$C219,BV_Data_An_Cour!$W:$W,$L$2)</f>
        <v>1063.3900000000001</v>
      </c>
      <c r="M219" s="253"/>
      <c r="N219" s="276">
        <f t="shared" si="46"/>
        <v>63.3900000000001</v>
      </c>
      <c r="O219" s="253"/>
      <c r="P219" s="41"/>
      <c r="Q219" s="256">
        <f t="array" ref="Q219">+INDEX('Réel 2024'!$A$2:$AO$501,MATCH($A219,'Réel 2024'!$A$2:$A$501,0),MATCH(Q$2,'Réel 2024'!$A$2:$AO$2,0))</f>
        <v>510.87</v>
      </c>
      <c r="R219" s="253"/>
      <c r="S219" s="276">
        <f t="shared" si="47"/>
        <v>552.5200000000001</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v>
      </c>
      <c r="G220" s="298"/>
      <c r="H220" s="41"/>
      <c r="I220" s="254"/>
      <c r="J220" s="253"/>
      <c r="K220" s="41"/>
      <c r="L220" s="256">
        <f>SUMIFS(BV_Data_An_Cour!$O:$O,BV_Data_An_Cour!$U:$U,$B220,BV_Data_An_Cour!$V:$V,$C220,BV_Data_An_Cour!$W:$W,$L$2)</f>
        <v>514.86</v>
      </c>
      <c r="M220" s="253"/>
      <c r="N220" s="276">
        <f t="shared" si="46"/>
        <v>-318.14</v>
      </c>
      <c r="O220" s="253"/>
      <c r="P220" s="41"/>
      <c r="Q220" s="256">
        <f t="array" ref="Q220">+INDEX('Réel 2024'!$A$2:$AO$501,MATCH($A220,'Réel 2024'!$A$2:$A$501,0),MATCH(Q$2,'Réel 2024'!$A$2:$AO$2,0))</f>
        <v>1332.33</v>
      </c>
      <c r="R220" s="253"/>
      <c r="S220" s="276">
        <f t="shared" si="47"/>
        <v>-817.46999999999991</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227.5</v>
      </c>
      <c r="G221" s="298"/>
      <c r="H221" s="41"/>
      <c r="I221" s="254"/>
      <c r="J221" s="253"/>
      <c r="K221" s="41"/>
      <c r="L221" s="256">
        <f>SUMIFS(BV_Data_An_Cour!$O:$O,BV_Data_An_Cour!$U:$U,$B221,BV_Data_An_Cour!$V:$V,$C221,BV_Data_An_Cour!$W:$W,$L$2)</f>
        <v>197.03</v>
      </c>
      <c r="M221" s="253"/>
      <c r="N221" s="276">
        <f t="shared" si="46"/>
        <v>-30.47</v>
      </c>
      <c r="O221" s="253"/>
      <c r="P221" s="41"/>
      <c r="Q221" s="256">
        <f t="array" ref="Q221">+INDEX('Réel 2024'!$A$2:$AO$501,MATCH($A221,'Réel 2024'!$A$2:$A$501,0),MATCH(Q$2,'Réel 2024'!$A$2:$AO$2,0))</f>
        <v>194.74</v>
      </c>
      <c r="R221" s="253"/>
      <c r="S221" s="276">
        <f t="shared" si="47"/>
        <v>2.289999999999992</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170.93999999999997</v>
      </c>
      <c r="G222" s="298"/>
      <c r="H222" s="41"/>
      <c r="I222" s="254"/>
      <c r="J222" s="253"/>
      <c r="K222" s="41"/>
      <c r="L222" s="256">
        <f>SUMIFS(BV_Data_An_Cour!$O:$O,BV_Data_An_Cour!$U:$U,$B222,BV_Data_An_Cour!$V:$V,$C222,BV_Data_An_Cour!$W:$W,$L$2)</f>
        <v>125.82</v>
      </c>
      <c r="M222" s="253"/>
      <c r="N222" s="276">
        <f t="shared" si="46"/>
        <v>-45.119999999999976</v>
      </c>
      <c r="O222" s="253"/>
      <c r="P222" s="41"/>
      <c r="Q222" s="256">
        <f t="array" ref="Q222">+INDEX('Réel 2024'!$A$2:$AO$501,MATCH($A222,'Réel 2024'!$A$2:$A$501,0),MATCH(Q$2,'Réel 2024'!$A$2:$AO$2,0))</f>
        <v>491.87</v>
      </c>
      <c r="R222" s="253"/>
      <c r="S222" s="276">
        <f t="shared" si="47"/>
        <v>-366.05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90</v>
      </c>
      <c r="G223" s="298"/>
      <c r="H223" s="41"/>
      <c r="I223" s="254"/>
      <c r="J223" s="253"/>
      <c r="K223" s="41"/>
      <c r="L223" s="256">
        <f>SUMIFS(BV_Data_An_Cour!$O:$O,BV_Data_An_Cour!$U:$U,$B223,BV_Data_An_Cour!$V:$V,$C223,BV_Data_An_Cour!$W:$W,$L$2)</f>
        <v>253.98</v>
      </c>
      <c r="M223" s="253"/>
      <c r="N223" s="276">
        <f t="shared" si="46"/>
        <v>163.98</v>
      </c>
      <c r="O223" s="253"/>
      <c r="P223" s="41"/>
      <c r="Q223" s="256">
        <f t="array" ref="Q223">+INDEX('Réel 2024'!$A$2:$AO$501,MATCH($A223,'Réel 2024'!$A$2:$A$501,0),MATCH(Q$2,'Réel 2024'!$A$2:$AO$2,0))</f>
        <v>53.41</v>
      </c>
      <c r="R223" s="253"/>
      <c r="S223" s="276">
        <f t="shared" si="47"/>
        <v>200.57</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1666.6666666666667</v>
      </c>
      <c r="G224" s="298"/>
      <c r="H224" s="41"/>
      <c r="I224" s="254"/>
      <c r="J224" s="253"/>
      <c r="K224" s="41"/>
      <c r="L224" s="256">
        <f>SUMIFS(BV_Data_An_Cour!$O:$O,BV_Data_An_Cour!$U:$U,$B224,BV_Data_An_Cour!$V:$V,$C224,BV_Data_An_Cour!$W:$W,$L$2)</f>
        <v>1078.8699999999999</v>
      </c>
      <c r="M224" s="253"/>
      <c r="N224" s="276">
        <f t="shared" si="46"/>
        <v>-587.79666666666685</v>
      </c>
      <c r="O224" s="253"/>
      <c r="P224" s="41"/>
      <c r="Q224" s="256">
        <f t="array" ref="Q224">+INDEX('Réel 2024'!$A$2:$AO$501,MATCH($A224,'Réel 2024'!$A$2:$A$501,0),MATCH(Q$2,'Réel 2024'!$A$2:$AO$2,0))</f>
        <v>1374.83</v>
      </c>
      <c r="R224" s="253"/>
      <c r="S224" s="276">
        <f t="shared" si="47"/>
        <v>-295.96000000000004</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2042.7904372481134</v>
      </c>
      <c r="G225" s="298"/>
      <c r="H225" s="41"/>
      <c r="I225" s="254"/>
      <c r="J225" s="253"/>
      <c r="K225" s="41"/>
      <c r="L225" s="256">
        <f>SUMIFS(BV_Data_An_Cour!$O:$O,BV_Data_An_Cour!$U:$U,$B225,BV_Data_An_Cour!$V:$V,$C225,BV_Data_An_Cour!$W:$W,$L$2)</f>
        <v>1913.34</v>
      </c>
      <c r="M225" s="253"/>
      <c r="N225" s="276">
        <f t="shared" si="46"/>
        <v>-129.45043724811353</v>
      </c>
      <c r="O225" s="253"/>
      <c r="P225" s="41"/>
      <c r="Q225" s="256">
        <f t="array" ref="Q225">+INDEX('Réel 2024'!$A$2:$AO$501,MATCH($A225,'Réel 2024'!$A$2:$A$501,0),MATCH(Q$2,'Réel 2024'!$A$2:$AO$2,0))</f>
        <v>1859.91</v>
      </c>
      <c r="R225" s="253"/>
      <c r="S225" s="276">
        <f t="shared" si="47"/>
        <v>53.429999999999836</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0.24412219819646536</v>
      </c>
      <c r="F229" s="307">
        <f>+SUM(F211:F228)</f>
        <v>55686.153862794039</v>
      </c>
      <c r="G229" s="308"/>
      <c r="H229" s="306"/>
      <c r="I229" s="307"/>
      <c r="J229" s="308" t="s">
        <v>175</v>
      </c>
      <c r="K229" s="306">
        <f>L229/L$194</f>
        <v>0.23716009898360951</v>
      </c>
      <c r="L229" s="307">
        <f>+SUM(L211:L228)</f>
        <v>53256.289999999994</v>
      </c>
      <c r="M229" s="311"/>
      <c r="N229" s="307">
        <f t="shared" si="46"/>
        <v>-2429.8638627940454</v>
      </c>
      <c r="O229" s="308" t="s">
        <v>175</v>
      </c>
      <c r="P229" s="306">
        <f>Q229/Q$194</f>
        <v>0.28801647881744946</v>
      </c>
      <c r="Q229" s="307">
        <f>+SUM(Q211:Q228)</f>
        <v>63084.330000000009</v>
      </c>
      <c r="R229" s="311"/>
      <c r="S229" s="307">
        <f t="shared" si="47"/>
        <v>-9828.0400000000154</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0.88155569862336891</v>
      </c>
      <c r="F231" s="307">
        <f>F210+F229</f>
        <v>201089.64541051962</v>
      </c>
      <c r="G231" s="308"/>
      <c r="H231" s="306"/>
      <c r="I231" s="307"/>
      <c r="J231" s="308" t="s">
        <v>119</v>
      </c>
      <c r="K231" s="306">
        <f>L231/L$194</f>
        <v>0.75026677916598883</v>
      </c>
      <c r="L231" s="307">
        <f>L210+L229</f>
        <v>168478.7</v>
      </c>
      <c r="M231" s="311"/>
      <c r="N231" s="320">
        <f>L231-F231</f>
        <v>-32610.945410519606</v>
      </c>
      <c r="O231" s="308" t="s">
        <v>119</v>
      </c>
      <c r="P231" s="306">
        <f>Q231/Q$194</f>
        <v>0.75071551750744248</v>
      </c>
      <c r="Q231" s="307">
        <f>Q210+Q229</f>
        <v>164429.43</v>
      </c>
      <c r="R231" s="311"/>
      <c r="S231" s="320">
        <f>L231-Q231</f>
        <v>4049.2700000000186</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27018.057511190011</v>
      </c>
      <c r="G233" s="361"/>
      <c r="H233" s="333"/>
      <c r="I233" s="335"/>
      <c r="J233" s="332"/>
      <c r="K233" s="334"/>
      <c r="L233" s="335">
        <f>L194-L231</f>
        <v>56079.69</v>
      </c>
      <c r="M233" s="332"/>
      <c r="N233" s="335">
        <f>L233-F233</f>
        <v>29061.632488809992</v>
      </c>
      <c r="O233" s="332"/>
      <c r="P233" s="1090">
        <f>+Q233/P194</f>
        <v>0.17510927161578038</v>
      </c>
      <c r="Q233" s="335">
        <f>Q194-Q231</f>
        <v>54600.849999999948</v>
      </c>
      <c r="R233" s="332"/>
      <c r="S233" s="335">
        <f>L233-Q233</f>
        <v>1478.8400000000547</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Mars 2026</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99" t="s">
        <v>343</v>
      </c>
      <c r="E238" s="1300"/>
      <c r="F238" s="1301"/>
      <c r="G238" s="1304"/>
      <c r="H238" s="1300"/>
      <c r="I238" s="1301"/>
      <c r="J238" s="1304" t="s">
        <v>344</v>
      </c>
      <c r="K238" s="1300"/>
      <c r="L238" s="1301"/>
      <c r="M238" s="1304" t="s">
        <v>3310</v>
      </c>
      <c r="N238" s="1301"/>
      <c r="O238" s="1299" t="s">
        <v>345</v>
      </c>
      <c r="P238" s="1300"/>
      <c r="Q238" s="1301"/>
      <c r="R238" s="1302" t="s">
        <v>3312</v>
      </c>
      <c r="S238" s="1303"/>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108000</v>
      </c>
      <c r="F241" s="291">
        <f>+INDEX('Budget original'!$A$2:$AO$501,MATCH($A241,'Budget original'!$A$2:$A$501,0),MATCH(F$2,'Budget original'!$A$2:$AO$2,0))</f>
        <v>17280</v>
      </c>
      <c r="G241" s="322"/>
      <c r="H241" s="291"/>
      <c r="I241" s="291"/>
      <c r="J241" s="277">
        <f>-SUMIFS(BV_Data_An_Cour!$O:$O,BV_Data_An_Cour!$U:$U,$B241,BV_Data_An_Cour!$V:$V,$C241,BV_Data_An_Cour!$W:$W,J$2)</f>
        <v>26</v>
      </c>
      <c r="K241" s="254">
        <f>-SUMIFS(BV_Data_An_Cour!$O:$O,BV_Data_An_Cour!$X:$X,"Oui",BV_Data_An_Cour!$U:$U,$B241,BV_Data_An_Cour!$V:$V,$C241)</f>
        <v>65609.429999999993</v>
      </c>
      <c r="L241" s="256">
        <f>-SUMIFS(BV_Data_An_Cour!$O:$O,BV_Data_An_Cour!$U:$U,$B241,BV_Data_An_Cour!$V:$V,$C241,BV_Data_An_Cour!$W:$W,$L$2)</f>
        <v>9139.1199999999953</v>
      </c>
      <c r="M241" s="292">
        <f>IFERROR((K241-E241)/E241,0)</f>
        <v>-0.39250527777777783</v>
      </c>
      <c r="N241" s="276">
        <f>L241-F241</f>
        <v>-8140.8800000000047</v>
      </c>
      <c r="O241" s="277">
        <f t="array" ref="O241">+INDEX('Réel 2024'!$A$2:$AO$501,MATCH($A241,'Réel 2024'!$A$2:$A$501,0),MATCH(O$2,'Réel 2024'!$A$2:$AO$2,0))</f>
        <v>13</v>
      </c>
      <c r="P241" s="254">
        <f t="array" ref="P241">+INDEX('Réel 2024'!$A$2:$AO$501,MATCH($A241,'Réel 2024'!$A$2:$A$501,0),MATCH(P$2,'Réel 2024'!$A$2:$AO$2,0))</f>
        <v>17190.14</v>
      </c>
      <c r="Q241" s="256">
        <f t="array" ref="Q241">+INDEX('Réel 2024'!$A$2:$AO$501,MATCH($A241,'Réel 2024'!$A$2:$A$501,0),MATCH(Q$2,'Réel 2024'!$A$2:$AO$2,0))</f>
        <v>2742.83</v>
      </c>
      <c r="R241" s="292">
        <f>IF(O241=0,0,J241/O241)</f>
        <v>2</v>
      </c>
      <c r="S241" s="276">
        <f>L241-Q241</f>
        <v>6396.2899999999954</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0.16</v>
      </c>
      <c r="G242" s="253"/>
      <c r="H242" s="349"/>
      <c r="I242" s="362"/>
      <c r="J242" s="277"/>
      <c r="K242" s="41"/>
      <c r="L242" s="362">
        <f>IFERROR(L241/K241,0)</f>
        <v>0.13929582988299086</v>
      </c>
      <c r="M242" s="292"/>
      <c r="N242" s="276">
        <f>IFERROR(N241/M241,0)</f>
        <v>20740.816648608416</v>
      </c>
      <c r="O242" s="277"/>
      <c r="P242" s="41"/>
      <c r="Q242" s="362">
        <f>IFERROR(Q241/P241,0)</f>
        <v>0.15955832820442417</v>
      </c>
      <c r="R242" s="277"/>
      <c r="S242" s="276">
        <f>IFERROR(S241/R241,0)</f>
        <v>3198.1449999999977</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SUMIFS(BV_Data_An_Cour!$C$1:$C$364,BV_Data_An_Cour!$V$1:$V$364,$C244,BV_Data_An_Cour!$U$1:$U$364,$K$236)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SUMIFS(BV_Data_An_Cour!$C$1:$C$364,BV_Data_An_Cour!$V$1:$V$364,$C247,BV_Data_An_Cour!$U$1:$U$364,$K$236)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108000</v>
      </c>
      <c r="F250" s="281">
        <f>F244+F247+F241</f>
        <v>17280</v>
      </c>
      <c r="G250" s="282"/>
      <c r="H250" s="279"/>
      <c r="I250" s="281"/>
      <c r="J250" s="282"/>
      <c r="K250" s="279">
        <f t="shared" ref="K250:L250" si="48">K244+K247+K241</f>
        <v>65609.429999999993</v>
      </c>
      <c r="L250" s="281">
        <f t="shared" si="48"/>
        <v>9139.1199999999953</v>
      </c>
      <c r="M250" s="399">
        <f>L251-F251</f>
        <v>-2.0704170117009146E-2</v>
      </c>
      <c r="N250" s="281">
        <f>L250-F250</f>
        <v>-8140.8800000000047</v>
      </c>
      <c r="O250" s="282"/>
      <c r="P250" s="279">
        <f t="shared" ref="P250:Q250" si="49">P244+P247+P241</f>
        <v>17190.14</v>
      </c>
      <c r="Q250" s="281">
        <f t="shared" si="49"/>
        <v>2742.83</v>
      </c>
      <c r="R250" s="405">
        <f>L251-Q251</f>
        <v>-2.0262498321433314E-2</v>
      </c>
      <c r="S250" s="281">
        <f>L250-Q250</f>
        <v>6396.2899999999954</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0.16</v>
      </c>
      <c r="G251" s="283"/>
      <c r="H251" s="284"/>
      <c r="I251" s="287"/>
      <c r="J251" s="283"/>
      <c r="K251" s="284"/>
      <c r="L251" s="287">
        <f>IF(K250=0,0,L250/K250)</f>
        <v>0.13929582988299086</v>
      </c>
      <c r="M251" s="286"/>
      <c r="N251" s="287">
        <f>N250/F250</f>
        <v>-0.47111574074074103</v>
      </c>
      <c r="O251" s="283"/>
      <c r="P251" s="284"/>
      <c r="Q251" s="287">
        <f>Q250/P250</f>
        <v>0.15955832820442417</v>
      </c>
      <c r="R251" s="286"/>
      <c r="S251" s="287">
        <f>S250/Q250</f>
        <v>2.3320038062876649</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0</v>
      </c>
      <c r="G254" s="253"/>
      <c r="H254" s="41"/>
      <c r="I254" s="254"/>
      <c r="J254" s="253"/>
      <c r="K254" s="41"/>
      <c r="L254" s="256">
        <f>SUMIFS(BV_Data_An_Cour!$O:$O,BV_Data_An_Cour!$U:$U,$B254,BV_Data_An_Cour!$V:$V,$C254,BV_Data_An_Cour!$W:$W,$L$2)</f>
        <v>70</v>
      </c>
      <c r="M254" s="253"/>
      <c r="N254" s="276">
        <f t="shared" ref="N254:N284" si="50">L254-F254</f>
        <v>70</v>
      </c>
      <c r="O254" s="253"/>
      <c r="P254" s="41"/>
      <c r="Q254" s="256">
        <f t="array" ref="Q254">+INDEX('Réel 2024'!$A$2:$AO$501,MATCH($A254,'Réel 2024'!$A$2:$A$501,0),MATCH(Q$2,'Réel 2024'!$A$2:$AO$2,0))</f>
        <v>901.88</v>
      </c>
      <c r="R254" s="253"/>
      <c r="S254" s="256">
        <f t="shared" ref="S254:S285" si="51">L254-Q254</f>
        <v>-831.88</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5804.7936147466653</v>
      </c>
      <c r="G255" s="298"/>
      <c r="H255" s="41"/>
      <c r="I255" s="248"/>
      <c r="J255" s="253"/>
      <c r="K255" s="41"/>
      <c r="L255" s="256">
        <f>SUMIFS(BV_Data_An_Cour!$O:$O,BV_Data_An_Cour!$U:$U,$B255,BV_Data_An_Cour!$V:$V,$C255,BV_Data_An_Cour!$W:$W,$L$2)</f>
        <v>4725.5600000000004</v>
      </c>
      <c r="M255" s="253"/>
      <c r="N255" s="276">
        <f t="shared" si="50"/>
        <v>-1079.2336147466649</v>
      </c>
      <c r="O255" s="253"/>
      <c r="P255" s="41"/>
      <c r="Q255" s="256">
        <f t="array" ref="Q255">+INDEX('Réel 2024'!$A$2:$AO$501,MATCH($A255,'Réel 2024'!$A$2:$A$501,0),MATCH(Q$2,'Réel 2024'!$A$2:$AO$2,0))</f>
        <v>4140.6099999999997</v>
      </c>
      <c r="R255" s="253"/>
      <c r="S255" s="276">
        <f t="shared" si="51"/>
        <v>584.95000000000073</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0</v>
      </c>
      <c r="G256" s="316"/>
      <c r="H256" s="315"/>
      <c r="I256" s="254"/>
      <c r="J256" s="241"/>
      <c r="K256" s="315"/>
      <c r="L256" s="272">
        <f>SUMIFS(BV_Data_An_Cour!$O:$O,BV_Data_An_Cour!$U:$U,$B256,BV_Data_An_Cour!$V:$V,$C256,BV_Data_An_Cour!$W:$W,$L$2)</f>
        <v>0</v>
      </c>
      <c r="M256" s="241"/>
      <c r="N256" s="317">
        <f t="shared" si="50"/>
        <v>0</v>
      </c>
      <c r="O256" s="241"/>
      <c r="P256" s="315"/>
      <c r="Q256" s="272">
        <f t="array" ref="Q256">+INDEX('Réel 2024'!$A$2:$AO$501,MATCH($A256,'Réel 2024'!$A$2:$A$501,0),MATCH(Q$2,'Réel 2024'!$A$2:$AO$2,0))</f>
        <v>0.08</v>
      </c>
      <c r="R256" s="241"/>
      <c r="S256" s="317">
        <f t="shared" si="51"/>
        <v>-0.08</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695.88268087951576</v>
      </c>
      <c r="G261" s="298"/>
      <c r="H261" s="41"/>
      <c r="I261" s="248"/>
      <c r="J261" s="253"/>
      <c r="K261" s="41"/>
      <c r="L261" s="256">
        <f>SUMIFS(BV_Data_An_Cour!$O:$O,BV_Data_An_Cour!$U:$U,$B261,BV_Data_An_Cour!$V:$V,$C261,BV_Data_An_Cour!$W:$W,$L$2)</f>
        <v>868.61</v>
      </c>
      <c r="M261" s="253"/>
      <c r="N261" s="276">
        <f t="shared" si="50"/>
        <v>172.72731912048425</v>
      </c>
      <c r="O261" s="253"/>
      <c r="P261" s="41"/>
      <c r="Q261" s="256">
        <f t="array" ref="Q261">+INDEX('Réel 2024'!$A$2:$AO$501,MATCH($A261,'Réel 2024'!$A$2:$A$501,0),MATCH(Q$2,'Réel 2024'!$A$2:$AO$2,0))</f>
        <v>244.69</v>
      </c>
      <c r="R261" s="253"/>
      <c r="S261" s="276">
        <f t="shared" si="51"/>
        <v>623.92000000000007</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846.09524195042445</v>
      </c>
      <c r="G262" s="316"/>
      <c r="H262" s="315"/>
      <c r="I262" s="254"/>
      <c r="J262" s="241"/>
      <c r="K262" s="315"/>
      <c r="L262" s="272">
        <f>SUMIFS(BV_Data_An_Cour!$O:$O,BV_Data_An_Cour!$U:$U,$B262,BV_Data_An_Cour!$V:$V,$C262,BV_Data_An_Cour!$W:$W,$L$2)</f>
        <v>1091.56</v>
      </c>
      <c r="M262" s="241"/>
      <c r="N262" s="317">
        <f t="shared" si="50"/>
        <v>245.46475804957549</v>
      </c>
      <c r="O262" s="241"/>
      <c r="P262" s="315"/>
      <c r="Q262" s="272">
        <f t="array" ref="Q262">+INDEX('Réel 2024'!$A$2:$AO$501,MATCH($A262,'Réel 2024'!$A$2:$A$501,0),MATCH(Q$2,'Réel 2024'!$A$2:$AO$2,0))</f>
        <v>1234.45</v>
      </c>
      <c r="R262" s="241"/>
      <c r="S262" s="317">
        <f t="shared" si="51"/>
        <v>-142.8900000000001</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435.92298335271863</v>
      </c>
      <c r="G263" s="298"/>
      <c r="H263" s="41"/>
      <c r="I263" s="254"/>
      <c r="J263" s="253"/>
      <c r="K263" s="41"/>
      <c r="L263" s="256">
        <f>SUMIFS(BV_Data_An_Cour!$O:$O,BV_Data_An_Cour!$U:$U,$B263,BV_Data_An_Cour!$V:$V,$C263,BV_Data_An_Cour!$W:$W,$L$2)</f>
        <v>290.57</v>
      </c>
      <c r="M263" s="253"/>
      <c r="N263" s="276">
        <f t="shared" si="50"/>
        <v>-145.35298335271864</v>
      </c>
      <c r="O263" s="253"/>
      <c r="P263" s="41"/>
      <c r="Q263" s="256">
        <f t="array" ref="Q263">+INDEX('Réel 2024'!$A$2:$AO$501,MATCH($A263,'Réel 2024'!$A$2:$A$501,0),MATCH(Q$2,'Réel 2024'!$A$2:$AO$2,0))</f>
        <v>383.32</v>
      </c>
      <c r="R263" s="253"/>
      <c r="S263" s="276">
        <f t="shared" si="51"/>
        <v>-92.75</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190.06487319176199</v>
      </c>
      <c r="G264" s="298"/>
      <c r="H264" s="41"/>
      <c r="I264" s="254"/>
      <c r="J264" s="253"/>
      <c r="K264" s="41"/>
      <c r="L264" s="256">
        <f>SUMIFS(BV_Data_An_Cour!$O:$O,BV_Data_An_Cour!$U:$U,$B264,BV_Data_An_Cour!$V:$V,$C264,BV_Data_An_Cour!$W:$W,$L$2)</f>
        <v>187.45</v>
      </c>
      <c r="M264" s="253"/>
      <c r="N264" s="276">
        <f t="shared" si="50"/>
        <v>-2.6148731917620012</v>
      </c>
      <c r="O264" s="253"/>
      <c r="P264" s="41"/>
      <c r="Q264" s="256">
        <f t="array" ref="Q264">+INDEX('Réel 2024'!$A$2:$AO$501,MATCH($A264,'Réel 2024'!$A$2:$A$501,0),MATCH(Q$2,'Réel 2024'!$A$2:$AO$2,0))</f>
        <v>203.82</v>
      </c>
      <c r="R264" s="253"/>
      <c r="S264" s="276">
        <f t="shared" si="51"/>
        <v>-16.370000000000005</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0.46138653901163695</v>
      </c>
      <c r="F266" s="307">
        <f>+SUM(F254:F265)</f>
        <v>7972.7593941210862</v>
      </c>
      <c r="G266" s="308"/>
      <c r="H266" s="306"/>
      <c r="I266" s="307"/>
      <c r="J266" s="308" t="s">
        <v>119</v>
      </c>
      <c r="K266" s="306">
        <f>IF(L250=0,0,L266/L$250)</f>
        <v>0.7915149379809</v>
      </c>
      <c r="L266" s="307">
        <f>+SUM(L254:L265)</f>
        <v>7233.7499999999991</v>
      </c>
      <c r="M266" s="355"/>
      <c r="N266" s="320">
        <f t="shared" si="50"/>
        <v>-739.0093941210871</v>
      </c>
      <c r="O266" s="308" t="s">
        <v>119</v>
      </c>
      <c r="P266" s="306">
        <f>IF(Q244=0,0,Q266/Q$244)</f>
        <v>0</v>
      </c>
      <c r="Q266" s="307">
        <f>+SUM(Q254:Q265)</f>
        <v>7108.8499999999985</v>
      </c>
      <c r="R266" s="355"/>
      <c r="S266" s="320">
        <f t="shared" si="51"/>
        <v>124.90000000000055</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0</v>
      </c>
      <c r="G267" s="298"/>
      <c r="H267" s="41"/>
      <c r="I267" s="254"/>
      <c r="J267" s="253"/>
      <c r="K267" s="41"/>
      <c r="L267" s="256">
        <f>SUMIFS(BV_Data_An_Cour!$O:$O,BV_Data_An_Cour!$U:$U,$B267,BV_Data_An_Cour!$V:$V,$C267,BV_Data_An_Cour!$W:$W,$L$2)</f>
        <v>82.57</v>
      </c>
      <c r="M267" s="253"/>
      <c r="N267" s="276">
        <f t="shared" si="50"/>
        <v>82.57</v>
      </c>
      <c r="O267" s="253"/>
      <c r="P267" s="41"/>
      <c r="Q267" s="276">
        <f t="array" ref="Q267">+INDEX('Réel 2024'!$A$2:$AO$501,MATCH($A267,'Réel 2024'!$A$2:$A$501,0),MATCH(Q$2,'Réel 2024'!$A$2:$AO$2,0))</f>
        <v>40.25</v>
      </c>
      <c r="R267" s="253"/>
      <c r="S267" s="276">
        <f t="shared" si="51"/>
        <v>42.319999999999993</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564.66999999999996</v>
      </c>
      <c r="M268" s="253"/>
      <c r="N268" s="276">
        <f t="shared" si="50"/>
        <v>2.9920187194288701</v>
      </c>
      <c r="O268" s="253"/>
      <c r="P268" s="41"/>
      <c r="Q268" s="276">
        <f t="array" ref="Q268">+INDEX('Réel 2024'!$A$2:$AO$501,MATCH($A268,'Réel 2024'!$A$2:$A$501,0),MATCH(Q$2,'Réel 2024'!$A$2:$AO$2,0))</f>
        <v>0</v>
      </c>
      <c r="R268" s="253"/>
      <c r="S268" s="276">
        <f t="shared" si="51"/>
        <v>564.66999999999996</v>
      </c>
      <c r="T268" s="41"/>
      <c r="U268" s="1120"/>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133.53</v>
      </c>
      <c r="M269" s="246"/>
      <c r="N269" s="296">
        <f t="shared" si="50"/>
        <v>9.0263999999999953</v>
      </c>
      <c r="O269" s="246"/>
      <c r="P269" s="318"/>
      <c r="Q269" s="296">
        <f t="array" ref="Q269">+INDEX('Réel 2024'!$A$2:$AO$501,MATCH($A269,'Réel 2024'!$A$2:$A$501,0),MATCH(Q$2,'Réel 2024'!$A$2:$AO$2,0))</f>
        <v>157.77000000000001</v>
      </c>
      <c r="R269" s="246"/>
      <c r="S269" s="296">
        <f t="shared" si="51"/>
        <v>-24.240000000000009</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1690</v>
      </c>
      <c r="G270" s="298"/>
      <c r="H270" s="41"/>
      <c r="I270" s="254"/>
      <c r="J270" s="253"/>
      <c r="K270" s="41"/>
      <c r="L270" s="272">
        <f>SUMIFS(BV_Data_An_Cour!$O:$O,BV_Data_An_Cour!$U:$U,$B270,BV_Data_An_Cour!$V:$V,$C270,BV_Data_An_Cour!$W:$W,$L$2)</f>
        <v>1784.68</v>
      </c>
      <c r="M270" s="253"/>
      <c r="N270" s="276">
        <f t="shared" si="50"/>
        <v>94.680000000000064</v>
      </c>
      <c r="O270" s="253"/>
      <c r="P270" s="41"/>
      <c r="Q270" s="276">
        <f t="array" ref="Q270">+INDEX('Réel 2024'!$A$2:$AO$501,MATCH($A270,'Réel 2024'!$A$2:$A$501,0),MATCH(Q$2,'Réel 2024'!$A$2:$AO$2,0))</f>
        <v>1609.3</v>
      </c>
      <c r="R270" s="253"/>
      <c r="S270" s="276">
        <f t="shared" si="51"/>
        <v>175.38000000000011</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250</v>
      </c>
      <c r="G271" s="298"/>
      <c r="H271" s="41"/>
      <c r="I271" s="254"/>
      <c r="J271" s="253"/>
      <c r="K271" s="41"/>
      <c r="L271" s="256">
        <f>SUMIFS(BV_Data_An_Cour!$O:$O,BV_Data_An_Cour!$U:$U,$B271,BV_Data_An_Cour!$V:$V,$C271,BV_Data_An_Cour!$W:$W,$L$2)</f>
        <v>435.84</v>
      </c>
      <c r="M271" s="253"/>
      <c r="N271" s="276">
        <f t="shared" si="50"/>
        <v>185.83999999999997</v>
      </c>
      <c r="O271" s="253"/>
      <c r="P271" s="41"/>
      <c r="Q271" s="276">
        <f t="array" ref="Q271">+INDEX('Réel 2024'!$A$2:$AO$501,MATCH($A271,'Réel 2024'!$A$2:$A$501,0),MATCH(Q$2,'Réel 2024'!$A$2:$AO$2,0))</f>
        <v>191.76</v>
      </c>
      <c r="R271" s="253"/>
      <c r="S271" s="276">
        <f t="shared" si="51"/>
        <v>244.07999999999998</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793.87000000000012</v>
      </c>
      <c r="G272" s="300"/>
      <c r="H272" s="318"/>
      <c r="I272" s="248"/>
      <c r="J272" s="246"/>
      <c r="K272" s="318"/>
      <c r="L272" s="256">
        <f>SUMIFS(BV_Data_An_Cour!$O:$O,BV_Data_An_Cour!$U:$U,$B272,BV_Data_An_Cour!$V:$V,$C272,BV_Data_An_Cour!$W:$W,$L$2)</f>
        <v>552.63</v>
      </c>
      <c r="M272" s="246"/>
      <c r="N272" s="296">
        <f t="shared" si="50"/>
        <v>-241.24000000000012</v>
      </c>
      <c r="O272" s="246"/>
      <c r="P272" s="318"/>
      <c r="Q272" s="296">
        <f t="array" ref="Q272">+INDEX('Réel 2024'!$A$2:$AO$501,MATCH($A272,'Réel 2024'!$A$2:$A$501,0),MATCH(Q$2,'Réel 2024'!$A$2:$AO$2,0))</f>
        <v>1423.27</v>
      </c>
      <c r="R272" s="246"/>
      <c r="S272" s="296">
        <f t="shared" si="51"/>
        <v>-870.64</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0</v>
      </c>
      <c r="G274" s="298"/>
      <c r="H274" s="41"/>
      <c r="I274" s="254"/>
      <c r="J274" s="253"/>
      <c r="K274" s="41"/>
      <c r="L274" s="256">
        <f>SUMIFS(BV_Data_An_Cour!$O:$O,BV_Data_An_Cour!$U:$U,$B274,BV_Data_An_Cour!$V:$V,$C274,BV_Data_An_Cour!$W:$W,$L$2)</f>
        <v>0</v>
      </c>
      <c r="M274" s="253"/>
      <c r="N274" s="276">
        <f t="shared" si="50"/>
        <v>0</v>
      </c>
      <c r="O274" s="253"/>
      <c r="P274" s="41"/>
      <c r="Q274" s="276">
        <f t="array" ref="Q274">+INDEX('Réel 2024'!$A$2:$AO$501,MATCH($A274,'Réel 2024'!$A$2:$A$501,0),MATCH(Q$2,'Réel 2024'!$A$2:$AO$2,0))</f>
        <v>0</v>
      </c>
      <c r="R274" s="253"/>
      <c r="S274" s="276">
        <f t="shared" si="51"/>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0</v>
      </c>
      <c r="G275" s="298"/>
      <c r="H275" s="41"/>
      <c r="I275" s="254"/>
      <c r="J275" s="253"/>
      <c r="K275" s="41"/>
      <c r="L275" s="256">
        <f>SUMIFS(BV_Data_An_Cour!$O:$O,BV_Data_An_Cour!$U:$U,$B275,BV_Data_An_Cour!$V:$V,$C275,BV_Data_An_Cour!$W:$W,$L$2)</f>
        <v>0</v>
      </c>
      <c r="M275" s="253"/>
      <c r="N275" s="276">
        <f t="shared" si="50"/>
        <v>0</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119</v>
      </c>
      <c r="G276" s="298"/>
      <c r="H276" s="41"/>
      <c r="I276" s="254"/>
      <c r="J276" s="253"/>
      <c r="K276" s="41"/>
      <c r="L276" s="256">
        <f>SUMIFS(BV_Data_An_Cour!$O:$O,BV_Data_An_Cour!$U:$U,$B276,BV_Data_An_Cour!$V:$V,$C276,BV_Data_An_Cour!$W:$W,$L$2)</f>
        <v>52.87</v>
      </c>
      <c r="M276" s="253"/>
      <c r="N276" s="276">
        <f t="shared" si="50"/>
        <v>-66.13</v>
      </c>
      <c r="O276" s="253"/>
      <c r="P276" s="41"/>
      <c r="Q276" s="276">
        <f t="array" ref="Q276">+INDEX('Réel 2024'!$A$2:$AO$501,MATCH($A276,'Réel 2024'!$A$2:$A$501,0),MATCH(Q$2,'Réel 2024'!$A$2:$AO$2,0))</f>
        <v>118.8</v>
      </c>
      <c r="R276" s="253"/>
      <c r="S276" s="276">
        <f t="shared" si="51"/>
        <v>-65.930000000000007</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30.625</v>
      </c>
      <c r="G277" s="298"/>
      <c r="H277" s="41"/>
      <c r="I277" s="254"/>
      <c r="J277" s="253"/>
      <c r="K277" s="41"/>
      <c r="L277" s="256">
        <f>SUMIFS(BV_Data_An_Cour!$O:$O,BV_Data_An_Cour!$U:$U,$B277,BV_Data_An_Cour!$V:$V,$C277,BV_Data_An_Cour!$W:$W,$L$2)</f>
        <v>17.100000000000001</v>
      </c>
      <c r="M277" s="253"/>
      <c r="N277" s="276">
        <f t="shared" si="50"/>
        <v>-13.524999999999999</v>
      </c>
      <c r="O277" s="253"/>
      <c r="P277" s="41"/>
      <c r="Q277" s="276">
        <f t="array" ref="Q277">+INDEX('Réel 2024'!$A$2:$AO$501,MATCH($A277,'Réel 2024'!$A$2:$A$501,0),MATCH(Q$2,'Réel 2024'!$A$2:$AO$2,0))</f>
        <v>24.49</v>
      </c>
      <c r="R277" s="253"/>
      <c r="S277" s="276">
        <f t="shared" si="51"/>
        <v>-7.389999999999997</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49.857500000000009</v>
      </c>
      <c r="G278" s="298"/>
      <c r="H278" s="41"/>
      <c r="I278" s="254"/>
      <c r="J278" s="253"/>
      <c r="K278" s="41"/>
      <c r="L278" s="256">
        <f>SUMIFS(BV_Data_An_Cour!$O:$O,BV_Data_An_Cour!$U:$U,$B278,BV_Data_An_Cour!$V:$V,$C278,BV_Data_An_Cour!$W:$W,$L$2)</f>
        <v>16.190000000000001</v>
      </c>
      <c r="M278" s="253"/>
      <c r="N278" s="276">
        <f t="shared" si="50"/>
        <v>-33.667500000000004</v>
      </c>
      <c r="O278" s="253"/>
      <c r="P278" s="41"/>
      <c r="Q278" s="276">
        <f t="array" ref="Q278">+INDEX('Réel 2024'!$A$2:$AO$501,MATCH($A278,'Réel 2024'!$A$2:$A$501,0),MATCH(Q$2,'Réel 2024'!$A$2:$AO$2,0))</f>
        <v>88.77</v>
      </c>
      <c r="R278" s="253"/>
      <c r="S278" s="276">
        <f t="shared" si="51"/>
        <v>-72.58</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26.250000000000004</v>
      </c>
      <c r="G279" s="298"/>
      <c r="H279" s="41"/>
      <c r="I279" s="254"/>
      <c r="J279" s="253"/>
      <c r="K279" s="41"/>
      <c r="L279" s="256">
        <f>SUMIFS(BV_Data_An_Cour!$O:$O,BV_Data_An_Cour!$U:$U,$B279,BV_Data_An_Cour!$V:$V,$C279,BV_Data_An_Cour!$W:$W,$L$2)</f>
        <v>74.08</v>
      </c>
      <c r="M279" s="253"/>
      <c r="N279" s="276">
        <f t="shared" si="50"/>
        <v>47.83</v>
      </c>
      <c r="O279" s="253"/>
      <c r="P279" s="41"/>
      <c r="Q279" s="276">
        <f t="array" ref="Q279">+INDEX('Réel 2024'!$A$2:$AO$501,MATCH($A279,'Réel 2024'!$A$2:$A$501,0),MATCH(Q$2,'Réel 2024'!$A$2:$AO$2,0))</f>
        <v>15.58</v>
      </c>
      <c r="R279" s="253"/>
      <c r="S279" s="276">
        <f t="shared" si="51"/>
        <v>58.5</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166.66666666666666</v>
      </c>
      <c r="G280" s="298"/>
      <c r="H280" s="41"/>
      <c r="I280" s="254"/>
      <c r="J280" s="253"/>
      <c r="K280" s="41"/>
      <c r="L280" s="256">
        <f>SUMIFS(BV_Data_An_Cour!$O:$O,BV_Data_An_Cour!$U:$U,$B280,BV_Data_An_Cour!$V:$V,$C280,BV_Data_An_Cour!$W:$W,$L$2)</f>
        <v>153.86000000000001</v>
      </c>
      <c r="M280" s="253"/>
      <c r="N280" s="276">
        <f t="shared" si="50"/>
        <v>-12.806666666666644</v>
      </c>
      <c r="O280" s="253"/>
      <c r="P280" s="41"/>
      <c r="Q280" s="276">
        <f t="array" ref="Q280">+INDEX('Réel 2024'!$A$2:$AO$501,MATCH($A280,'Réel 2024'!$A$2:$A$501,0),MATCH(Q$2,'Réel 2024'!$A$2:$AO$2,0))</f>
        <v>148.75</v>
      </c>
      <c r="R280" s="253"/>
      <c r="S280" s="276">
        <f t="shared" si="51"/>
        <v>5.1100000000000136</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222.75930903184553</v>
      </c>
      <c r="G281" s="298"/>
      <c r="H281" s="41"/>
      <c r="I281" s="254"/>
      <c r="J281" s="253"/>
      <c r="K281" s="41"/>
      <c r="L281" s="256">
        <f>SUMIFS(BV_Data_An_Cour!$O:$O,BV_Data_An_Cour!$U:$U,$B281,BV_Data_An_Cour!$V:$V,$C281,BV_Data_An_Cour!$W:$W,$L$2)</f>
        <v>212.61</v>
      </c>
      <c r="M281" s="253"/>
      <c r="N281" s="276">
        <f t="shared" si="50"/>
        <v>-10.149309031845519</v>
      </c>
      <c r="O281" s="253"/>
      <c r="P281" s="41"/>
      <c r="Q281" s="276">
        <f t="array" ref="Q281">+INDEX('Réel 2024'!$A$2:$AO$501,MATCH($A281,'Réel 2024'!$A$2:$A$501,0),MATCH(Q$2,'Réel 2024'!$A$2:$AO$2,0))</f>
        <v>206.67</v>
      </c>
      <c r="R281" s="253"/>
      <c r="S281" s="276">
        <f t="shared" si="51"/>
        <v>5.9400000000000261</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4035.2100569790837</v>
      </c>
      <c r="G285" s="308"/>
      <c r="H285" s="306"/>
      <c r="I285" s="307"/>
      <c r="J285" s="308" t="s">
        <v>119</v>
      </c>
      <c r="K285" s="306">
        <f>L285/L$250</f>
        <v>0.44650141370285129</v>
      </c>
      <c r="L285" s="307">
        <f>+SUM(L267:L284)</f>
        <v>4080.63</v>
      </c>
      <c r="M285" s="311"/>
      <c r="N285" s="307">
        <f>+SUM(N267:N284)</f>
        <v>45.419943020916577</v>
      </c>
      <c r="O285" s="308" t="s">
        <v>119</v>
      </c>
      <c r="P285" s="306">
        <f>IF(Q$244=0,0,Q285/Q$244)</f>
        <v>0</v>
      </c>
      <c r="Q285" s="307">
        <f>+SUM(Q267:Q284)</f>
        <v>4025.41</v>
      </c>
      <c r="R285" s="311"/>
      <c r="S285" s="307">
        <f t="shared" si="51"/>
        <v>55.220000000000255</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12007.969451100169</v>
      </c>
      <c r="G287" s="308"/>
      <c r="H287" s="306"/>
      <c r="I287" s="307"/>
      <c r="J287" s="308" t="s">
        <v>119</v>
      </c>
      <c r="K287" s="306">
        <f>L287/L$250</f>
        <v>1.2380163516837512</v>
      </c>
      <c r="L287" s="307">
        <f>L266+L285</f>
        <v>11314.38</v>
      </c>
      <c r="M287" s="311"/>
      <c r="N287" s="320">
        <f>L287-F287</f>
        <v>-693.58945110016975</v>
      </c>
      <c r="O287" s="308" t="s">
        <v>119</v>
      </c>
      <c r="P287" s="306">
        <f>IF(Q$244=0,0,Q287/Q$244)</f>
        <v>0</v>
      </c>
      <c r="Q287" s="307">
        <f>Q266+Q285</f>
        <v>11134.259999999998</v>
      </c>
      <c r="R287" s="311"/>
      <c r="S287" s="320">
        <f>L287-Q287</f>
        <v>180.1200000000008</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5272.030548899831</v>
      </c>
      <c r="G289" s="361"/>
      <c r="H289" s="333"/>
      <c r="I289" s="335"/>
      <c r="J289" s="332"/>
      <c r="K289" s="334"/>
      <c r="L289" s="335">
        <f>L250-L287</f>
        <v>-2175.2600000000039</v>
      </c>
      <c r="M289" s="332"/>
      <c r="N289" s="335">
        <f>L289-F289</f>
        <v>-7447.2905488998349</v>
      </c>
      <c r="O289" s="332"/>
      <c r="P289" s="1090">
        <f>+Q289/P250</f>
        <v>-0.48815367414110639</v>
      </c>
      <c r="Q289" s="335">
        <f>Q250-Q287</f>
        <v>-8391.4299999999985</v>
      </c>
      <c r="R289" s="332"/>
      <c r="S289" s="335">
        <f>L289-Q289</f>
        <v>6216.1699999999946</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Mars 2026</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99" t="s">
        <v>343</v>
      </c>
      <c r="E293" s="1300"/>
      <c r="F293" s="1301"/>
      <c r="G293" s="1304"/>
      <c r="H293" s="1300"/>
      <c r="I293" s="1301"/>
      <c r="J293" s="1304" t="s">
        <v>344</v>
      </c>
      <c r="K293" s="1300"/>
      <c r="L293" s="1301"/>
      <c r="M293" s="1304" t="s">
        <v>3310</v>
      </c>
      <c r="N293" s="1301"/>
      <c r="O293" s="1299" t="s">
        <v>345</v>
      </c>
      <c r="P293" s="1300"/>
      <c r="Q293" s="1301"/>
      <c r="R293" s="1302" t="s">
        <v>3312</v>
      </c>
      <c r="S293" s="1303"/>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84563.812897634314</v>
      </c>
      <c r="E295" s="353">
        <f>IF(D295=0,0,F295/D295)</f>
        <v>0.35</v>
      </c>
      <c r="F295" s="276">
        <f>+INDEX('Budget original'!$A$2:$AO$501,MATCH($A295,'Budget original'!$A$2:$A$501,0),MATCH(F$2,'Budget original'!$A$2:$AO$2,0))</f>
        <v>29597.334514172009</v>
      </c>
      <c r="G295" s="291"/>
      <c r="H295" s="353"/>
      <c r="I295" s="276"/>
      <c r="J295" s="254">
        <f>-SUMIFS(BV_Data_An_Cour!$O:$O,BV_Data_An_Cour!$X:$X,"Oui",BV_Data_An_Cour!$U:$U,$B295,BV_Data_An_Cour!$V:$V,$C295)</f>
        <v>68042.28</v>
      </c>
      <c r="K295" s="353">
        <f t="shared" ref="K295:K304" si="52">IF(J295&lt;=0,0,L295/J295)</f>
        <v>0.35528262721355014</v>
      </c>
      <c r="L295" s="276">
        <f>-SUMIFS(BV_Data_An_Cour!$O:$O,BV_Data_An_Cour!$U:$U,$B295,BV_Data_An_Cour!$V:$V,$C295,BV_Data_An_Cour!$W:$W,$L$2)</f>
        <v>24174.239999999998</v>
      </c>
      <c r="M295" s="292">
        <f t="shared" ref="M295:M301" si="53">(+J295-D295)/D295</f>
        <v>-0.19537355674387416</v>
      </c>
      <c r="N295" s="276">
        <f t="shared" ref="N295:N304" si="54">L295-F295</f>
        <v>-5423.0945141720113</v>
      </c>
      <c r="O295" s="254">
        <f t="array" ref="O295">+INDEX('Réel 2024'!$A$2:$AO$501,MATCH($A295,'Réel 2024'!$A$2:$A$501,0),MATCH(O$2,'Réel 2024'!$A$2:$AO$2,0))</f>
        <v>76633.429999999993</v>
      </c>
      <c r="P295" s="353">
        <f t="shared" ref="P295:P303" si="55">IF(O295=0,0,Q295/O295)</f>
        <v>0.30231636506417503</v>
      </c>
      <c r="Q295" s="276">
        <f t="array" ref="Q295">+INDEX('Réel 2024'!$A$2:$AO$501,MATCH($A295,'Réel 2024'!$A$2:$A$501,0),MATCH(Q$2,'Réel 2024'!$A$2:$AO$2,0))</f>
        <v>23167.539999999899</v>
      </c>
      <c r="R295" s="292">
        <f t="shared" ref="R295:R304" si="56">IF(O295=0,0,(J295-O295)/O295)</f>
        <v>-0.11210707911677704</v>
      </c>
      <c r="S295" s="276">
        <f t="shared" ref="S295:S304" si="57">L295-Q295</f>
        <v>1006.700000000099</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60000</v>
      </c>
      <c r="E296" s="353">
        <f t="shared" ref="E296:E303" si="58">IF(D296=0,0,F296/D296)</f>
        <v>0.23400000000000001</v>
      </c>
      <c r="F296" s="276">
        <f>+INDEX('Budget original'!$A$2:$AO$501,MATCH($A296,'Budget original'!$A$2:$A$501,0),MATCH(F$2,'Budget original'!$A$2:$AO$2,0))</f>
        <v>14040</v>
      </c>
      <c r="G296" s="291"/>
      <c r="H296" s="353"/>
      <c r="I296" s="276"/>
      <c r="J296" s="254">
        <f>-SUMIFS(BV_Data_An_Cour!$O:$O,BV_Data_An_Cour!$X:$X,"Oui",BV_Data_An_Cour!$U:$U,$B296,BV_Data_An_Cour!$V:$V,$C296)</f>
        <v>48150.229999999996</v>
      </c>
      <c r="K296" s="353">
        <f t="shared" si="52"/>
        <v>0.2363550496020474</v>
      </c>
      <c r="L296" s="276">
        <f>-SUMIFS(BV_Data_An_Cour!$O:$O,BV_Data_An_Cour!$U:$U,$B296,BV_Data_An_Cour!$V:$V,$C296,BV_Data_An_Cour!$W:$W,$L$2)</f>
        <v>11380.54999999999</v>
      </c>
      <c r="M296" s="292">
        <f t="shared" si="53"/>
        <v>-0.19749616666666672</v>
      </c>
      <c r="N296" s="276">
        <f t="shared" si="54"/>
        <v>-2659.4500000000098</v>
      </c>
      <c r="O296" s="254">
        <f t="array" ref="O296">+INDEX('Réel 2024'!$A$2:$AO$501,MATCH($A296,'Réel 2024'!$A$2:$A$501,0),MATCH(O$2,'Réel 2024'!$A$2:$AO$2,0))</f>
        <v>4912.8599999999997</v>
      </c>
      <c r="P296" s="353">
        <f t="shared" si="55"/>
        <v>0.21582336968690133</v>
      </c>
      <c r="Q296" s="276">
        <f t="array" ref="Q296">+INDEX('Réel 2024'!$A$2:$AO$501,MATCH($A296,'Réel 2024'!$A$2:$A$501,0),MATCH(Q$2,'Réel 2024'!$A$2:$AO$2,0))</f>
        <v>1060.3099999999899</v>
      </c>
      <c r="R296" s="292">
        <f t="shared" si="56"/>
        <v>8.8008553062778088</v>
      </c>
      <c r="S296" s="276">
        <f t="shared" si="57"/>
        <v>10320.24</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99102.372013531742</v>
      </c>
      <c r="E297" s="353">
        <f t="shared" si="58"/>
        <v>0.23300000000000001</v>
      </c>
      <c r="F297" s="276">
        <f>+INDEX('Budget original'!$A$2:$AO$501,MATCH($A297,'Budget original'!$A$2:$A$501,0),MATCH(F$2,'Budget original'!$A$2:$AO$2,0))</f>
        <v>23090.852679152897</v>
      </c>
      <c r="G297" s="291"/>
      <c r="H297" s="353"/>
      <c r="I297" s="276"/>
      <c r="J297" s="254">
        <f>-SUMIFS(BV_Data_An_Cour!$O:$O,BV_Data_An_Cour!$X:$X,"Oui",BV_Data_An_Cour!$U:$U,$B297,BV_Data_An_Cour!$V:$V,$C297)</f>
        <v>68776.240000000005</v>
      </c>
      <c r="K297" s="353">
        <f t="shared" si="52"/>
        <v>0.23274912964128319</v>
      </c>
      <c r="L297" s="276">
        <f>-SUMIFS(BV_Data_An_Cour!$O:$O,BV_Data_An_Cour!$U:$U,$B297,BV_Data_An_Cour!$V:$V,$C297,BV_Data_An_Cour!$W:$W,$L$2)</f>
        <v>16007.610000000008</v>
      </c>
      <c r="M297" s="292">
        <f t="shared" si="53"/>
        <v>-0.30600813479409872</v>
      </c>
      <c r="N297" s="276">
        <f t="shared" si="54"/>
        <v>-7083.2426791528887</v>
      </c>
      <c r="O297" s="254">
        <f t="array" ref="O297">+INDEX('Réel 2024'!$A$2:$AO$501,MATCH($A297,'Réel 2024'!$A$2:$A$501,0),MATCH(O$2,'Réel 2024'!$A$2:$AO$2,0))</f>
        <v>136018.10999999999</v>
      </c>
      <c r="P297" s="353">
        <f t="shared" si="55"/>
        <v>0.23098468284848175</v>
      </c>
      <c r="Q297" s="276">
        <f t="array" ref="Q297">+INDEX('Réel 2024'!$A$2:$AO$501,MATCH($A297,'Réel 2024'!$A$2:$A$501,0),MATCH(Q$2,'Réel 2024'!$A$2:$AO$2,0))</f>
        <v>31418.0999999999</v>
      </c>
      <c r="R297" s="292">
        <f t="shared" si="56"/>
        <v>-0.49435968489784182</v>
      </c>
      <c r="S297" s="276">
        <f t="shared" si="57"/>
        <v>-15410.489999999892</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52781.755248144254</v>
      </c>
      <c r="E298" s="353">
        <f t="shared" si="58"/>
        <v>0.28499999999999998</v>
      </c>
      <c r="F298" s="276">
        <f>+INDEX('Budget original'!$A$2:$AO$501,MATCH($A298,'Budget original'!$A$2:$A$501,0),MATCH(F$2,'Budget original'!$A$2:$AO$2,0))</f>
        <v>15042.800245721111</v>
      </c>
      <c r="G298" s="291"/>
      <c r="H298" s="353"/>
      <c r="I298" s="276"/>
      <c r="J298" s="254">
        <f>-SUMIFS(BV_Data_An_Cour!$O:$O,BV_Data_An_Cour!$X:$X,"Oui",BV_Data_An_Cour!$U:$U,$B298,BV_Data_An_Cour!$V:$V,$C298)</f>
        <v>57624.72</v>
      </c>
      <c r="K298" s="353">
        <f t="shared" si="52"/>
        <v>0.27059324539884966</v>
      </c>
      <c r="L298" s="276">
        <f>-SUMIFS(BV_Data_An_Cour!$O:$O,BV_Data_An_Cour!$U:$U,$B298,BV_Data_An_Cour!$V:$V,$C298,BV_Data_An_Cour!$W:$W,$L$2)</f>
        <v>15592.86</v>
      </c>
      <c r="M298" s="292">
        <f t="shared" si="53"/>
        <v>9.1754522544530565E-2</v>
      </c>
      <c r="N298" s="276">
        <f t="shared" si="54"/>
        <v>550.05975427888916</v>
      </c>
      <c r="O298" s="254">
        <f t="array" ref="O298">+INDEX('Réel 2024'!$A$2:$AO$501,MATCH($A298,'Réel 2024'!$A$2:$A$501,0),MATCH(O$2,'Réel 2024'!$A$2:$AO$2,0))</f>
        <v>47434.68</v>
      </c>
      <c r="P298" s="353">
        <f t="shared" si="55"/>
        <v>0.278487385178945</v>
      </c>
      <c r="Q298" s="276">
        <f t="array" ref="Q298">+INDEX('Réel 2024'!$A$2:$AO$501,MATCH($A298,'Réel 2024'!$A$2:$A$501,0),MATCH(Q$2,'Réel 2024'!$A$2:$AO$2,0))</f>
        <v>13209.96</v>
      </c>
      <c r="R298" s="292">
        <f t="shared" si="56"/>
        <v>0.21482257285176165</v>
      </c>
      <c r="S298" s="276">
        <f t="shared" si="57"/>
        <v>2382.9000000000015</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14520.602905241512</v>
      </c>
      <c r="E299" s="353">
        <f t="shared" si="58"/>
        <v>0.28499999999999992</v>
      </c>
      <c r="F299" s="276">
        <f>+INDEX('Budget original'!$A$2:$AO$501,MATCH($A299,'Budget original'!$A$2:$A$501,0),MATCH(F$2,'Budget original'!$A$2:$AO$2,0))</f>
        <v>4138.3718279938303</v>
      </c>
      <c r="G299" s="291"/>
      <c r="H299" s="353"/>
      <c r="I299" s="276"/>
      <c r="J299" s="254">
        <f>-SUMIFS(BV_Data_An_Cour!$O:$O,BV_Data_An_Cour!$X:$X,"Oui",BV_Data_An_Cour!$U:$U,$B299,BV_Data_An_Cour!$V:$V,$C299)</f>
        <v>9302.3700000000008</v>
      </c>
      <c r="K299" s="353">
        <f t="shared" si="52"/>
        <v>0.30355920050481761</v>
      </c>
      <c r="L299" s="276">
        <f>-SUMIFS(BV_Data_An_Cour!$O:$O,BV_Data_An_Cour!$U:$U,$B299,BV_Data_An_Cour!$V:$V,$C299,BV_Data_An_Cour!$W:$W,$L$2)</f>
        <v>2823.8200000000006</v>
      </c>
      <c r="M299" s="292">
        <f t="shared" si="53"/>
        <v>-0.3593675096891385</v>
      </c>
      <c r="N299" s="276">
        <f t="shared" si="54"/>
        <v>-1314.5518279938296</v>
      </c>
      <c r="O299" s="254">
        <f t="array" ref="O299">+INDEX('Réel 2024'!$A$2:$AO$501,MATCH($A299,'Réel 2024'!$A$2:$A$501,0),MATCH(O$2,'Réel 2024'!$A$2:$AO$2,0))</f>
        <v>13465.41</v>
      </c>
      <c r="P299" s="353">
        <f t="shared" si="55"/>
        <v>0.33371356683532105</v>
      </c>
      <c r="Q299" s="276">
        <f t="array" ref="Q299">+INDEX('Réel 2024'!$A$2:$AO$501,MATCH($A299,'Réel 2024'!$A$2:$A$501,0),MATCH(Q$2,'Réel 2024'!$A$2:$AO$2,0))</f>
        <v>4493.59</v>
      </c>
      <c r="R299" s="292">
        <f t="shared" si="56"/>
        <v>-0.30916548400679955</v>
      </c>
      <c r="S299" s="276">
        <f t="shared" si="57"/>
        <v>-1669.7699999999995</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186966.86885141459</v>
      </c>
      <c r="E300" s="353">
        <f t="shared" si="58"/>
        <v>0.13500000000000001</v>
      </c>
      <c r="F300" s="276">
        <f>+INDEX('Budget original'!$A$2:$AO$501,MATCH($A300,'Budget original'!$A$2:$A$501,0),MATCH(F$2,'Budget original'!$A$2:$AO$2,0))</f>
        <v>25240.52729494097</v>
      </c>
      <c r="G300" s="291"/>
      <c r="H300" s="353"/>
      <c r="I300" s="276"/>
      <c r="J300" s="254">
        <f>-SUMIFS(BV_Data_An_Cour!$O:$O,BV_Data_An_Cour!$X:$X,"Oui",BV_Data_An_Cour!$U:$U,$B300,BV_Data_An_Cour!$V:$V,$C300)</f>
        <v>280445.62</v>
      </c>
      <c r="K300" s="353">
        <f t="shared" si="52"/>
        <v>0.15373746967415641</v>
      </c>
      <c r="L300" s="276">
        <f>-SUMIFS(BV_Data_An_Cour!$O:$O,BV_Data_An_Cour!$U:$U,$B300,BV_Data_An_Cour!$V:$V,$C300,BV_Data_An_Cour!$W:$W,$L$2)</f>
        <v>43114.999999999993</v>
      </c>
      <c r="M300" s="292">
        <f t="shared" si="53"/>
        <v>0.49997495129938979</v>
      </c>
      <c r="N300" s="276">
        <f t="shared" si="54"/>
        <v>17874.472705059023</v>
      </c>
      <c r="O300" s="254">
        <f t="array" ref="O300">+INDEX('Réel 2024'!$A$2:$AO$501,MATCH($A300,'Réel 2024'!$A$2:$A$501,0),MATCH(O$2,'Réel 2024'!$A$2:$AO$2,0))</f>
        <v>219537.13</v>
      </c>
      <c r="P300" s="353">
        <f t="shared" si="55"/>
        <v>0.15792066699605664</v>
      </c>
      <c r="Q300" s="276">
        <f t="array" ref="Q300">+INDEX('Réel 2024'!$A$2:$AO$501,MATCH($A300,'Réel 2024'!$A$2:$A$501,0),MATCH(Q$2,'Réel 2024'!$A$2:$AO$2,0))</f>
        <v>34669.449999999997</v>
      </c>
      <c r="R300" s="292">
        <f t="shared" si="56"/>
        <v>0.27744049491764783</v>
      </c>
      <c r="S300" s="276">
        <f t="shared" si="57"/>
        <v>8445.5499999999956</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54">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31971.095766823528</v>
      </c>
      <c r="G302" s="291"/>
      <c r="H302" s="353"/>
      <c r="I302" s="276"/>
      <c r="J302" s="254">
        <f>-SUMIFS(BV_Data_An_Cour!$O:$O,BV_Data_An_Cour!$X:$X,"Oui",BV_Data_An_Cour!$U:$U,$B302,BV_Data_An_Cour!$V:$V,$C302)</f>
        <v>0</v>
      </c>
      <c r="K302" s="353">
        <f t="shared" si="52"/>
        <v>0</v>
      </c>
      <c r="L302" s="276">
        <f>-SUMIFS(BV_Data_An_Cour!$O:$O,BV_Data_An_Cour!$U:$U,$B302,BV_Data_An_Cour!$V:$V,$C302,BV_Data_An_Cour!$W:$W,$L$2)</f>
        <v>30491.63</v>
      </c>
      <c r="M302" s="292"/>
      <c r="N302" s="276">
        <f t="shared" si="54"/>
        <v>-1479.4657668235268</v>
      </c>
      <c r="O302" s="254">
        <f t="array" ref="O302">+INDEX('Réel 2024'!$A$2:$AO$501,MATCH($A302,'Réel 2024'!$A$2:$A$501,0),MATCH(O$2,'Réel 2024'!$A$2:$AO$2,0))</f>
        <v>0</v>
      </c>
      <c r="P302" s="353">
        <f t="shared" si="55"/>
        <v>0</v>
      </c>
      <c r="Q302" s="276">
        <f t="array" ref="Q302">+INDEX('Réel 2024'!$A$2:$AO$501,MATCH($A302,'Réel 2024'!$A$2:$A$501,0),MATCH(Q$2,'Réel 2024'!$A$2:$AO$2,0))</f>
        <v>4948.08</v>
      </c>
      <c r="R302" s="292">
        <f t="shared" si="56"/>
        <v>0</v>
      </c>
      <c r="S302" s="276">
        <f t="shared" si="57"/>
        <v>25543.550000000003</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54">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497935.41191596643</v>
      </c>
      <c r="E304" s="407">
        <f>IF(D304&lt;=0,0,F304/D304)</f>
        <v>0.28742880884510785</v>
      </c>
      <c r="F304" s="392">
        <f>SUM(F295:F303)</f>
        <v>143120.98232880436</v>
      </c>
      <c r="G304" s="390"/>
      <c r="H304" s="407"/>
      <c r="I304" s="392"/>
      <c r="J304" s="390">
        <f t="shared" ref="J304" si="59">SUM(J295:J303)</f>
        <v>532341.46</v>
      </c>
      <c r="K304" s="407">
        <f t="shared" si="52"/>
        <v>0.26972483037485001</v>
      </c>
      <c r="L304" s="392">
        <f>SUM(L295:L303)</f>
        <v>143585.71</v>
      </c>
      <c r="M304" s="408">
        <f>(+J304-D304)/D304</f>
        <v>6.9097411553127375E-2</v>
      </c>
      <c r="N304" s="392">
        <f t="shared" si="54"/>
        <v>464.7276711956365</v>
      </c>
      <c r="O304" s="390">
        <f>SUM(O295:O303)</f>
        <v>498001.61999999994</v>
      </c>
      <c r="P304" s="407">
        <f>IF(O304&lt;=0,0,Q304/O304)</f>
        <v>0.22684068778732047</v>
      </c>
      <c r="Q304" s="392">
        <f t="shared" ref="Q304" si="60">SUM(Q295:Q303)</f>
        <v>112967.0299999998</v>
      </c>
      <c r="R304" s="408">
        <f t="shared" si="56"/>
        <v>6.8955277695683062E-2</v>
      </c>
      <c r="S304" s="392">
        <f t="shared" si="57"/>
        <v>30618.680000000197</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3.2470967124022176E-3</v>
      </c>
      <c r="O305" s="253"/>
      <c r="P305" s="41"/>
      <c r="Q305" s="263"/>
      <c r="R305" s="253"/>
      <c r="S305" s="265">
        <f>IF(Q304=0,0,S304/Q304)</f>
        <v>0.27104085147675611</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29677.516171196814</v>
      </c>
      <c r="E307" s="353">
        <f>IF(D307=0,0,F307/D307)</f>
        <v>0.17100000000000001</v>
      </c>
      <c r="F307" s="317">
        <f>+INDEX('Budget original'!$A$2:$AO$501,MATCH($A307,'Budget original'!$A$2:$A$501,0),MATCH(F$2,'Budget original'!$A$2:$AO$2,0))</f>
        <v>5074.8552652746557</v>
      </c>
      <c r="G307" s="291"/>
      <c r="H307" s="353"/>
      <c r="I307" s="317"/>
      <c r="J307" s="254">
        <f>-SUMIFS(BV_Data_An_Cour!$O:$O,BV_Data_An_Cour!$X:$X,"Oui",BV_Data_An_Cour!$U:$U,$B307,BV_Data_An_Cour!$V:$V,$C307)</f>
        <v>39869.18</v>
      </c>
      <c r="K307" s="353">
        <f t="shared" ref="K307:K309" si="61">IF(J307&lt;=0,0,L307/J307)</f>
        <v>0.17926528712153098</v>
      </c>
      <c r="L307" s="317">
        <f>-SUMIFS(BV_Data_An_Cour!$O:$O,BV_Data_An_Cour!$U:$U,$B307,BV_Data_An_Cour!$V:$V,$C307,BV_Data_An_Cour!$W:$W,$L$2)</f>
        <v>7147.16</v>
      </c>
      <c r="M307" s="292">
        <f>(+J307-D307)/D307</f>
        <v>0.34341363913380979</v>
      </c>
      <c r="N307" s="276">
        <f>L307-F307</f>
        <v>2072.3047347253441</v>
      </c>
      <c r="O307" s="254">
        <f t="array" ref="O307">+INDEX('Réel 2024'!$A$2:$AO$501,MATCH($A307,'Réel 2024'!$A$2:$A$501,0),MATCH(O$2,'Réel 2024'!$A$2:$AO$2,0))</f>
        <v>28787.21</v>
      </c>
      <c r="P307" s="353">
        <f t="shared" ref="P307:P308" si="62">IF(O307=0,0,Q307/O307)</f>
        <v>0.16886874414019248</v>
      </c>
      <c r="Q307" s="317">
        <f t="array" ref="Q307">+INDEX('Réel 2024'!$A$2:$AO$501,MATCH($A307,'Réel 2024'!$A$2:$A$501,0),MATCH(Q$2,'Réel 2024'!$A$2:$AO$2,0))</f>
        <v>4861.2599999999902</v>
      </c>
      <c r="R307" s="292">
        <f t="shared" ref="R307:R309" si="63">IF(O307=0,0,(J307-O307)/O307)</f>
        <v>0.38496158537072545</v>
      </c>
      <c r="S307" s="276">
        <f t="shared" ref="S307:S309" si="64">L307-Q307</f>
        <v>2285.9000000000096</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15724.817502717535</v>
      </c>
      <c r="E308" s="353">
        <f>IF(D308=0,0,F308/D308)</f>
        <v>0.27</v>
      </c>
      <c r="F308" s="296">
        <f>+INDEX('Budget original'!$A$2:$AO$501,MATCH($A308,'Budget original'!$A$2:$A$501,0),MATCH(F$2,'Budget original'!$A$2:$AO$2,0))</f>
        <v>4245.7007257337345</v>
      </c>
      <c r="G308" s="291"/>
      <c r="H308" s="353"/>
      <c r="I308" s="296"/>
      <c r="J308" s="254">
        <f>-SUMIFS(BV_Data_An_Cour!$O:$O,BV_Data_An_Cour!$X:$X,"Oui",BV_Data_An_Cour!$U:$U,$B308,BV_Data_An_Cour!$V:$V,$C308)</f>
        <v>17464.009999999998</v>
      </c>
      <c r="K308" s="353">
        <f t="shared" si="61"/>
        <v>0.28230343432006727</v>
      </c>
      <c r="L308" s="296">
        <f>-SUMIFS(BV_Data_An_Cour!$O:$O,BV_Data_An_Cour!$U:$U,$B308,BV_Data_An_Cour!$V:$V,$C308,BV_Data_An_Cour!$W:$W,$L$2)</f>
        <v>4930.1499999999978</v>
      </c>
      <c r="M308" s="292">
        <f>(+J308-D308)/D308</f>
        <v>0.11060176036904082</v>
      </c>
      <c r="N308" s="276">
        <f>L308-F308</f>
        <v>684.44927426626327</v>
      </c>
      <c r="O308" s="254">
        <f t="array" ref="O308">+INDEX('Réel 2024'!$A$2:$AO$501,MATCH($A308,'Réel 2024'!$A$2:$A$501,0),MATCH(O$2,'Réel 2024'!$A$2:$AO$2,0))</f>
        <v>16784.47</v>
      </c>
      <c r="P308" s="353">
        <f t="shared" si="62"/>
        <v>0.26567058715586489</v>
      </c>
      <c r="Q308" s="296">
        <f t="array" ref="Q308">+INDEX('Réel 2024'!$A$2:$AO$501,MATCH($A308,'Réel 2024'!$A$2:$A$501,0),MATCH(Q$2,'Réel 2024'!$A$2:$AO$2,0))</f>
        <v>4459.1400000000003</v>
      </c>
      <c r="R308" s="292">
        <f t="shared" si="63"/>
        <v>4.0486235192412817E-2</v>
      </c>
      <c r="S308" s="276">
        <f t="shared" si="64"/>
        <v>471.00999999999749</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543337.74558988074</v>
      </c>
      <c r="E309" s="407">
        <f>IF(D309&lt;=0,0,F309/D309)</f>
        <v>0.28056497005249076</v>
      </c>
      <c r="F309" s="392">
        <f>F304+F307+F308</f>
        <v>152441.53831981274</v>
      </c>
      <c r="G309" s="393"/>
      <c r="H309" s="407"/>
      <c r="I309" s="392"/>
      <c r="J309" s="393">
        <f t="shared" ref="J309" si="65">J304+J307+J308</f>
        <v>589674.65</v>
      </c>
      <c r="K309" s="407">
        <f t="shared" si="61"/>
        <v>0.26398119708893708</v>
      </c>
      <c r="L309" s="392">
        <f>L304+L307+L308</f>
        <v>155663.01999999999</v>
      </c>
      <c r="M309" s="408">
        <f>(+J309-D309)/D309</f>
        <v>8.5281953602934585E-2</v>
      </c>
      <c r="N309" s="392">
        <f>L309-F309</f>
        <v>3221.4816801872512</v>
      </c>
      <c r="O309" s="393">
        <f>O304+O307+O308</f>
        <v>543573.29999999993</v>
      </c>
      <c r="P309" s="407">
        <f>IF(O309&lt;=0,0,Q309/O309)</f>
        <v>0.22496953032829206</v>
      </c>
      <c r="Q309" s="392">
        <f t="shared" ref="Q309" si="66">Q304+Q307+Q308</f>
        <v>122287.42999999979</v>
      </c>
      <c r="R309" s="408">
        <f t="shared" si="63"/>
        <v>8.4811652816648833E-2</v>
      </c>
      <c r="S309" s="392">
        <f t="shared" si="64"/>
        <v>33375.5900000002</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2.1132571316807271E-2</v>
      </c>
      <c r="O310" s="253"/>
      <c r="P310" s="41"/>
      <c r="Q310" s="263"/>
      <c r="R310" s="253"/>
      <c r="S310" s="265">
        <f>IF(Q309=0,0,S309/Q309)</f>
        <v>0.2729273973621022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543337.74558988074</v>
      </c>
      <c r="E314" s="410">
        <f>IF(D314&lt;=0,0,F314/D314)</f>
        <v>0.28056497005249076</v>
      </c>
      <c r="F314" s="281">
        <f>F309+F312</f>
        <v>152441.53831981274</v>
      </c>
      <c r="G314" s="282"/>
      <c r="H314" s="410"/>
      <c r="I314" s="281"/>
      <c r="J314" s="282">
        <f t="shared" ref="J314" si="67">J309+J312</f>
        <v>589674.65</v>
      </c>
      <c r="K314" s="410">
        <f>IF(J314&lt;=0,0,L314/J314)</f>
        <v>0.26398119708893708</v>
      </c>
      <c r="L314" s="281">
        <f>L309+L312</f>
        <v>155663.01999999999</v>
      </c>
      <c r="M314" s="411">
        <f>(+J314-D314)/D314</f>
        <v>8.5281953602934585E-2</v>
      </c>
      <c r="N314" s="412">
        <f>L314-F314</f>
        <v>3221.4816801872512</v>
      </c>
      <c r="O314" s="282">
        <f>O309+O312</f>
        <v>543573.29999999993</v>
      </c>
      <c r="P314" s="410">
        <f>IF(O314&lt;=0,0,Q314/O314)</f>
        <v>0.22496953032829206</v>
      </c>
      <c r="Q314" s="281">
        <f t="shared" ref="Q314" si="68">Q309+Q312</f>
        <v>122287.42999999979</v>
      </c>
      <c r="R314" s="411">
        <f>IF(O314=0,0,(J314-O314)/O314)</f>
        <v>8.4811652816648833E-2</v>
      </c>
      <c r="S314" s="412">
        <f>L314-Q314</f>
        <v>33375.5900000002</v>
      </c>
      <c r="T314" s="41"/>
      <c r="U314" s="291"/>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896">
        <f>L314/F314</f>
        <v>1.0211325713168073</v>
      </c>
      <c r="M315" s="416"/>
      <c r="N315" s="287">
        <f>N314/F314</f>
        <v>2.1132571316807271E-2</v>
      </c>
      <c r="O315" s="415"/>
      <c r="P315" s="414"/>
      <c r="Q315" s="335"/>
      <c r="R315" s="416"/>
      <c r="S315" s="287">
        <f>IF(Q314=0,0,S314/Q314)</f>
        <v>0.2729273973621022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4769.2307692307695</v>
      </c>
      <c r="G318" s="253"/>
      <c r="H318" s="41"/>
      <c r="I318" s="254"/>
      <c r="J318" s="253"/>
      <c r="K318" s="41"/>
      <c r="L318" s="256">
        <f>SUMIFS(BV_Data_An_Cour!$O:$O,BV_Data_An_Cour!$U:$U,$B318,BV_Data_An_Cour!$V:$V,$C318,BV_Data_An_Cour!$W:$W,$L$2)</f>
        <v>6785.58</v>
      </c>
      <c r="M318" s="253"/>
      <c r="N318" s="256">
        <f t="shared" ref="N318:N348" si="69">L318-F318</f>
        <v>2016.3492307692304</v>
      </c>
      <c r="O318" s="253"/>
      <c r="P318" s="41"/>
      <c r="Q318" s="256">
        <f t="array" ref="Q318">+INDEX('Réel 2024'!$A$2:$AO$501,MATCH($A318,'Réel 2024'!$A$2:$A$501,0),MATCH(Q$2,'Réel 2024'!$A$2:$AO$2,0))</f>
        <v>10126.49</v>
      </c>
      <c r="R318" s="253"/>
      <c r="S318" s="256">
        <f t="shared" ref="S318:S348" si="70">L318-Q318</f>
        <v>-3340.91</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29619.471267204099</v>
      </c>
      <c r="G319" s="298"/>
      <c r="H319" s="41"/>
      <c r="I319" s="248"/>
      <c r="J319" s="253"/>
      <c r="K319" s="41"/>
      <c r="L319" s="256">
        <f>SUMIFS(BV_Data_An_Cour!$O:$O,BV_Data_An_Cour!$U:$U,$B319,BV_Data_An_Cour!$V:$V,$C319,BV_Data_An_Cour!$W:$W,$L$2)</f>
        <v>26340.959999999999</v>
      </c>
      <c r="M319" s="253"/>
      <c r="N319" s="256">
        <f t="shared" si="69"/>
        <v>-3278.5112672040996</v>
      </c>
      <c r="O319" s="253"/>
      <c r="P319" s="41"/>
      <c r="Q319" s="256">
        <f t="array" ref="Q319">+INDEX('Réel 2024'!$A$2:$AO$501,MATCH($A319,'Réel 2024'!$A$2:$A$501,0),MATCH(Q$2,'Réel 2024'!$A$2:$AO$2,0))</f>
        <v>25203.67</v>
      </c>
      <c r="R319" s="253"/>
      <c r="S319" s="276">
        <f t="shared" si="70"/>
        <v>1137.2900000000009</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0</v>
      </c>
      <c r="G320" s="316"/>
      <c r="H320" s="315"/>
      <c r="I320" s="254"/>
      <c r="J320" s="241"/>
      <c r="K320" s="315"/>
      <c r="L320" s="272">
        <f>SUMIFS(BV_Data_An_Cour!$O:$O,BV_Data_An_Cour!$U:$U,$B320,BV_Data_An_Cour!$V:$V,$C320,BV_Data_An_Cour!$W:$W,$L$2)</f>
        <v>6588.69</v>
      </c>
      <c r="M320" s="241"/>
      <c r="N320" s="272">
        <f t="shared" si="69"/>
        <v>6588.69</v>
      </c>
      <c r="O320" s="241"/>
      <c r="P320" s="315"/>
      <c r="Q320" s="272">
        <f t="array" ref="Q320">+INDEX('Réel 2024'!$A$2:$AO$501,MATCH($A320,'Réel 2024'!$A$2:$A$501,0),MATCH(Q$2,'Réel 2024'!$A$2:$AO$2,0))</f>
        <v>113.92</v>
      </c>
      <c r="R320" s="241"/>
      <c r="S320" s="317">
        <f t="shared" si="70"/>
        <v>6474.7699999999995</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4199.426525981512</v>
      </c>
      <c r="G325" s="298"/>
      <c r="H325" s="41"/>
      <c r="I325" s="248"/>
      <c r="J325" s="253"/>
      <c r="K325" s="41"/>
      <c r="L325" s="256">
        <f>SUMIFS(BV_Data_An_Cour!$O:$O,BV_Data_An_Cour!$U:$U,$B325,BV_Data_An_Cour!$V:$V,$C325,BV_Data_An_Cour!$W:$W,$L$2)</f>
        <v>4385.6400000000003</v>
      </c>
      <c r="M325" s="253"/>
      <c r="N325" s="256">
        <f t="shared" si="69"/>
        <v>186.21347401848834</v>
      </c>
      <c r="O325" s="253"/>
      <c r="P325" s="41"/>
      <c r="Q325" s="256">
        <f t="array" ref="Q325">+INDEX('Réel 2024'!$A$2:$AO$501,MATCH($A325,'Réel 2024'!$A$2:$A$501,0),MATCH(Q$2,'Réel 2024'!$A$2:$AO$2,0))</f>
        <v>3793.81</v>
      </c>
      <c r="R325" s="253"/>
      <c r="S325" s="276">
        <f t="shared" si="70"/>
        <v>591.83000000000038</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5105.910665951089</v>
      </c>
      <c r="G326" s="316"/>
      <c r="H326" s="315"/>
      <c r="I326" s="254"/>
      <c r="J326" s="241"/>
      <c r="K326" s="315"/>
      <c r="L326" s="272">
        <f>SUMIFS(BV_Data_An_Cour!$O:$O,BV_Data_An_Cour!$U:$U,$B326,BV_Data_An_Cour!$V:$V,$C326,BV_Data_An_Cour!$W:$W,$L$2)</f>
        <v>4761.0200000000004</v>
      </c>
      <c r="M326" s="241"/>
      <c r="N326" s="272">
        <f t="shared" si="69"/>
        <v>-344.89066595108852</v>
      </c>
      <c r="O326" s="241"/>
      <c r="P326" s="315"/>
      <c r="Q326" s="272">
        <f t="array" ref="Q326">+INDEX('Réel 2024'!$A$2:$AO$501,MATCH($A326,'Réel 2024'!$A$2:$A$501,0),MATCH(Q$2,'Réel 2024'!$A$2:$AO$2,0))</f>
        <v>4791.7</v>
      </c>
      <c r="R326" s="241"/>
      <c r="S326" s="317">
        <f t="shared" si="70"/>
        <v>-30.679999999999382</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2630.6539735443653</v>
      </c>
      <c r="G327" s="298"/>
      <c r="H327" s="41"/>
      <c r="I327" s="254"/>
      <c r="J327" s="253"/>
      <c r="K327" s="41"/>
      <c r="L327" s="256">
        <f>SUMIFS(BV_Data_An_Cour!$O:$O,BV_Data_An_Cour!$U:$U,$B327,BV_Data_An_Cour!$V:$V,$C327,BV_Data_An_Cour!$W:$W,$L$2)</f>
        <v>1724.61</v>
      </c>
      <c r="M327" s="253"/>
      <c r="N327" s="256">
        <f t="shared" si="69"/>
        <v>-906.04397354436537</v>
      </c>
      <c r="O327" s="253"/>
      <c r="P327" s="41"/>
      <c r="Q327" s="256">
        <f t="array" ref="Q327">+INDEX('Réel 2024'!$A$2:$AO$501,MATCH($A327,'Réel 2024'!$A$2:$A$501,0),MATCH(Q$2,'Réel 2024'!$A$2:$AO$2,0))</f>
        <v>1593.34</v>
      </c>
      <c r="R327" s="253"/>
      <c r="S327" s="276">
        <f t="shared" si="70"/>
        <v>131.26999999999998</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1146.9799322064041</v>
      </c>
      <c r="G328" s="298"/>
      <c r="H328" s="41"/>
      <c r="I328" s="254"/>
      <c r="J328" s="253"/>
      <c r="K328" s="41"/>
      <c r="L328" s="256">
        <f>SUMIFS(BV_Data_An_Cour!$O:$O,BV_Data_An_Cour!$U:$U,$B328,BV_Data_An_Cour!$V:$V,$C328,BV_Data_An_Cour!$W:$W,$L$2)</f>
        <v>979.97</v>
      </c>
      <c r="M328" s="253"/>
      <c r="N328" s="256">
        <f t="shared" si="69"/>
        <v>-167.00993220640407</v>
      </c>
      <c r="O328" s="253"/>
      <c r="P328" s="41"/>
      <c r="Q328" s="256">
        <f t="array" ref="Q328">+INDEX('Réel 2024'!$A$2:$AO$501,MATCH($A328,'Réel 2024'!$A$2:$A$501,0),MATCH(Q$2,'Réel 2024'!$A$2:$AO$2,0))</f>
        <v>1136.6600000000001</v>
      </c>
      <c r="R328" s="253"/>
      <c r="S328" s="276">
        <f t="shared" si="70"/>
        <v>-156.69000000000005</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0.31140904019563004</v>
      </c>
      <c r="F330" s="307">
        <f>+SUM(F318:F329)</f>
        <v>47471.673134118246</v>
      </c>
      <c r="G330" s="308"/>
      <c r="H330" s="306"/>
      <c r="I330" s="307"/>
      <c r="J330" s="308" t="s">
        <v>119</v>
      </c>
      <c r="K330" s="306">
        <f>L330/L$314</f>
        <v>0.33126988028370519</v>
      </c>
      <c r="L330" s="307">
        <f>+SUM(L318:L329)</f>
        <v>51566.47</v>
      </c>
      <c r="M330" s="355"/>
      <c r="N330" s="320">
        <f t="shared" si="69"/>
        <v>4094.7968658817554</v>
      </c>
      <c r="O330" s="308" t="s">
        <v>119</v>
      </c>
      <c r="P330" s="306">
        <f>Q330/Q$314</f>
        <v>0.38237445990973945</v>
      </c>
      <c r="Q330" s="307">
        <f>+SUM(Q318:Q329)</f>
        <v>46759.589999999989</v>
      </c>
      <c r="R330" s="355"/>
      <c r="S330" s="320">
        <f t="shared" si="70"/>
        <v>4806.8800000000119</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4197.5</v>
      </c>
      <c r="G331" s="298"/>
      <c r="H331" s="41"/>
      <c r="I331" s="254"/>
      <c r="J331" s="253"/>
      <c r="K331" s="41"/>
      <c r="L331" s="256">
        <f>SUMIFS(BV_Data_An_Cour!$O:$O,BV_Data_An_Cour!$U:$U,$B331,BV_Data_An_Cour!$V:$V,$C331,BV_Data_An_Cour!$W:$W,$L$2)</f>
        <v>1196.4000000000001</v>
      </c>
      <c r="M331" s="253"/>
      <c r="N331" s="276">
        <f t="shared" si="69"/>
        <v>-3001.1</v>
      </c>
      <c r="O331" s="253"/>
      <c r="P331" s="41"/>
      <c r="Q331" s="256">
        <f t="array" ref="Q331">+INDEX('Réel 2024'!$A$2:$AO$501,MATCH($A331,'Réel 2024'!$A$2:$A$501,0),MATCH(Q$2,'Réel 2024'!$A$2:$AO$2,0))</f>
        <v>5459.85</v>
      </c>
      <c r="R331" s="253"/>
      <c r="S331" s="276">
        <f t="shared" si="70"/>
        <v>-4263.4500000000007</v>
      </c>
      <c r="T331" s="41"/>
      <c r="U331" s="41"/>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165.97</v>
      </c>
      <c r="M332" s="253"/>
      <c r="N332" s="276">
        <f t="shared" si="69"/>
        <v>-395.5557782014273</v>
      </c>
      <c r="O332" s="253"/>
      <c r="P332" s="41"/>
      <c r="Q332" s="256">
        <f t="array" ref="Q332">+INDEX('Réel 2024'!$A$2:$AO$501,MATCH($A332,'Réel 2024'!$A$2:$A$501,0),MATCH(Q$2,'Réel 2024'!$A$2:$AO$2,0))</f>
        <v>271.33</v>
      </c>
      <c r="R332" s="253"/>
      <c r="S332" s="276">
        <f t="shared" si="70"/>
        <v>-105.35999999999999</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1920.36</v>
      </c>
      <c r="M333" s="246"/>
      <c r="N333" s="296">
        <f t="shared" si="69"/>
        <v>656.03951111111064</v>
      </c>
      <c r="O333" s="246"/>
      <c r="P333" s="318"/>
      <c r="Q333" s="256">
        <f t="array" ref="Q333">+INDEX('Réel 2024'!$A$2:$AO$501,MATCH($A333,'Réel 2024'!$A$2:$A$501,0),MATCH(Q$2,'Réel 2024'!$A$2:$AO$2,0))</f>
        <v>1170.8399999999999</v>
      </c>
      <c r="R333" s="246"/>
      <c r="S333" s="296">
        <f t="shared" si="70"/>
        <v>749.52</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6290</v>
      </c>
      <c r="G334" s="298"/>
      <c r="H334" s="41"/>
      <c r="I334" s="254"/>
      <c r="J334" s="253"/>
      <c r="K334" s="41"/>
      <c r="L334" s="272">
        <f>SUMIFS(BV_Data_An_Cour!$O:$O,BV_Data_An_Cour!$U:$U,$B334,BV_Data_An_Cour!$V:$V,$C334,BV_Data_An_Cour!$W:$W,$L$2)</f>
        <v>5867.58</v>
      </c>
      <c r="M334" s="253"/>
      <c r="N334" s="276">
        <f t="shared" si="69"/>
        <v>-422.42000000000007</v>
      </c>
      <c r="O334" s="253"/>
      <c r="P334" s="41"/>
      <c r="Q334" s="272">
        <f t="array" ref="Q334">+INDEX('Réel 2024'!$A$2:$AO$501,MATCH($A334,'Réel 2024'!$A$2:$A$501,0),MATCH(Q$2,'Réel 2024'!$A$2:$AO$2,0))</f>
        <v>6976.03</v>
      </c>
      <c r="R334" s="253"/>
      <c r="S334" s="276">
        <f t="shared" si="70"/>
        <v>-1108.4499999999998</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1000</v>
      </c>
      <c r="G335" s="298"/>
      <c r="H335" s="41"/>
      <c r="I335" s="254"/>
      <c r="J335" s="253"/>
      <c r="K335" s="41"/>
      <c r="L335" s="256">
        <f>SUMIFS(BV_Data_An_Cour!$O:$O,BV_Data_An_Cour!$U:$U,$B335,BV_Data_An_Cour!$V:$V,$C335,BV_Data_An_Cour!$W:$W,$L$2)</f>
        <v>1556.58</v>
      </c>
      <c r="M335" s="253"/>
      <c r="N335" s="276">
        <f t="shared" si="69"/>
        <v>556.57999999999993</v>
      </c>
      <c r="O335" s="253"/>
      <c r="P335" s="41"/>
      <c r="Q335" s="256">
        <f t="array" ref="Q335">+INDEX('Réel 2024'!$A$2:$AO$501,MATCH($A335,'Réel 2024'!$A$2:$A$501,0),MATCH(Q$2,'Réel 2024'!$A$2:$AO$2,0))</f>
        <v>684.84</v>
      </c>
      <c r="R335" s="253"/>
      <c r="S335" s="276">
        <f t="shared" si="70"/>
        <v>871.7399999999999</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16440.026346529616</v>
      </c>
      <c r="G336" s="300"/>
      <c r="H336" s="318"/>
      <c r="I336" s="248"/>
      <c r="J336" s="246"/>
      <c r="K336" s="318"/>
      <c r="L336" s="248">
        <f>SUMIFS(BV_Data_An_Cour!$O:$O,BV_Data_An_Cour!$U:$U,$B336,BV_Data_An_Cour!$V:$V,$C336,BV_Data_An_Cour!$W:$W,$L$2)</f>
        <v>6859.5899999999992</v>
      </c>
      <c r="M336" s="246"/>
      <c r="N336" s="296">
        <f t="shared" si="69"/>
        <v>-9580.4363465296155</v>
      </c>
      <c r="O336" s="246"/>
      <c r="P336" s="318"/>
      <c r="Q336" s="248">
        <f t="array" ref="Q336">+INDEX('Réel 2024'!$A$2:$AO$501,MATCH($A336,'Réel 2024'!$A$2:$A$501,0),MATCH(Q$2,'Réel 2024'!$A$2:$AO$2,0))</f>
        <v>15726.58</v>
      </c>
      <c r="R336" s="246"/>
      <c r="S336" s="296">
        <f t="shared" si="70"/>
        <v>-8866.9900000000016</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50</v>
      </c>
      <c r="G338" s="298"/>
      <c r="H338" s="41"/>
      <c r="I338" s="254"/>
      <c r="J338" s="253"/>
      <c r="K338" s="41"/>
      <c r="L338" s="256">
        <f>SUMIFS(BV_Data_An_Cour!$O:$O,BV_Data_An_Cour!$U:$U,$B338,BV_Data_An_Cour!$V:$V,$C338,BV_Data_An_Cour!$W:$W,$L$2)</f>
        <v>0</v>
      </c>
      <c r="M338" s="253"/>
      <c r="N338" s="276">
        <f t="shared" si="69"/>
        <v>-50</v>
      </c>
      <c r="O338" s="253"/>
      <c r="P338" s="41"/>
      <c r="Q338" s="256">
        <f t="array" ref="Q338">+INDEX('Réel 2024'!$A$2:$AO$501,MATCH($A338,'Réel 2024'!$A$2:$A$501,0),MATCH(Q$2,'Réel 2024'!$A$2:$AO$2,0))</f>
        <v>0</v>
      </c>
      <c r="R338" s="253"/>
      <c r="S338" s="276">
        <f t="shared" si="70"/>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0</v>
      </c>
      <c r="G339" s="298"/>
      <c r="H339" s="41"/>
      <c r="I339" s="254"/>
      <c r="J339" s="253"/>
      <c r="K339" s="41"/>
      <c r="L339" s="256">
        <f>SUMIFS(BV_Data_An_Cour!$O:$O,BV_Data_An_Cour!$U:$U,$B339,BV_Data_An_Cour!$V:$V,$C339,BV_Data_An_Cour!$W:$W,$L$2)</f>
        <v>0</v>
      </c>
      <c r="M339" s="253"/>
      <c r="N339" s="276">
        <f t="shared" si="69"/>
        <v>0</v>
      </c>
      <c r="O339" s="253"/>
      <c r="P339" s="41"/>
      <c r="Q339" s="256">
        <f t="array" ref="Q339">+INDEX('Réel 2024'!$A$2:$AO$501,MATCH($A339,'Réel 2024'!$A$2:$A$501,0),MATCH(Q$2,'Réel 2024'!$A$2:$AO$2,0))</f>
        <v>0</v>
      </c>
      <c r="R339" s="253"/>
      <c r="S339" s="276">
        <f t="shared" si="70"/>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484.5</v>
      </c>
      <c r="G340" s="298"/>
      <c r="H340" s="41"/>
      <c r="I340" s="254"/>
      <c r="J340" s="253"/>
      <c r="K340" s="41"/>
      <c r="L340" s="256">
        <f>SUMIFS(BV_Data_An_Cour!$O:$O,BV_Data_An_Cour!$U:$U,$B340,BV_Data_An_Cour!$V:$V,$C340,BV_Data_An_Cour!$W:$W,$L$2)</f>
        <v>188.8</v>
      </c>
      <c r="M340" s="253"/>
      <c r="N340" s="276">
        <f t="shared" si="69"/>
        <v>-295.7</v>
      </c>
      <c r="O340" s="253"/>
      <c r="P340" s="41"/>
      <c r="Q340" s="256">
        <f t="array" ref="Q340">+INDEX('Réel 2024'!$A$2:$AO$501,MATCH($A340,'Réel 2024'!$A$2:$A$501,0),MATCH(Q$2,'Réel 2024'!$A$2:$AO$2,0))</f>
        <v>424.2</v>
      </c>
      <c r="R340" s="253"/>
      <c r="S340" s="276">
        <f t="shared" si="70"/>
        <v>-235.39999999999998</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113.75</v>
      </c>
      <c r="G341" s="298"/>
      <c r="H341" s="41"/>
      <c r="I341" s="254"/>
      <c r="J341" s="253"/>
      <c r="K341" s="41"/>
      <c r="L341" s="256">
        <f>SUMIFS(BV_Data_An_Cour!$O:$O,BV_Data_An_Cour!$U:$U,$B341,BV_Data_An_Cour!$V:$V,$C341,BV_Data_An_Cour!$W:$W,$L$2)</f>
        <v>60.98</v>
      </c>
      <c r="M341" s="253"/>
      <c r="N341" s="276">
        <f t="shared" si="69"/>
        <v>-52.77</v>
      </c>
      <c r="O341" s="253"/>
      <c r="P341" s="41"/>
      <c r="Q341" s="256">
        <f t="array" ref="Q341">+INDEX('Réel 2024'!$A$2:$AO$501,MATCH($A341,'Réel 2024'!$A$2:$A$501,0),MATCH(Q$2,'Réel 2024'!$A$2:$AO$2,0))</f>
        <v>87.49</v>
      </c>
      <c r="R341" s="253"/>
      <c r="S341" s="276">
        <f t="shared" si="70"/>
        <v>-26.509999999999998</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178.0625</v>
      </c>
      <c r="G342" s="298"/>
      <c r="H342" s="41"/>
      <c r="I342" s="254"/>
      <c r="J342" s="253"/>
      <c r="K342" s="41"/>
      <c r="L342" s="256">
        <f>SUMIFS(BV_Data_An_Cour!$O:$O,BV_Data_An_Cour!$U:$U,$B342,BV_Data_An_Cour!$V:$V,$C342,BV_Data_An_Cour!$W:$W,$L$2)</f>
        <v>-596.54</v>
      </c>
      <c r="M342" s="253"/>
      <c r="N342" s="276">
        <f t="shared" si="69"/>
        <v>-774.60249999999996</v>
      </c>
      <c r="O342" s="253"/>
      <c r="P342" s="41"/>
      <c r="Q342" s="256">
        <f t="array" ref="Q342">+INDEX('Réel 2024'!$A$2:$AO$501,MATCH($A342,'Réel 2024'!$A$2:$A$501,0),MATCH(Q$2,'Réel 2024'!$A$2:$AO$2,0))</f>
        <v>31.58</v>
      </c>
      <c r="R342" s="253"/>
      <c r="S342" s="276">
        <f t="shared" si="70"/>
        <v>-628.12</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93.75</v>
      </c>
      <c r="G343" s="298"/>
      <c r="H343" s="41"/>
      <c r="I343" s="254"/>
      <c r="J343" s="253"/>
      <c r="K343" s="41"/>
      <c r="L343" s="256">
        <f>SUMIFS(BV_Data_An_Cour!$O:$O,BV_Data_An_Cour!$U:$U,$B343,BV_Data_An_Cour!$V:$V,$C343,BV_Data_An_Cour!$W:$W,$L$2)</f>
        <v>264.54000000000002</v>
      </c>
      <c r="M343" s="253"/>
      <c r="N343" s="276">
        <f t="shared" si="69"/>
        <v>170.79000000000002</v>
      </c>
      <c r="O343" s="253"/>
      <c r="P343" s="41"/>
      <c r="Q343" s="256">
        <f t="array" ref="Q343">+INDEX('Réel 2024'!$A$2:$AO$501,MATCH($A343,'Réel 2024'!$A$2:$A$501,0),MATCH(Q$2,'Réel 2024'!$A$2:$AO$2,0))</f>
        <v>55.63</v>
      </c>
      <c r="R343" s="253"/>
      <c r="S343" s="276">
        <f t="shared" si="70"/>
        <v>208.91000000000003</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333.33333333333331</v>
      </c>
      <c r="G344" s="298"/>
      <c r="H344" s="41"/>
      <c r="I344" s="254"/>
      <c r="J344" s="253"/>
      <c r="K344" s="41"/>
      <c r="L344" s="256">
        <f>SUMIFS(BV_Data_An_Cour!$O:$O,BV_Data_An_Cour!$U:$U,$B344,BV_Data_An_Cour!$V:$V,$C344,BV_Data_An_Cour!$W:$W,$L$2)</f>
        <v>549.5</v>
      </c>
      <c r="M344" s="253"/>
      <c r="N344" s="276">
        <f t="shared" si="69"/>
        <v>216.16666666666669</v>
      </c>
      <c r="O344" s="253"/>
      <c r="P344" s="41"/>
      <c r="Q344" s="256">
        <f t="array" ref="Q344">+INDEX('Réel 2024'!$A$2:$AO$501,MATCH($A344,'Réel 2024'!$A$2:$A$501,0),MATCH(Q$2,'Réel 2024'!$A$2:$AO$2,0))</f>
        <v>531.23</v>
      </c>
      <c r="R344" s="253"/>
      <c r="S344" s="276">
        <f t="shared" si="70"/>
        <v>18.269999999999982</v>
      </c>
      <c r="T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1721.6730548630967</v>
      </c>
      <c r="G345" s="298"/>
      <c r="H345" s="41"/>
      <c r="I345" s="254"/>
      <c r="J345" s="253"/>
      <c r="K345" s="41"/>
      <c r="L345" s="256">
        <f>SUMIFS(BV_Data_An_Cour!$O:$O,BV_Data_An_Cour!$U:$U,$B345,BV_Data_An_Cour!$V:$V,$C345,BV_Data_An_Cour!$W:$W,$L$2)</f>
        <v>1705.73</v>
      </c>
      <c r="M345" s="253"/>
      <c r="N345" s="276">
        <f t="shared" si="69"/>
        <v>-15.943054863096677</v>
      </c>
      <c r="O345" s="253"/>
      <c r="P345" s="41"/>
      <c r="Q345" s="256">
        <f t="array" ref="Q345">+INDEX('Réel 2024'!$A$2:$AO$501,MATCH($A345,'Réel 2024'!$A$2:$A$501,0),MATCH(Q$2,'Réel 2024'!$A$2:$AO$2,0))</f>
        <v>1654.17</v>
      </c>
      <c r="R345" s="253"/>
      <c r="S345" s="276">
        <f t="shared" si="70"/>
        <v>51.559999999999945</v>
      </c>
      <c r="T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0.21469503563493408</v>
      </c>
      <c r="F349" s="307">
        <f>+SUM(F331:F348)</f>
        <v>32728.441501816364</v>
      </c>
      <c r="G349" s="308"/>
      <c r="H349" s="306"/>
      <c r="I349" s="307"/>
      <c r="J349" s="308" t="s">
        <v>119</v>
      </c>
      <c r="K349" s="306">
        <f>L349/L$314</f>
        <v>0.12680911625638511</v>
      </c>
      <c r="L349" s="307">
        <f>+SUM(L331:L348)</f>
        <v>19739.489999999998</v>
      </c>
      <c r="M349" s="311"/>
      <c r="N349" s="307">
        <f>+SUM(N331:N348)</f>
        <v>-12988.951501816362</v>
      </c>
      <c r="O349" s="308" t="s">
        <v>119</v>
      </c>
      <c r="P349" s="306">
        <f>Q349/Q$314</f>
        <v>0.27045927778513346</v>
      </c>
      <c r="Q349" s="307">
        <f>+SUM(Q331:Q348)</f>
        <v>33073.770000000004</v>
      </c>
      <c r="R349" s="311"/>
      <c r="S349" s="307">
        <f>+SUM(S331:S348)</f>
        <v>-13334.280000000002</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0.52610407583056418</v>
      </c>
      <c r="F351" s="307">
        <f>F330+F349</f>
        <v>80200.114635934617</v>
      </c>
      <c r="G351" s="308"/>
      <c r="H351" s="306"/>
      <c r="I351" s="307"/>
      <c r="J351" s="308" t="s">
        <v>119</v>
      </c>
      <c r="K351" s="306">
        <f>L351/L$314</f>
        <v>0.45807899654009021</v>
      </c>
      <c r="L351" s="307">
        <f>L330+L349</f>
        <v>71305.959999999992</v>
      </c>
      <c r="M351" s="311"/>
      <c r="N351" s="320">
        <f>L351-F351</f>
        <v>-8894.1546359346248</v>
      </c>
      <c r="O351" s="308" t="s">
        <v>119</v>
      </c>
      <c r="P351" s="306">
        <f>Q351/Q$314</f>
        <v>0.65283373769487285</v>
      </c>
      <c r="Q351" s="307">
        <f>Q330+Q349</f>
        <v>79833.359999999986</v>
      </c>
      <c r="R351" s="311"/>
      <c r="S351" s="320">
        <f>L351-Q351</f>
        <v>-8527.3999999999942</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72241.423683878122</v>
      </c>
      <c r="G353" s="361"/>
      <c r="H353" s="333"/>
      <c r="I353" s="335"/>
      <c r="J353" s="332"/>
      <c r="K353" s="334"/>
      <c r="L353" s="335">
        <f>L314-L351</f>
        <v>84357.06</v>
      </c>
      <c r="M353" s="332"/>
      <c r="N353" s="335">
        <f>L353-F353</f>
        <v>12115.636316121876</v>
      </c>
      <c r="O353" s="332"/>
      <c r="P353" s="1090">
        <f>+Q353/O314</f>
        <v>7.8101830976613107E-2</v>
      </c>
      <c r="Q353" s="335">
        <f>Q314-Q351</f>
        <v>42454.069999999803</v>
      </c>
      <c r="R353" s="332"/>
      <c r="S353" s="335">
        <f>L353-Q353</f>
        <v>41902.990000000194</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Mars 2026</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99" t="s">
        <v>343</v>
      </c>
      <c r="E358" s="1300"/>
      <c r="F358" s="1301"/>
      <c r="G358" s="1304"/>
      <c r="H358" s="1300"/>
      <c r="I358" s="1301"/>
      <c r="J358" s="1304" t="s">
        <v>344</v>
      </c>
      <c r="K358" s="1300"/>
      <c r="L358" s="1301"/>
      <c r="M358" s="1304"/>
      <c r="N358" s="1301"/>
      <c r="O358" s="1299" t="s">
        <v>345</v>
      </c>
      <c r="P358" s="1300"/>
      <c r="Q358" s="1301"/>
      <c r="R358" s="1304" t="s">
        <v>346</v>
      </c>
      <c r="S358" s="1301"/>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982"/>
      <c r="E400" s="41"/>
      <c r="F400" s="319">
        <f>F314+F250+F194</f>
        <v>397829.24124152237</v>
      </c>
      <c r="G400" s="297"/>
      <c r="H400" s="41"/>
      <c r="I400" s="319"/>
      <c r="J400" s="982"/>
      <c r="K400" s="11"/>
      <c r="L400" s="319">
        <f>L314+L250+L194</f>
        <v>389360.53</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319">
        <f>F353+F233+F289</f>
        <v>104531.51174396796</v>
      </c>
      <c r="L401" s="319">
        <f>L353+L233+L289</f>
        <v>138261.49</v>
      </c>
      <c r="V401" s="41"/>
      <c r="W401" s="38"/>
      <c r="X401" s="38"/>
      <c r="Y401" s="38"/>
      <c r="Z401" s="38"/>
      <c r="AA401" s="38"/>
      <c r="AB401" s="38"/>
      <c r="AC401" s="38"/>
      <c r="AD401" s="38"/>
      <c r="AE401" s="38"/>
      <c r="AF401" s="38"/>
      <c r="AG401" s="38"/>
      <c r="AH401" s="38"/>
      <c r="AI401" s="38"/>
      <c r="AJ401" s="38"/>
      <c r="AK401" s="38"/>
      <c r="AL401" s="38"/>
      <c r="AM401" s="38"/>
      <c r="AN401" s="38"/>
    </row>
    <row r="402" spans="1:61" ht="35.4">
      <c r="B402" s="3"/>
      <c r="C402" s="433" t="s">
        <v>598</v>
      </c>
      <c r="F402" s="976"/>
      <c r="L402" s="976"/>
      <c r="V402" s="897" t="str">
        <f>C1</f>
        <v>Volks</v>
      </c>
      <c r="W402" s="36"/>
      <c r="X402" s="36"/>
      <c r="Y402" s="36"/>
      <c r="Z402" s="36"/>
      <c r="AA402" s="36"/>
      <c r="AB402" s="36"/>
      <c r="AC402" s="36"/>
      <c r="AD402" s="36"/>
      <c r="AE402" s="232" t="s">
        <v>3309</v>
      </c>
      <c r="AF402" s="36"/>
      <c r="AG402" s="36"/>
      <c r="AH402" s="36"/>
      <c r="AI402" s="36"/>
      <c r="AJ402" s="898"/>
      <c r="AK402" s="899"/>
      <c r="AL402" s="900"/>
      <c r="AM402" s="900"/>
      <c r="AN402" s="900"/>
      <c r="AO402" s="898" t="str">
        <f>$S$1</f>
        <v>Réalisé, Mars 2026</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308" t="s">
        <v>600</v>
      </c>
      <c r="Y404" s="1306"/>
      <c r="Z404" s="1309"/>
      <c r="AA404" s="1305"/>
      <c r="AB404" s="1306"/>
      <c r="AC404" s="1309"/>
      <c r="AD404" s="1305" t="s">
        <v>344</v>
      </c>
      <c r="AE404" s="1306"/>
      <c r="AF404" s="1309"/>
      <c r="AG404" s="1305" t="s">
        <v>3310</v>
      </c>
      <c r="AH404" s="1306"/>
      <c r="AI404" s="1309"/>
      <c r="AJ404" s="1305" t="s">
        <v>601</v>
      </c>
      <c r="AK404" s="1306"/>
      <c r="AL404" s="1306"/>
      <c r="AM404" s="1305" t="s">
        <v>602</v>
      </c>
      <c r="AN404" s="1306"/>
      <c r="AO404" s="1307"/>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5997705.5714576375</v>
      </c>
      <c r="AA406" s="440"/>
      <c r="AB406" s="440"/>
      <c r="AC406" s="441"/>
      <c r="AD406" s="442"/>
      <c r="AE406" s="443"/>
      <c r="AF406" s="443">
        <f>L5+L93+K194+K250+J314+J362</f>
        <v>5843636.1300000008</v>
      </c>
      <c r="AG406" s="442"/>
      <c r="AH406" s="443"/>
      <c r="AI406" s="444"/>
      <c r="AJ406" s="442"/>
      <c r="AK406" s="443"/>
      <c r="AL406" s="443">
        <f>Q5+Q93+P194+P250+O314+O362</f>
        <v>4561965.3799999906</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30">
        <f>Z407/Z406</f>
        <v>0.141190404808437</v>
      </c>
      <c r="Y407" s="448"/>
      <c r="Z407" s="449">
        <f>F27+F108+F194+F250+F314+F362</f>
        <v>846818.47755592177</v>
      </c>
      <c r="AA407" s="448"/>
      <c r="AB407" s="448"/>
      <c r="AC407" s="449"/>
      <c r="AD407" s="1130">
        <f>AF407/AF406</f>
        <v>0.10474823318610703</v>
      </c>
      <c r="AE407" s="451"/>
      <c r="AF407" s="449">
        <f>L27+L108+L194+L250+L314+L362</f>
        <v>612110.56000000017</v>
      </c>
      <c r="AG407" s="450"/>
      <c r="AH407" s="451">
        <f>AF407-Z407</f>
        <v>-234707.91755592159</v>
      </c>
      <c r="AI407" s="452">
        <f>AH407/Z407</f>
        <v>-0.27716437911621039</v>
      </c>
      <c r="AJ407" s="450">
        <f>+AL407/AL406</f>
        <v>0.13322736570175389</v>
      </c>
      <c r="AK407" s="451"/>
      <c r="AL407" s="451">
        <f>Q27+Q108+Q194+Q250+Q314+Q362</f>
        <v>607778.62999999942</v>
      </c>
      <c r="AM407" s="453"/>
      <c r="AN407" s="451">
        <f>AF407-AL407</f>
        <v>4331.9300000007497</v>
      </c>
      <c r="AO407" s="454">
        <f>IF(AL407=0,0,AN407/AL407)</f>
        <v>7.127479951048548E-3</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630.25851603707622</v>
      </c>
      <c r="Z409" s="457">
        <f t="shared" ref="Z409:Z415" si="75">+SUMIF($C:$C,$V409,F:F)</f>
        <v>75000.763408412065</v>
      </c>
      <c r="AA409" s="456"/>
      <c r="AB409" s="464"/>
      <c r="AC409" s="457"/>
      <c r="AD409" s="465"/>
      <c r="AE409" s="464">
        <f t="shared" ref="AE409:AE414" si="76">IF(AF409=0,0,AF409/(J$13+J$97))</f>
        <v>696.79671232876706</v>
      </c>
      <c r="AF409" s="457">
        <f t="shared" ref="AF409:AF415" si="77">+SUMIF($C:$C,$V409,L:L)</f>
        <v>50866.159999999996</v>
      </c>
      <c r="AG409" s="458">
        <f t="shared" ref="AG409:AG418" si="78">AE409-Y409</f>
        <v>66.538196291690838</v>
      </c>
      <c r="AH409" s="459">
        <f t="shared" ref="AH409:AH418" si="79">AF409-Z409</f>
        <v>-24134.603408412069</v>
      </c>
      <c r="AI409" s="460">
        <f t="shared" ref="AI409:AI418" si="80">IF(Z409=0,0,AH409/Z409)</f>
        <v>-0.32179143666829846</v>
      </c>
      <c r="AJ409" s="1091">
        <f t="shared" ref="AJ409:AJ415" si="81">AL409/AL$407</f>
        <v>7.3967424619717281E-2</v>
      </c>
      <c r="AK409" s="459">
        <f t="shared" ref="AK409:AK418" si="82">AL409/(O$13+O$97)</f>
        <v>555.0101234567901</v>
      </c>
      <c r="AL409" s="457">
        <f t="shared" ref="AL409:AL414" si="83">+SUMIF($C:$C,$V409,Q:Q)</f>
        <v>44955.82</v>
      </c>
      <c r="AM409" s="461">
        <f t="shared" ref="AM409:AM418" si="84">AE409-Y409</f>
        <v>66.538196291690838</v>
      </c>
      <c r="AN409" s="459">
        <f t="shared" ref="AN409:AN431" si="85">AF409-AL409</f>
        <v>5910.3399999999965</v>
      </c>
      <c r="AO409" s="466">
        <f t="shared" ref="AO409:AO431" si="86">IF(AL409=0,0,AN409/AL409)</f>
        <v>0.13146996317718143</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364.16638902256932</v>
      </c>
      <c r="Z410" s="441">
        <f t="shared" si="75"/>
        <v>43335.800293685752</v>
      </c>
      <c r="AA410" s="440"/>
      <c r="AB410" s="468"/>
      <c r="AC410" s="441"/>
      <c r="AD410" s="469"/>
      <c r="AE410" s="468">
        <f t="shared" si="76"/>
        <v>231.99821917808217</v>
      </c>
      <c r="AF410" s="441">
        <f t="shared" si="77"/>
        <v>16935.87</v>
      </c>
      <c r="AG410" s="442">
        <f t="shared" si="78"/>
        <v>-132.16816984448715</v>
      </c>
      <c r="AH410" s="443">
        <f t="shared" si="79"/>
        <v>-26399.930293685753</v>
      </c>
      <c r="AI410" s="470">
        <f t="shared" si="80"/>
        <v>-0.60919447927058035</v>
      </c>
      <c r="AJ410" s="1092">
        <f t="shared" si="81"/>
        <v>4.2821051473955291E-2</v>
      </c>
      <c r="AK410" s="443">
        <f t="shared" si="82"/>
        <v>321.30518518518522</v>
      </c>
      <c r="AL410" s="441">
        <f t="shared" si="83"/>
        <v>26025.72</v>
      </c>
      <c r="AM410" s="445">
        <f t="shared" si="84"/>
        <v>-132.16816984448715</v>
      </c>
      <c r="AN410" s="443">
        <f t="shared" si="85"/>
        <v>-9089.8500000000022</v>
      </c>
      <c r="AO410" s="446">
        <f t="shared" si="86"/>
        <v>-0.34926411257786533</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74.806722689075627</v>
      </c>
      <c r="Z411" s="457">
        <f t="shared" si="75"/>
        <v>8902</v>
      </c>
      <c r="AA411" s="456"/>
      <c r="AB411" s="464"/>
      <c r="AC411" s="457"/>
      <c r="AD411" s="465"/>
      <c r="AE411" s="464">
        <f t="shared" si="76"/>
        <v>103.99</v>
      </c>
      <c r="AF411" s="457">
        <f t="shared" si="77"/>
        <v>7591.2699999999995</v>
      </c>
      <c r="AG411" s="458">
        <f t="shared" si="78"/>
        <v>29.183277310924367</v>
      </c>
      <c r="AH411" s="459">
        <f t="shared" si="79"/>
        <v>-1310.7300000000005</v>
      </c>
      <c r="AI411" s="460">
        <f t="shared" si="80"/>
        <v>-0.14723994607953275</v>
      </c>
      <c r="AJ411" s="1091">
        <f t="shared" si="81"/>
        <v>-1.2379342788014784E-3</v>
      </c>
      <c r="AK411" s="459">
        <f t="shared" si="82"/>
        <v>-9.2887654320987636</v>
      </c>
      <c r="AL411" s="457">
        <f t="shared" si="83"/>
        <v>-752.38999999999987</v>
      </c>
      <c r="AM411" s="461">
        <f t="shared" si="84"/>
        <v>29.183277310924367</v>
      </c>
      <c r="AN411" s="459">
        <f t="shared" si="85"/>
        <v>8343.66</v>
      </c>
      <c r="AO411" s="466">
        <f t="shared" si="86"/>
        <v>-11.089541328300484</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26.806722689075631</v>
      </c>
      <c r="Z412" s="457">
        <f t="shared" si="75"/>
        <v>3190</v>
      </c>
      <c r="AA412" s="456"/>
      <c r="AB412" s="464"/>
      <c r="AC412" s="457"/>
      <c r="AD412" s="465"/>
      <c r="AE412" s="464">
        <f t="shared" si="76"/>
        <v>2.6764383561643834</v>
      </c>
      <c r="AF412" s="457">
        <f t="shared" si="77"/>
        <v>195.38</v>
      </c>
      <c r="AG412" s="458">
        <f t="shared" si="78"/>
        <v>-24.130284332911248</v>
      </c>
      <c r="AH412" s="459">
        <f t="shared" si="79"/>
        <v>-2994.62</v>
      </c>
      <c r="AI412" s="460">
        <f t="shared" si="80"/>
        <v>-0.93875235109717869</v>
      </c>
      <c r="AJ412" s="1091">
        <f t="shared" si="81"/>
        <v>2.8541477346776764E-3</v>
      </c>
      <c r="AK412" s="459">
        <f t="shared" si="82"/>
        <v>21.415925925925926</v>
      </c>
      <c r="AL412" s="457">
        <f t="shared" si="83"/>
        <v>1734.69</v>
      </c>
      <c r="AM412" s="461">
        <f t="shared" si="84"/>
        <v>-24.130284332911248</v>
      </c>
      <c r="AN412" s="459">
        <f t="shared" si="85"/>
        <v>-1539.31</v>
      </c>
      <c r="AO412" s="466">
        <f t="shared" si="86"/>
        <v>-0.88736892470700812</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144.62184873949579</v>
      </c>
      <c r="Z413" s="441">
        <f t="shared" si="75"/>
        <v>17210</v>
      </c>
      <c r="AA413" s="440"/>
      <c r="AB413" s="468"/>
      <c r="AC413" s="441"/>
      <c r="AD413" s="469"/>
      <c r="AE413" s="468">
        <f t="shared" si="76"/>
        <v>155.74561643835617</v>
      </c>
      <c r="AF413" s="441">
        <f t="shared" si="77"/>
        <v>11369.43</v>
      </c>
      <c r="AG413" s="442">
        <f t="shared" si="78"/>
        <v>11.123767698860377</v>
      </c>
      <c r="AH413" s="443">
        <f t="shared" si="79"/>
        <v>-5840.57</v>
      </c>
      <c r="AI413" s="470">
        <f t="shared" si="80"/>
        <v>-0.33937071470075536</v>
      </c>
      <c r="AJ413" s="1092">
        <f t="shared" si="81"/>
        <v>2.1415560464835712E-2</v>
      </c>
      <c r="AK413" s="443">
        <f t="shared" si="82"/>
        <v>160.69037037037037</v>
      </c>
      <c r="AL413" s="441">
        <f t="shared" si="83"/>
        <v>13015.92</v>
      </c>
      <c r="AM413" s="445">
        <f t="shared" si="84"/>
        <v>11.123767698860377</v>
      </c>
      <c r="AN413" s="443">
        <f t="shared" si="85"/>
        <v>-1646.4899999999998</v>
      </c>
      <c r="AO413" s="446">
        <f t="shared" si="86"/>
        <v>-0.1264981653236959</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74.661764705882348</v>
      </c>
      <c r="Z414" s="457">
        <f t="shared" si="75"/>
        <v>8884.75</v>
      </c>
      <c r="AA414" s="460"/>
      <c r="AB414" s="464"/>
      <c r="AC414" s="457"/>
      <c r="AD414" s="465"/>
      <c r="AE414" s="464">
        <f t="shared" si="76"/>
        <v>65.064246575342466</v>
      </c>
      <c r="AF414" s="457">
        <f t="shared" si="77"/>
        <v>4749.6900000000005</v>
      </c>
      <c r="AG414" s="458">
        <f t="shared" si="78"/>
        <v>-9.597518130539882</v>
      </c>
      <c r="AH414" s="459">
        <f t="shared" si="79"/>
        <v>-4135.0599999999995</v>
      </c>
      <c r="AI414" s="460">
        <f t="shared" si="80"/>
        <v>-0.46541095697684226</v>
      </c>
      <c r="AJ414" s="1091">
        <f t="shared" si="81"/>
        <v>5.0766608888502762E-2</v>
      </c>
      <c r="AK414" s="459">
        <f t="shared" si="82"/>
        <v>380.92419753086421</v>
      </c>
      <c r="AL414" s="457">
        <f t="shared" si="83"/>
        <v>30854.86</v>
      </c>
      <c r="AM414" s="461">
        <f t="shared" si="84"/>
        <v>-9.597518130539882</v>
      </c>
      <c r="AN414" s="459">
        <f t="shared" si="85"/>
        <v>-26105.17</v>
      </c>
      <c r="AO414" s="466">
        <f t="shared" si="86"/>
        <v>-0.84606347265876425</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200.2234307674531</v>
      </c>
      <c r="Z415" s="457">
        <f t="shared" si="75"/>
        <v>23826.588261326917</v>
      </c>
      <c r="AA415" s="456"/>
      <c r="AB415" s="464"/>
      <c r="AC415" s="457"/>
      <c r="AD415" s="465"/>
      <c r="AE415" s="464">
        <f t="shared" ref="AE415:AE418" si="87">IF(AF415=0,0,AF415/(J$13+J$13))</f>
        <v>267.29072727272728</v>
      </c>
      <c r="AF415" s="901">
        <f t="shared" si="77"/>
        <v>29401.980000000003</v>
      </c>
      <c r="AG415" s="959">
        <f t="shared" si="78"/>
        <v>67.067296505274186</v>
      </c>
      <c r="AH415" s="905">
        <f t="shared" si="79"/>
        <v>5575.3917386730864</v>
      </c>
      <c r="AI415" s="460">
        <f t="shared" si="80"/>
        <v>0.23399874449178018</v>
      </c>
      <c r="AJ415" s="1091">
        <f t="shared" si="81"/>
        <v>4.2914193939329562E-2</v>
      </c>
      <c r="AK415" s="459">
        <f t="shared" si="82"/>
        <v>322.00407407407403</v>
      </c>
      <c r="AL415" s="457">
        <f>IFERROR(SUMIF($C:$C,$V415,Q:Q),0)</f>
        <v>26082.329999999998</v>
      </c>
      <c r="AM415" s="461">
        <f t="shared" si="84"/>
        <v>67.067296505274186</v>
      </c>
      <c r="AN415" s="459">
        <f t="shared" si="85"/>
        <v>3319.6500000000051</v>
      </c>
      <c r="AO415" s="466">
        <f t="shared" si="86"/>
        <v>0.127275822367097</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0.21297350818790425</v>
      </c>
      <c r="Y419" s="472"/>
      <c r="Z419" s="474">
        <f>SUM(Z409:Z418)</f>
        <v>180349.90196342472</v>
      </c>
      <c r="AA419" s="473"/>
      <c r="AB419" s="472"/>
      <c r="AC419" s="474"/>
      <c r="AD419" s="475">
        <f>AF419/AF407</f>
        <v>0.19785605397822248</v>
      </c>
      <c r="AE419" s="472"/>
      <c r="AF419" s="474">
        <f>SUM(AF409:AF418)</f>
        <v>121109.78000000003</v>
      </c>
      <c r="AG419" s="476"/>
      <c r="AH419" s="477">
        <f t="shared" ref="AH419:AH451" si="88">AF419-Z419</f>
        <v>-59240.121963424695</v>
      </c>
      <c r="AI419" s="473">
        <f>AH419/Z419</f>
        <v>-0.32847326956373224</v>
      </c>
      <c r="AJ419" s="475">
        <f>IF($AL$407=0,0,AL419/$AL$407)</f>
        <v>0.23350105284221681</v>
      </c>
      <c r="AK419" s="472"/>
      <c r="AL419" s="474">
        <f>SUM(AL409:AL418)</f>
        <v>141916.95000000001</v>
      </c>
      <c r="AM419" s="478"/>
      <c r="AN419" s="477">
        <f t="shared" si="85"/>
        <v>-20807.169999999984</v>
      </c>
      <c r="AO419" s="454">
        <f t="shared" si="86"/>
        <v>-0.14661511538966968</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13053.253076923074</v>
      </c>
      <c r="AA420" s="456"/>
      <c r="AB420" s="456"/>
      <c r="AC420" s="457"/>
      <c r="AD420" s="465"/>
      <c r="AE420" s="464"/>
      <c r="AF420" s="457">
        <f>SUMIFS(BV_Data_An_Cour!$O:$O,BV_Data_An_Cour!$V:$V,$V420)</f>
        <v>9381.76</v>
      </c>
      <c r="AG420" s="458"/>
      <c r="AH420" s="459">
        <f t="shared" si="88"/>
        <v>-3671.4930769230741</v>
      </c>
      <c r="AI420" s="460">
        <f t="shared" ref="AI420:AI432" si="89">IF(Z420=0,0,AH420/Z420)</f>
        <v>-0.28127035117505911</v>
      </c>
      <c r="AJ420" s="465"/>
      <c r="AK420" s="456"/>
      <c r="AL420" s="457">
        <f>+INDEX('Réel 2024'!$A$2:$AO$501,MATCH($A420,'Réel 2024'!$A$2:$A$501,0),MATCH(F$2,'Réel 2024'!$A$2:$AO$2,0))</f>
        <v>10888.7599999999</v>
      </c>
      <c r="AM420" s="461"/>
      <c r="AN420" s="459">
        <f t="shared" si="85"/>
        <v>-1506.9999999999</v>
      </c>
      <c r="AO420" s="466">
        <f t="shared" si="86"/>
        <v>-0.13839959738298152</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43849.358974358969</v>
      </c>
      <c r="AA421" s="456"/>
      <c r="AB421" s="456"/>
      <c r="AC421" s="457"/>
      <c r="AD421" s="465"/>
      <c r="AE421" s="464"/>
      <c r="AF421" s="457">
        <f>+SUMIF($C:$C,$V421,L:L)</f>
        <v>32590.639999999999</v>
      </c>
      <c r="AG421" s="458"/>
      <c r="AH421" s="459">
        <f t="shared" si="88"/>
        <v>-11258.71897435897</v>
      </c>
      <c r="AI421" s="460">
        <f t="shared" si="89"/>
        <v>-0.25675903223448571</v>
      </c>
      <c r="AJ421" s="465"/>
      <c r="AK421" s="456"/>
      <c r="AL421" s="457">
        <f t="shared" ref="AL421:AL429" si="91">+SUMIF($C:$C,$V421,Q:Q)</f>
        <v>61274.819999999992</v>
      </c>
      <c r="AM421" s="461"/>
      <c r="AN421" s="459">
        <f t="shared" si="85"/>
        <v>-28684.179999999993</v>
      </c>
      <c r="AO421" s="466">
        <f t="shared" si="86"/>
        <v>-0.46812344777185794</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73396.516991199998</v>
      </c>
      <c r="AA422" s="440"/>
      <c r="AB422" s="440"/>
      <c r="AC422" s="441"/>
      <c r="AD422" s="469"/>
      <c r="AE422" s="468"/>
      <c r="AF422" s="441">
        <f>+SUMIF($C:$C,$V422,L:L)</f>
        <v>63394.39</v>
      </c>
      <c r="AG422" s="442"/>
      <c r="AH422" s="443">
        <f t="shared" si="88"/>
        <v>-10002.126991199999</v>
      </c>
      <c r="AI422" s="470">
        <f t="shared" si="89"/>
        <v>-0.13627522668956105</v>
      </c>
      <c r="AJ422" s="469"/>
      <c r="AK422" s="440"/>
      <c r="AL422" s="441">
        <f t="shared" si="91"/>
        <v>55941.2</v>
      </c>
      <c r="AM422" s="445"/>
      <c r="AN422" s="443">
        <f t="shared" si="85"/>
        <v>7453.1900000000023</v>
      </c>
      <c r="AO422" s="446">
        <f t="shared" si="86"/>
        <v>0.13323257277284009</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35049.351564666664</v>
      </c>
      <c r="AA423" s="456"/>
      <c r="AB423" s="456"/>
      <c r="AC423" s="457"/>
      <c r="AD423" s="465"/>
      <c r="AE423" s="464"/>
      <c r="AF423" s="457">
        <f>+SUMIF($C:$C,$V423,L:L)</f>
        <v>36325.410000000003</v>
      </c>
      <c r="AG423" s="458"/>
      <c r="AH423" s="459">
        <f t="shared" si="88"/>
        <v>1276.0584353333397</v>
      </c>
      <c r="AI423" s="460">
        <f t="shared" si="89"/>
        <v>3.6407476268968619E-2</v>
      </c>
      <c r="AJ423" s="465"/>
      <c r="AK423" s="456"/>
      <c r="AL423" s="457">
        <f t="shared" si="91"/>
        <v>19347.16</v>
      </c>
      <c r="AM423" s="461"/>
      <c r="AN423" s="459">
        <f t="shared" si="85"/>
        <v>16978.250000000004</v>
      </c>
      <c r="AO423" s="466">
        <f t="shared" si="86"/>
        <v>0.87755773974061324</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29097.697573702389</v>
      </c>
      <c r="AA424" s="456"/>
      <c r="AB424" s="456"/>
      <c r="AC424" s="457"/>
      <c r="AD424" s="465"/>
      <c r="AE424" s="464"/>
      <c r="AF424" s="457">
        <f>+SUMIF($C:$C,$V424,L:L)</f>
        <v>20059.900000000001</v>
      </c>
      <c r="AG424" s="458"/>
      <c r="AH424" s="459">
        <f t="shared" si="88"/>
        <v>-9037.797573702388</v>
      </c>
      <c r="AI424" s="460">
        <f t="shared" si="89"/>
        <v>-0.31060181139110038</v>
      </c>
      <c r="AJ424" s="465"/>
      <c r="AK424" s="456"/>
      <c r="AL424" s="457">
        <f t="shared" si="91"/>
        <v>16437.28</v>
      </c>
      <c r="AM424" s="461"/>
      <c r="AN424" s="459">
        <f t="shared" si="85"/>
        <v>3622.6200000000026</v>
      </c>
      <c r="AO424" s="466">
        <f t="shared" si="86"/>
        <v>0.22039047822997496</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093">
        <f>Z428/(SUM(Z420:Z424)+E194-F194+Z409+Z410)</f>
        <v>0.10691143409840079</v>
      </c>
      <c r="Z428" s="441">
        <f t="shared" si="90"/>
        <v>44273.264722337386</v>
      </c>
      <c r="AA428" s="440"/>
      <c r="AB428" s="440"/>
      <c r="AC428" s="441"/>
      <c r="AD428" s="469"/>
      <c r="AE428" s="468"/>
      <c r="AF428" s="441">
        <f>+SUMIF($C:$C,$V428,L:L)</f>
        <v>40478.9</v>
      </c>
      <c r="AG428" s="442"/>
      <c r="AH428" s="443">
        <f t="shared" si="88"/>
        <v>-3794.3647223373846</v>
      </c>
      <c r="AI428" s="470">
        <f t="shared" si="89"/>
        <v>-8.5703296247385097E-2</v>
      </c>
      <c r="AJ428" s="469"/>
      <c r="AK428" s="440"/>
      <c r="AL428" s="441">
        <f t="shared" si="91"/>
        <v>37610.21</v>
      </c>
      <c r="AM428" s="445"/>
      <c r="AN428" s="443">
        <f t="shared" si="85"/>
        <v>2868.6900000000023</v>
      </c>
      <c r="AO428" s="446">
        <f t="shared" si="86"/>
        <v>7.6274235107966756E-2</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094">
        <f>Z429/(SUM(Z420:Z424)+E194-F194+Z409+Z410)</f>
        <v>0.12998923264827586</v>
      </c>
      <c r="Z429" s="457">
        <f t="shared" si="90"/>
        <v>53830.048737291276</v>
      </c>
      <c r="AA429" s="456"/>
      <c r="AB429" s="456"/>
      <c r="AC429" s="457"/>
      <c r="AD429" s="465"/>
      <c r="AE429" s="464"/>
      <c r="AF429" s="457">
        <f>+SUMIF($C:$C,$V429,L:L)</f>
        <v>48908.820000000007</v>
      </c>
      <c r="AG429" s="458"/>
      <c r="AH429" s="459">
        <f t="shared" si="88"/>
        <v>-4921.2287372912688</v>
      </c>
      <c r="AI429" s="460">
        <f t="shared" si="89"/>
        <v>-9.1421591708165051E-2</v>
      </c>
      <c r="AJ429" s="465"/>
      <c r="AK429" s="456"/>
      <c r="AL429" s="457">
        <f t="shared" si="91"/>
        <v>46224.92</v>
      </c>
      <c r="AM429" s="461"/>
      <c r="AN429" s="459">
        <f t="shared" si="85"/>
        <v>2683.9000000000087</v>
      </c>
      <c r="AO429" s="466">
        <f t="shared" si="86"/>
        <v>5.8061755434082069E-2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094">
        <f>Z430/(SUM(Z420:Z424)+E194-F194+Z410+Z409)</f>
        <v>6.6972713342698637E-2</v>
      </c>
      <c r="Z430" s="457">
        <f t="shared" si="90"/>
        <v>27734.177284213107</v>
      </c>
      <c r="AA430" s="456"/>
      <c r="AB430" s="456"/>
      <c r="AC430" s="457"/>
      <c r="AD430" s="465"/>
      <c r="AE430" s="464"/>
      <c r="AF430" s="457">
        <f>+SUMIF($C:$C,$V430,L:L)</f>
        <v>22168.16</v>
      </c>
      <c r="AG430" s="458"/>
      <c r="AH430" s="459">
        <f t="shared" si="88"/>
        <v>-5566.0172842131069</v>
      </c>
      <c r="AI430" s="460">
        <f t="shared" si="89"/>
        <v>-0.20069163138224419</v>
      </c>
      <c r="AJ430" s="465"/>
      <c r="AK430" s="456"/>
      <c r="AL430" s="457">
        <f>IFERROR(SUMIF($C:$C,$V430,Q:Q),0)</f>
        <v>23067.489999999998</v>
      </c>
      <c r="AM430" s="461"/>
      <c r="AN430" s="459">
        <f t="shared" si="85"/>
        <v>-899.32999999999811</v>
      </c>
      <c r="AO430" s="466">
        <f t="shared" si="86"/>
        <v>-3.8986903213136678E-2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12092.257325043693</v>
      </c>
      <c r="AA431" s="456"/>
      <c r="AB431" s="456"/>
      <c r="AC431" s="457"/>
      <c r="AD431" s="465"/>
      <c r="AE431" s="464"/>
      <c r="AF431" s="457">
        <f>+SUMIF($C:$C,$V431,L:L)</f>
        <v>6726.63</v>
      </c>
      <c r="AG431" s="458"/>
      <c r="AH431" s="459">
        <f t="shared" si="88"/>
        <v>-5365.6273250436925</v>
      </c>
      <c r="AI431" s="479">
        <f t="shared" si="89"/>
        <v>-0.44372420969997056</v>
      </c>
      <c r="AJ431" s="465"/>
      <c r="AK431" s="456"/>
      <c r="AL431" s="457">
        <f>IFERROR(SUMIF($C:$C,$V431,Q:Q),0)</f>
        <v>8379.69</v>
      </c>
      <c r="AM431" s="461"/>
      <c r="AN431" s="459">
        <f t="shared" si="85"/>
        <v>-1653.0600000000004</v>
      </c>
      <c r="AO431" s="466">
        <f t="shared" si="86"/>
        <v>-0.19726982740411642</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0.39249961480415063</v>
      </c>
      <c r="Y433" s="472"/>
      <c r="Z433" s="474">
        <f>SUM(Z420:Z432)</f>
        <v>332375.92624973657</v>
      </c>
      <c r="AA433" s="473"/>
      <c r="AB433" s="472"/>
      <c r="AC433" s="474"/>
      <c r="AD433" s="475">
        <f>AF433/AF407</f>
        <v>0.4574902448995487</v>
      </c>
      <c r="AE433" s="480"/>
      <c r="AF433" s="474">
        <f>SUM(AF420:AF432)</f>
        <v>280034.61</v>
      </c>
      <c r="AG433" s="476"/>
      <c r="AH433" s="477">
        <f t="shared" si="88"/>
        <v>-52341.316249736585</v>
      </c>
      <c r="AI433" s="473">
        <f>AH433/Z433</f>
        <v>-0.15747625539645432</v>
      </c>
      <c r="AJ433" s="475">
        <f>IF($AL$407=0,0,AL433/$AL$407)</f>
        <v>0.45933094093815063</v>
      </c>
      <c r="AK433" s="472"/>
      <c r="AL433" s="474">
        <f>SUM(AL420:AL432)</f>
        <v>279171.52999999985</v>
      </c>
      <c r="AM433" s="482"/>
      <c r="AN433" s="477">
        <f t="shared" ref="AN433:AN451" si="92">AF433-AL433</f>
        <v>863.08000000013271</v>
      </c>
      <c r="AO433" s="454">
        <f t="shared" ref="AO433:AO461" si="93">IF(AL433=0,0,AN433/AL433)</f>
        <v>3.0915759927243767E-3</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9895</v>
      </c>
      <c r="AA434" s="484"/>
      <c r="AB434" s="484"/>
      <c r="AC434" s="485"/>
      <c r="AD434" s="486"/>
      <c r="AE434" s="487"/>
      <c r="AF434" s="485">
        <f t="shared" ref="AF434:AF448" si="95">+SUMIF($C:$C,$V434,L:L)</f>
        <v>4035.4</v>
      </c>
      <c r="AG434" s="486"/>
      <c r="AH434" s="488">
        <f t="shared" si="88"/>
        <v>-5859.6</v>
      </c>
      <c r="AI434" s="489">
        <f t="shared" ref="AI434:AI451" si="96">IF(Z434=0,0,AH434/Z434)</f>
        <v>-0.59217786760990399</v>
      </c>
      <c r="AJ434" s="486"/>
      <c r="AK434" s="484"/>
      <c r="AL434" s="485">
        <f t="shared" ref="AL434:AL448" si="97">+SUMIF($C:$C,$V434,Q:Q)</f>
        <v>19234.120000000003</v>
      </c>
      <c r="AM434" s="490"/>
      <c r="AN434" s="488">
        <f t="shared" si="92"/>
        <v>-15198.720000000003</v>
      </c>
      <c r="AO434" s="462">
        <f t="shared" si="93"/>
        <v>-0.7901957562914238</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2753.65</v>
      </c>
      <c r="AG435" s="458"/>
      <c r="AH435" s="459">
        <f t="shared" si="88"/>
        <v>-1791.7311628057082</v>
      </c>
      <c r="AI435" s="460">
        <f t="shared" si="96"/>
        <v>-0.39418721964776521</v>
      </c>
      <c r="AJ435" s="465"/>
      <c r="AK435" s="456"/>
      <c r="AL435" s="457">
        <f t="shared" si="97"/>
        <v>5050.9399999999996</v>
      </c>
      <c r="AM435" s="461"/>
      <c r="AN435" s="459">
        <f t="shared" si="92"/>
        <v>-2297.2899999999995</v>
      </c>
      <c r="AO435" s="466">
        <f t="shared" si="93"/>
        <v>-0.45482425053554382</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25709.26466666667</v>
      </c>
      <c r="AA436" s="440"/>
      <c r="AB436" s="440"/>
      <c r="AC436" s="441"/>
      <c r="AD436" s="469"/>
      <c r="AE436" s="468"/>
      <c r="AF436" s="441">
        <f t="shared" si="95"/>
        <v>20490.019999999997</v>
      </c>
      <c r="AG436" s="442"/>
      <c r="AH436" s="443">
        <f t="shared" si="88"/>
        <v>-5219.2446666666729</v>
      </c>
      <c r="AI436" s="470">
        <f t="shared" si="96"/>
        <v>-0.20301026631203814</v>
      </c>
      <c r="AJ436" s="469"/>
      <c r="AK436" s="440"/>
      <c r="AL436" s="441">
        <f t="shared" si="97"/>
        <v>21704.23</v>
      </c>
      <c r="AM436" s="445"/>
      <c r="AN436" s="443">
        <f t="shared" si="92"/>
        <v>-1214.2100000000028</v>
      </c>
      <c r="AO436" s="446">
        <f t="shared" si="93"/>
        <v>-5.5943472770054632E-2</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23440</v>
      </c>
      <c r="AA437" s="456"/>
      <c r="AB437" s="456"/>
      <c r="AC437" s="457"/>
      <c r="AD437" s="465"/>
      <c r="AE437" s="464"/>
      <c r="AF437" s="457">
        <f t="shared" si="95"/>
        <v>22761.65</v>
      </c>
      <c r="AG437" s="458"/>
      <c r="AH437" s="459">
        <f t="shared" si="88"/>
        <v>-678.34999999999854</v>
      </c>
      <c r="AI437" s="460">
        <f t="shared" si="96"/>
        <v>-2.8939846416382191E-2</v>
      </c>
      <c r="AJ437" s="465"/>
      <c r="AK437" s="456"/>
      <c r="AL437" s="457">
        <f t="shared" si="97"/>
        <v>24782.19</v>
      </c>
      <c r="AM437" s="461"/>
      <c r="AN437" s="459">
        <f t="shared" si="92"/>
        <v>-2020.5399999999972</v>
      </c>
      <c r="AO437" s="466">
        <f t="shared" si="93"/>
        <v>-8.1531938864160006E-2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4750</v>
      </c>
      <c r="AA438" s="456"/>
      <c r="AB438" s="456"/>
      <c r="AC438" s="457"/>
      <c r="AD438" s="465"/>
      <c r="AE438" s="464"/>
      <c r="AF438" s="457">
        <f t="shared" si="95"/>
        <v>6226.39</v>
      </c>
      <c r="AG438" s="458"/>
      <c r="AH438" s="459">
        <f t="shared" si="88"/>
        <v>1476.3900000000003</v>
      </c>
      <c r="AI438" s="460">
        <f t="shared" si="96"/>
        <v>0.31081894736842114</v>
      </c>
      <c r="AJ438" s="465"/>
      <c r="AK438" s="456"/>
      <c r="AL438" s="457">
        <f t="shared" si="97"/>
        <v>3076.33</v>
      </c>
      <c r="AM438" s="461"/>
      <c r="AN438" s="459">
        <f t="shared" si="92"/>
        <v>3150.0600000000004</v>
      </c>
      <c r="AO438" s="466">
        <f t="shared" si="93"/>
        <v>1.0239668696141182</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36945.776346529616</v>
      </c>
      <c r="AA439" s="456"/>
      <c r="AB439" s="456"/>
      <c r="AC439" s="457"/>
      <c r="AD439" s="465"/>
      <c r="AE439" s="464"/>
      <c r="AF439" s="457">
        <f t="shared" si="95"/>
        <v>33252.050000000003</v>
      </c>
      <c r="AG439" s="458"/>
      <c r="AH439" s="459">
        <f t="shared" si="88"/>
        <v>-3693.7263465296128</v>
      </c>
      <c r="AI439" s="460">
        <f t="shared" si="96"/>
        <v>-9.9976958445388606E-2</v>
      </c>
      <c r="AJ439" s="465"/>
      <c r="AK439" s="456"/>
      <c r="AL439" s="457">
        <f t="shared" si="97"/>
        <v>49023.11</v>
      </c>
      <c r="AM439" s="461"/>
      <c r="AN439" s="459">
        <f t="shared" si="92"/>
        <v>-15771.059999999998</v>
      </c>
      <c r="AO439" s="466">
        <f t="shared" si="93"/>
        <v>-0.32170663999081245</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5170</v>
      </c>
      <c r="AA441" s="456"/>
      <c r="AB441" s="464"/>
      <c r="AC441" s="457"/>
      <c r="AD441" s="465"/>
      <c r="AE441" s="464"/>
      <c r="AF441" s="457">
        <f t="shared" si="95"/>
        <v>6976.85</v>
      </c>
      <c r="AG441" s="458"/>
      <c r="AH441" s="459">
        <f t="shared" si="88"/>
        <v>1806.8500000000004</v>
      </c>
      <c r="AI441" s="460">
        <f t="shared" si="96"/>
        <v>0.34948742746615097</v>
      </c>
      <c r="AJ441" s="465"/>
      <c r="AK441" s="456"/>
      <c r="AL441" s="457">
        <f t="shared" si="97"/>
        <v>4874.7699999999995</v>
      </c>
      <c r="AM441" s="461"/>
      <c r="AN441" s="459">
        <f t="shared" si="92"/>
        <v>2102.0800000000008</v>
      </c>
      <c r="AO441" s="466">
        <f t="shared" si="93"/>
        <v>0.43121624199705855</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1000</v>
      </c>
      <c r="AA442" s="456"/>
      <c r="AB442" s="456"/>
      <c r="AC442" s="457"/>
      <c r="AD442" s="465"/>
      <c r="AE442" s="464"/>
      <c r="AF442" s="457">
        <f t="shared" si="95"/>
        <v>1063.3900000000001</v>
      </c>
      <c r="AG442" s="458"/>
      <c r="AH442" s="459">
        <f t="shared" si="88"/>
        <v>63.3900000000001</v>
      </c>
      <c r="AI442" s="479">
        <f t="shared" si="96"/>
        <v>6.3390000000000099E-2</v>
      </c>
      <c r="AJ442" s="465"/>
      <c r="AK442" s="456"/>
      <c r="AL442" s="457">
        <f t="shared" si="97"/>
        <v>510.87</v>
      </c>
      <c r="AM442" s="461"/>
      <c r="AN442" s="459">
        <f t="shared" si="92"/>
        <v>552.5200000000001</v>
      </c>
      <c r="AO442" s="466">
        <f t="shared" si="93"/>
        <v>1.0815275901892851</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2303.5</v>
      </c>
      <c r="AA443" s="456"/>
      <c r="AB443" s="456"/>
      <c r="AC443" s="457"/>
      <c r="AD443" s="465"/>
      <c r="AE443" s="464"/>
      <c r="AF443" s="457">
        <f t="shared" si="95"/>
        <v>2642.84</v>
      </c>
      <c r="AG443" s="458"/>
      <c r="AH443" s="459">
        <f t="shared" si="88"/>
        <v>339.34000000000015</v>
      </c>
      <c r="AI443" s="460">
        <f t="shared" si="96"/>
        <v>0.14731495550249626</v>
      </c>
      <c r="AJ443" s="465"/>
      <c r="AK443" s="456"/>
      <c r="AL443" s="457">
        <f t="shared" si="97"/>
        <v>2621.99</v>
      </c>
      <c r="AM443" s="461"/>
      <c r="AN443" s="459">
        <f t="shared" si="92"/>
        <v>20.850000000000364</v>
      </c>
      <c r="AO443" s="466">
        <f t="shared" si="93"/>
        <v>7.9519754079917793E-3</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896.875</v>
      </c>
      <c r="AA444" s="456"/>
      <c r="AB444" s="456"/>
      <c r="AC444" s="457"/>
      <c r="AD444" s="465"/>
      <c r="AE444" s="464"/>
      <c r="AF444" s="457">
        <f t="shared" si="95"/>
        <v>530.16000000000008</v>
      </c>
      <c r="AG444" s="458"/>
      <c r="AH444" s="459">
        <f t="shared" si="88"/>
        <v>-366.71499999999992</v>
      </c>
      <c r="AI444" s="479">
        <f t="shared" si="96"/>
        <v>-0.40888083623693372</v>
      </c>
      <c r="AJ444" s="465"/>
      <c r="AK444" s="456"/>
      <c r="AL444" s="457">
        <f t="shared" si="97"/>
        <v>773.05000000000007</v>
      </c>
      <c r="AM444" s="461"/>
      <c r="AN444" s="459">
        <f t="shared" si="92"/>
        <v>-242.89</v>
      </c>
      <c r="AO444" s="466">
        <f t="shared" si="93"/>
        <v>-0.31419701183623305</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712.24999999999989</v>
      </c>
      <c r="AA445" s="456"/>
      <c r="AB445" s="456"/>
      <c r="AC445" s="457"/>
      <c r="AD445" s="465"/>
      <c r="AE445" s="464"/>
      <c r="AF445" s="457">
        <f t="shared" si="95"/>
        <v>-352.82</v>
      </c>
      <c r="AG445" s="458"/>
      <c r="AH445" s="459">
        <f t="shared" si="88"/>
        <v>-1065.07</v>
      </c>
      <c r="AI445" s="460">
        <f t="shared" si="96"/>
        <v>-1.4953597753597756</v>
      </c>
      <c r="AJ445" s="465"/>
      <c r="AK445" s="456"/>
      <c r="AL445" s="457">
        <f t="shared" si="97"/>
        <v>1197.54</v>
      </c>
      <c r="AM445" s="461"/>
      <c r="AN445" s="459">
        <f t="shared" si="92"/>
        <v>-1550.36</v>
      </c>
      <c r="AO445" s="466">
        <f t="shared" si="93"/>
        <v>-1.2946206389765686</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375</v>
      </c>
      <c r="AA446" s="456"/>
      <c r="AB446" s="464"/>
      <c r="AC446" s="457"/>
      <c r="AD446" s="465"/>
      <c r="AE446" s="464"/>
      <c r="AF446" s="457">
        <f t="shared" si="95"/>
        <v>1058.21</v>
      </c>
      <c r="AG446" s="458"/>
      <c r="AH446" s="459">
        <f t="shared" si="88"/>
        <v>683.21</v>
      </c>
      <c r="AI446" s="479">
        <f t="shared" si="96"/>
        <v>1.8218933333333334</v>
      </c>
      <c r="AJ446" s="465"/>
      <c r="AK446" s="456"/>
      <c r="AL446" s="457">
        <f t="shared" si="97"/>
        <v>222.53</v>
      </c>
      <c r="AM446" s="461"/>
      <c r="AN446" s="459">
        <f t="shared" si="92"/>
        <v>835.68000000000006</v>
      </c>
      <c r="AO446" s="466">
        <f t="shared" si="93"/>
        <v>3.755358828023188</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4500</v>
      </c>
      <c r="AA447" s="456"/>
      <c r="AB447" s="464"/>
      <c r="AC447" s="457"/>
      <c r="AD447" s="465"/>
      <c r="AE447" s="464"/>
      <c r="AF447" s="457">
        <f t="shared" si="95"/>
        <v>2749.35</v>
      </c>
      <c r="AG447" s="458"/>
      <c r="AH447" s="459">
        <f t="shared" si="88"/>
        <v>-1750.65</v>
      </c>
      <c r="AI447" s="460">
        <f t="shared" si="96"/>
        <v>-0.38903333333333334</v>
      </c>
      <c r="AJ447" s="465"/>
      <c r="AK447" s="456"/>
      <c r="AL447" s="457">
        <f t="shared" si="97"/>
        <v>6179.7800000000007</v>
      </c>
      <c r="AM447" s="461"/>
      <c r="AN447" s="459">
        <f t="shared" si="92"/>
        <v>-3430.4300000000007</v>
      </c>
      <c r="AO447" s="466">
        <f t="shared" si="93"/>
        <v>-0.55510552155578363</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094">
        <f>Z448/Z406</f>
        <v>1.46030060624578E-3</v>
      </c>
      <c r="Z448" s="457">
        <f t="shared" si="94"/>
        <v>8758.4530820832806</v>
      </c>
      <c r="AA448" s="456"/>
      <c r="AB448" s="464"/>
      <c r="AC448" s="457"/>
      <c r="AD448" s="465"/>
      <c r="AE448" s="464"/>
      <c r="AF448" s="901">
        <f t="shared" si="95"/>
        <v>8526.26</v>
      </c>
      <c r="AG448" s="458"/>
      <c r="AH448" s="905">
        <f t="shared" si="88"/>
        <v>-232.19308208328039</v>
      </c>
      <c r="AI448" s="460">
        <f t="shared" si="96"/>
        <v>-2.6510741098592614E-2</v>
      </c>
      <c r="AJ448" s="465"/>
      <c r="AK448" s="456"/>
      <c r="AL448" s="457">
        <f t="shared" si="97"/>
        <v>8311.6</v>
      </c>
      <c r="AM448" s="461"/>
      <c r="AN448" s="459">
        <f t="shared" si="92"/>
        <v>214.65999999999985</v>
      </c>
      <c r="AO448" s="466">
        <f t="shared" si="93"/>
        <v>2.5826555657153839E-2</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0.15233666207946711</v>
      </c>
      <c r="Y452" s="472"/>
      <c r="Z452" s="474">
        <f>+SUM(Z434:Z451)</f>
        <v>129001.50025808526</v>
      </c>
      <c r="AA452" s="473"/>
      <c r="AB452" s="472"/>
      <c r="AC452" s="474"/>
      <c r="AD452" s="475">
        <f>AF452/AF407</f>
        <v>0.18413895685772841</v>
      </c>
      <c r="AE452" s="472"/>
      <c r="AF452" s="474">
        <f>+SUM(AF434:AF451)</f>
        <v>112713.40000000001</v>
      </c>
      <c r="AG452" s="481"/>
      <c r="AH452" s="494">
        <f>+SUM(AH434:AH451)</f>
        <v>-16288.100258085273</v>
      </c>
      <c r="AI452" s="473">
        <f>AH452/Z452</f>
        <v>-0.12626287466036198</v>
      </c>
      <c r="AJ452" s="475">
        <f>IF($AL$407=0,0,AL452/$AL$407)</f>
        <v>0.24279078387471464</v>
      </c>
      <c r="AK452" s="473"/>
      <c r="AL452" s="474">
        <f>+SUM(AL434:AL451)</f>
        <v>147563.05000000002</v>
      </c>
      <c r="AM452" s="482"/>
      <c r="AN452" s="477">
        <f>+SUM(AN434:AN451)</f>
        <v>-34849.649999999994</v>
      </c>
      <c r="AO452" s="495">
        <f t="shared" si="93"/>
        <v>-0.23616786180551289</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79500</v>
      </c>
      <c r="AA453" s="456"/>
      <c r="AB453" s="464"/>
      <c r="AC453" s="457"/>
      <c r="AD453" s="465"/>
      <c r="AE453" s="464"/>
      <c r="AF453" s="457">
        <f>SUMIFS(BV_Data_An_Cour!$O:$O,BV_Data_An_Cour!$V:$V,$V453)</f>
        <v>79750</v>
      </c>
      <c r="AG453" s="458"/>
      <c r="AH453" s="459">
        <f t="shared" ref="AH453:AH461" si="98">AF453-Z453</f>
        <v>250</v>
      </c>
      <c r="AI453" s="460">
        <f t="shared" ref="AI453:AI461" si="99">IF(Z453=0,0,AH453/Z453)</f>
        <v>3.1446540880503146E-3</v>
      </c>
      <c r="AJ453" s="465"/>
      <c r="AK453" s="456"/>
      <c r="AL453" s="457">
        <f>+INDEX('Réel 2024'!$A$2:$AO$501,MATCH($A453,'Réel 2024'!$A$2:$A$501,0),MATCH(F$2,'Réel 2024'!$A$2:$AO$2,0))</f>
        <v>36000</v>
      </c>
      <c r="AM453" s="461"/>
      <c r="AN453" s="459">
        <f t="shared" ref="AN453:AN461" si="100">AF453-AL453</f>
        <v>43750</v>
      </c>
      <c r="AO453" s="466">
        <f t="shared" si="93"/>
        <v>1.2152777777777777</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16000</v>
      </c>
      <c r="AA454" s="456"/>
      <c r="AB454" s="464"/>
      <c r="AC454" s="457"/>
      <c r="AD454" s="465"/>
      <c r="AE454" s="464"/>
      <c r="AF454" s="457">
        <f>SUMIFS(BV_Data_An_Cour!$O:$O,BV_Data_An_Cour!$V:$V,$V454)</f>
        <v>16500</v>
      </c>
      <c r="AG454" s="458"/>
      <c r="AH454" s="459">
        <f t="shared" si="98"/>
        <v>500</v>
      </c>
      <c r="AI454" s="460">
        <f t="shared" si="99"/>
        <v>3.125E-2</v>
      </c>
      <c r="AJ454" s="465"/>
      <c r="AK454" s="456"/>
      <c r="AL454" s="457">
        <f>+INDEX('Réel 2024'!$A$2:$AO$501,MATCH($A454,'Réel 2024'!$A$2:$A$501,0),MATCH(F$2,'Réel 2024'!$A$2:$AO$2,0))</f>
        <v>5423</v>
      </c>
      <c r="AM454" s="461"/>
      <c r="AN454" s="459">
        <f t="shared" si="100"/>
        <v>11077</v>
      </c>
      <c r="AO454" s="466">
        <f t="shared" si="93"/>
        <v>2.0425963488843815</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1500</v>
      </c>
      <c r="AA455" s="440"/>
      <c r="AB455" s="468"/>
      <c r="AC455" s="441"/>
      <c r="AD455" s="469"/>
      <c r="AE455" s="468"/>
      <c r="AF455" s="441">
        <f>SUMIFS(BV_Data_An_Cour!$O:$O,BV_Data_An_Cour!$V:$V,$V455)</f>
        <v>1500</v>
      </c>
      <c r="AG455" s="442"/>
      <c r="AH455" s="443">
        <f t="shared" si="98"/>
        <v>0</v>
      </c>
      <c r="AI455" s="470">
        <f t="shared" si="99"/>
        <v>0</v>
      </c>
      <c r="AJ455" s="469"/>
      <c r="AK455" s="440"/>
      <c r="AL455" s="441">
        <f>+INDEX('Réel 2024'!$A$2:$AO$501,MATCH($A455,'Réel 2024'!$A$2:$A$501,0),MATCH(F$2,'Réel 2024'!$A$2:$AO$2,0))</f>
        <v>4909</v>
      </c>
      <c r="AM455" s="445"/>
      <c r="AN455" s="443">
        <f t="shared" si="100"/>
        <v>-3409</v>
      </c>
      <c r="AO455" s="446">
        <f t="shared" si="93"/>
        <v>-0.69443878590344266</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4000</v>
      </c>
      <c r="AG457" s="442"/>
      <c r="AH457" s="443">
        <f t="shared" si="98"/>
        <v>-344.25</v>
      </c>
      <c r="AI457" s="470">
        <f t="shared" si="99"/>
        <v>-7.924267710191632E-2</v>
      </c>
      <c r="AJ457" s="469"/>
      <c r="AK457" s="440"/>
      <c r="AL457" s="441">
        <f>+INDEX('Réel 2024'!$A$2:$AO$501,MATCH($A457,'Réel 2024'!$A$2:$A$501,0),MATCH(F$2,'Réel 2024'!$A$2:$AO$2,0))</f>
        <v>4344.25</v>
      </c>
      <c r="AM457" s="445"/>
      <c r="AN457" s="443">
        <f t="shared" si="100"/>
        <v>-344.25</v>
      </c>
      <c r="AO457" s="446">
        <f t="shared" si="93"/>
        <v>-7.924267710191632E-2</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7533.3333333333321</v>
      </c>
      <c r="AA458" s="496"/>
      <c r="AB458" s="497"/>
      <c r="AC458" s="457"/>
      <c r="AD458" s="465"/>
      <c r="AE458" s="464"/>
      <c r="AF458" s="1286">
        <f>SUMIFS(BV_Data_An_Cour!$O:$O,BV_Data_An_Cour!$V:$V,$V458)</f>
        <v>8156.01</v>
      </c>
      <c r="AG458" s="458"/>
      <c r="AH458" s="459">
        <f t="shared" si="98"/>
        <v>622.6766666666681</v>
      </c>
      <c r="AI458" s="460">
        <f t="shared" si="99"/>
        <v>8.2656194690265694E-2</v>
      </c>
      <c r="AJ458" s="465"/>
      <c r="AK458" s="456"/>
      <c r="AL458" s="457">
        <f>+INDEX('Réel 2024'!$A$2:$AO$501,MATCH($A458,'Réel 2024'!$A$2:$A$501,0),MATCH(F$2,'Réel 2024'!$A$2:$AO$2,0))</f>
        <v>7750.01</v>
      </c>
      <c r="AM458" s="461"/>
      <c r="AN458" s="459">
        <f t="shared" si="100"/>
        <v>406</v>
      </c>
      <c r="AO458" s="466">
        <f t="shared" si="93"/>
        <v>5.2387029178026866E-2</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2767</v>
      </c>
      <c r="AA459" s="456"/>
      <c r="AB459" s="464"/>
      <c r="AC459" s="457"/>
      <c r="AD459" s="465"/>
      <c r="AE459" s="464"/>
      <c r="AF459" s="457">
        <f>SUMIFS(BV_Data_An_Cour!$O:$O,BV_Data_An_Cour!$V:$V,$V459)</f>
        <v>7049.5999999999995</v>
      </c>
      <c r="AG459" s="458"/>
      <c r="AH459" s="459">
        <f t="shared" si="98"/>
        <v>4282.5999999999995</v>
      </c>
      <c r="AI459" s="460">
        <f t="shared" si="99"/>
        <v>1.547741235995663</v>
      </c>
      <c r="AJ459" s="465"/>
      <c r="AK459" s="456"/>
      <c r="AL459" s="457">
        <f>+INDEX('Réel 2024'!$A$2:$AO$501,MATCH($A459,'Réel 2024'!$A$2:$A$501,0),MATCH(F$2,'Réel 2024'!$A$2:$AO$2,0))</f>
        <v>6423.3299999999899</v>
      </c>
      <c r="AM459" s="461"/>
      <c r="AN459" s="459">
        <f t="shared" si="100"/>
        <v>626.27000000000953</v>
      </c>
      <c r="AO459" s="466">
        <f t="shared" si="93"/>
        <v>9.7499272184367061E-2</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88</v>
      </c>
      <c r="AG460" s="442"/>
      <c r="AH460" s="443">
        <f t="shared" si="98"/>
        <v>-1276.5623407645369</v>
      </c>
      <c r="AI460" s="470">
        <f t="shared" si="99"/>
        <v>-0.93551045828313317</v>
      </c>
      <c r="AJ460" s="469"/>
      <c r="AK460" s="440"/>
      <c r="AL460" s="441">
        <f>+INDEX('Réel 2024'!$A$2:$AO$501,MATCH($A460,'Réel 2024'!$A$2:$A$501,0),MATCH(F$2,'Réel 2024'!$A$2:$AO$2,0))</f>
        <v>1668.09</v>
      </c>
      <c r="AM460" s="445"/>
      <c r="AN460" s="443">
        <f t="shared" si="100"/>
        <v>-1580.09</v>
      </c>
      <c r="AO460" s="446">
        <f t="shared" si="93"/>
        <v>-0.94724505272497284</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1250</v>
      </c>
      <c r="AA461" s="456"/>
      <c r="AB461" s="464"/>
      <c r="AC461" s="457"/>
      <c r="AD461" s="465"/>
      <c r="AE461" s="464"/>
      <c r="AF461" s="457">
        <f>SUMIFS(BV_Data_An_Cour!$O:$O,BV_Data_An_Cour!$V:$V,$V461)</f>
        <v>0</v>
      </c>
      <c r="AG461" s="458"/>
      <c r="AH461" s="459">
        <f t="shared" si="98"/>
        <v>-1250</v>
      </c>
      <c r="AI461" s="498">
        <f t="shared" si="99"/>
        <v>-1</v>
      </c>
      <c r="AJ461" s="456"/>
      <c r="AK461" s="456"/>
      <c r="AL461" s="457">
        <f>+INDEX('Réel 2024'!$A$2:$AO$501,MATCH($A461,'Réel 2024'!$A$2:$A$501,0),MATCH(F$2,'Réel 2024'!$A$2:$AO$2,0))</f>
        <v>868.6</v>
      </c>
      <c r="AM461" s="461"/>
      <c r="AN461" s="459">
        <f t="shared" si="100"/>
        <v>-868.6</v>
      </c>
      <c r="AO461" s="466">
        <f t="shared" si="93"/>
        <v>-1</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0.13492755378209431</v>
      </c>
      <c r="Y466" s="472"/>
      <c r="Z466" s="474">
        <f>SUM(Z453:Z465)</f>
        <v>114259.14567409786</v>
      </c>
      <c r="AA466" s="473"/>
      <c r="AB466" s="472"/>
      <c r="AC466" s="474"/>
      <c r="AD466" s="475">
        <f>AF466/AF407</f>
        <v>0.19121318540885812</v>
      </c>
      <c r="AE466" s="472"/>
      <c r="AF466" s="474">
        <f>SUM(AF453:AF465)</f>
        <v>117043.61</v>
      </c>
      <c r="AG466" s="481"/>
      <c r="AH466" s="494">
        <f>SUM(AH453:AH465)</f>
        <v>2784.4643259021304</v>
      </c>
      <c r="AI466" s="473">
        <f>IF(Z466=0,0,AH466/Z466)</f>
        <v>2.4369728212779371E-2</v>
      </c>
      <c r="AJ466" s="475">
        <f>IF($AL$407=0,0,AL466/$AL$407)</f>
        <v>0.11087306574105783</v>
      </c>
      <c r="AK466" s="473"/>
      <c r="AL466" s="474">
        <f>SUM(AL453:AL465)</f>
        <v>67386.28</v>
      </c>
      <c r="AM466" s="482"/>
      <c r="AN466" s="477">
        <f>SUM(AN453:AN465)</f>
        <v>49657.330000000016</v>
      </c>
      <c r="AO466" s="495">
        <f t="shared" ref="AO466:AO483" si="101">IF(AL466=0,0,AN466/AL466)</f>
        <v>0.73690564310717277</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0.89273733885361639</v>
      </c>
      <c r="Y468" s="472"/>
      <c r="Z468" s="474">
        <f>Z419+Z433+Z452+Z466</f>
        <v>755986.47414534446</v>
      </c>
      <c r="AA468" s="473"/>
      <c r="AB468" s="472"/>
      <c r="AC468" s="474"/>
      <c r="AD468" s="475">
        <f>AF468/AF407</f>
        <v>1.0306984411443578</v>
      </c>
      <c r="AE468" s="472"/>
      <c r="AF468" s="474">
        <f>AF419+AF433+AF452+AF466</f>
        <v>630901.4</v>
      </c>
      <c r="AG468" s="481"/>
      <c r="AH468" s="494">
        <f t="shared" si="102"/>
        <v>-125085.07414534444</v>
      </c>
      <c r="AI468" s="473">
        <f>AH468/Z468</f>
        <v>-0.16545940757307231</v>
      </c>
      <c r="AJ468" s="475">
        <f>IF($AL$407=0,0,AL468/$AL$407)</f>
        <v>1.04649584339614</v>
      </c>
      <c r="AK468" s="473"/>
      <c r="AL468" s="474">
        <f>AL419+AL433+AL452+AL466</f>
        <v>636037.80999999994</v>
      </c>
      <c r="AM468" s="482"/>
      <c r="AN468" s="477">
        <f t="shared" si="103"/>
        <v>-5136.4099999999162</v>
      </c>
      <c r="AO468" s="454">
        <f t="shared" si="101"/>
        <v>-8.0756362581650872E-3</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20000</v>
      </c>
      <c r="AA469" s="502"/>
      <c r="AB469" s="503"/>
      <c r="AC469" s="485"/>
      <c r="AD469" s="504"/>
      <c r="AE469" s="503"/>
      <c r="AF469" s="457">
        <f>-SUMIFS(BV_Data_An_Cour!$O:$O,BV_Data_An_Cour!$V:$V,$V469)</f>
        <v>50186.14</v>
      </c>
      <c r="AG469" s="505"/>
      <c r="AH469" s="459">
        <f t="shared" si="102"/>
        <v>30186.14</v>
      </c>
      <c r="AI469" s="498">
        <f>IF(AH469=0,0,AH469/Z469)</f>
        <v>1.509307</v>
      </c>
      <c r="AJ469" s="504"/>
      <c r="AK469" s="502"/>
      <c r="AL469" s="506">
        <f>+INDEX('Réel 2024'!$A$2:$AO$501,MATCH($A469,'Réel 2024'!$A$2:$A$501,0),MATCH(F$2,'Réel 2024'!$A$2:$AO$2,0))</f>
        <v>42727.95</v>
      </c>
      <c r="AM469" s="507"/>
      <c r="AN469" s="459">
        <f t="shared" si="103"/>
        <v>7458.1900000000023</v>
      </c>
      <c r="AO469" s="466">
        <f t="shared" si="101"/>
        <v>0.17455061616576509</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100952.73340465195</v>
      </c>
      <c r="AA470" s="496"/>
      <c r="AB470" s="459"/>
      <c r="AC470" s="457"/>
      <c r="AD470" s="508"/>
      <c r="AE470" s="509"/>
      <c r="AF470" s="457">
        <f t="shared" ref="AF470:AF476" si="105">+SUMIF($C:$C,$V470,L:L)</f>
        <v>129222.85</v>
      </c>
      <c r="AG470" s="510"/>
      <c r="AH470" s="459">
        <f t="shared" si="102"/>
        <v>28270.116595348052</v>
      </c>
      <c r="AI470" s="479">
        <f>IF(Z470=0,0,AH470/Z470)</f>
        <v>0.28003319614964828</v>
      </c>
      <c r="AJ470" s="511"/>
      <c r="AK470" s="496"/>
      <c r="AL470" s="512">
        <f t="shared" ref="AL470:AL479" si="106">+SUMIF($C:$C,$V470,Q:Q)</f>
        <v>69794</v>
      </c>
      <c r="AM470" s="508"/>
      <c r="AN470" s="459">
        <f t="shared" si="103"/>
        <v>59428.850000000006</v>
      </c>
      <c r="AO470" s="466">
        <f t="shared" si="101"/>
        <v>0.85148938304152233</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35000</v>
      </c>
      <c r="AA471" s="496"/>
      <c r="AB471" s="497"/>
      <c r="AC471" s="457"/>
      <c r="AD471" s="511"/>
      <c r="AF471" s="457">
        <f t="shared" si="105"/>
        <v>37700</v>
      </c>
      <c r="AG471" s="510"/>
      <c r="AH471" s="459">
        <f t="shared" si="102"/>
        <v>2700</v>
      </c>
      <c r="AI471" s="479">
        <f t="shared" ref="AI471:AI480" si="107">IF(AH471=0,0,AH471/Z471)</f>
        <v>7.7142857142857138E-2</v>
      </c>
      <c r="AJ471" s="511"/>
      <c r="AK471" s="496"/>
      <c r="AL471" s="512">
        <f t="shared" si="106"/>
        <v>0</v>
      </c>
      <c r="AM471" s="508"/>
      <c r="AN471" s="459">
        <f t="shared" si="103"/>
        <v>37700</v>
      </c>
      <c r="AO471" s="466">
        <f t="shared" si="101"/>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55971.149999999994</v>
      </c>
      <c r="AA480" s="496"/>
      <c r="AB480" s="497"/>
      <c r="AC480" s="457"/>
      <c r="AD480" s="513">
        <f>AF480/499</f>
        <v>68.823647294589179</v>
      </c>
      <c r="AE480" s="496">
        <f>(AF480/399)/(J13+J15+J97)</f>
        <v>1.1631443473548735</v>
      </c>
      <c r="AF480" s="457">
        <f>+SUMIF($C:$C,$V480,L:L)</f>
        <v>34343</v>
      </c>
      <c r="AG480" s="510"/>
      <c r="AH480" s="459">
        <f t="shared" si="102"/>
        <v>-21628.149999999994</v>
      </c>
      <c r="AI480" s="479">
        <f t="shared" si="107"/>
        <v>-0.38641603754791526</v>
      </c>
      <c r="AJ480" s="511"/>
      <c r="AK480" s="496"/>
      <c r="AL480" s="512">
        <f>+INDEX('Réel 2024'!$A$2:$AO$501,MATCH($A480,'Réel 2024'!$A$2:$A$501,0),MATCH(F$2,'Réel 2024'!$A$2:$AO$2,0))</f>
        <v>37728</v>
      </c>
      <c r="AM480" s="508"/>
      <c r="AN480" s="459">
        <f t="shared" si="103"/>
        <v>-3385</v>
      </c>
      <c r="AO480" s="466">
        <f t="shared" si="101"/>
        <v>-8.9721162001696358E-2</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0.2502589268201898</v>
      </c>
      <c r="Y481" s="493"/>
      <c r="Z481" s="474">
        <f>SUM(Z469:Z480)</f>
        <v>211923.88340465195</v>
      </c>
      <c r="AA481" s="473"/>
      <c r="AB481" s="493"/>
      <c r="AC481" s="474"/>
      <c r="AD481" s="473">
        <f>AF481/+AF407</f>
        <v>0.41079505310282494</v>
      </c>
      <c r="AE481" s="493"/>
      <c r="AF481" s="474">
        <f>SUM(AF469:AF480)</f>
        <v>251451.99</v>
      </c>
      <c r="AG481" s="481"/>
      <c r="AH481" s="477">
        <f t="shared" si="102"/>
        <v>39528.106595348043</v>
      </c>
      <c r="AI481" s="473">
        <f>AH481/Z481</f>
        <v>0.18652030134740519</v>
      </c>
      <c r="AJ481" s="514"/>
      <c r="AK481" s="515"/>
      <c r="AL481" s="474">
        <f>SUM(AL469:AL480)</f>
        <v>150249.95000000001</v>
      </c>
      <c r="AM481" s="516"/>
      <c r="AN481" s="477">
        <f t="shared" si="103"/>
        <v>101202.03999999998</v>
      </c>
      <c r="AO481" s="495">
        <f t="shared" si="101"/>
        <v>0.67355789469480665</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5.0478617732755714E-2</v>
      </c>
      <c r="Z483" s="534">
        <f>Z407-Z468+Z481</f>
        <v>302755.88681522926</v>
      </c>
      <c r="AA483" s="532"/>
      <c r="AB483" s="533"/>
      <c r="AC483" s="534"/>
      <c r="AD483" s="532" t="s">
        <v>219</v>
      </c>
      <c r="AE483" s="533">
        <f>AF483/AF406</f>
        <v>3.9814448542674769E-2</v>
      </c>
      <c r="AF483" s="535">
        <f>AF407-AF468+AF481</f>
        <v>232661.15000000014</v>
      </c>
      <c r="AG483" s="536"/>
      <c r="AH483" s="536">
        <f>AF483-Z483</f>
        <v>-70094.736815229116</v>
      </c>
      <c r="AI483" s="537">
        <f>AH483/Z483</f>
        <v>-0.23152229194475635</v>
      </c>
      <c r="AJ483" s="538" t="s">
        <v>219</v>
      </c>
      <c r="AK483" s="533">
        <f>IF($AL$406=0,0,AL483/$AL$406)</f>
        <v>2.6740836424321953E-2</v>
      </c>
      <c r="AL483" s="535">
        <f>AL407-AL468+AL481</f>
        <v>121990.76999999949</v>
      </c>
      <c r="AM483" s="539"/>
      <c r="AN483" s="535">
        <f t="shared" si="103"/>
        <v>110670.38000000064</v>
      </c>
      <c r="AO483" s="540">
        <f t="shared" si="101"/>
        <v>0.90720289739954185</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22.8">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24" t="str">
        <f>C1</f>
        <v>Volks</v>
      </c>
      <c r="W485" s="924"/>
      <c r="X485" s="924"/>
      <c r="Y485" s="924"/>
      <c r="Z485" s="924"/>
      <c r="AA485" s="924"/>
      <c r="AB485" s="924"/>
      <c r="AC485" s="924"/>
      <c r="AD485" s="924"/>
      <c r="AE485" s="925" t="s">
        <v>220</v>
      </c>
      <c r="AF485" s="924"/>
      <c r="AG485" s="924"/>
      <c r="AH485" s="924"/>
      <c r="AI485" s="924"/>
      <c r="AJ485" s="926"/>
      <c r="AK485" s="927"/>
      <c r="AL485" s="924"/>
      <c r="AM485" s="924"/>
      <c r="AN485" s="924"/>
      <c r="AO485" s="928" t="str">
        <f>$S$1</f>
        <v>Réalisé, Mars 2026</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24" t="s">
        <v>3913</v>
      </c>
      <c r="W488" s="1125"/>
      <c r="X488" s="1126" t="s">
        <v>219</v>
      </c>
      <c r="Y488" s="1127">
        <f>Z488/Z406</f>
        <v>5.4451234924022117E-2</v>
      </c>
      <c r="Z488" s="1128">
        <f>Z489+Z415</f>
        <v>326582.47507655615</v>
      </c>
      <c r="AA488" s="1126"/>
      <c r="AB488" s="1127"/>
      <c r="AC488" s="534"/>
      <c r="AD488" s="1126" t="s">
        <v>219</v>
      </c>
      <c r="AE488" s="1127">
        <f>AF488/AF406</f>
        <v>4.4845901450746233E-2</v>
      </c>
      <c r="AF488" s="1128">
        <f>AF489+AF415</f>
        <v>262063.13000000015</v>
      </c>
      <c r="AG488" s="536"/>
      <c r="AH488" s="536">
        <f t="shared" ref="AH488" si="108">AF488-Z488</f>
        <v>-64519.345076555997</v>
      </c>
      <c r="AI488" s="537">
        <f>AH488/Z488</f>
        <v>-0.19755911599797765</v>
      </c>
      <c r="AJ488" s="1126" t="s">
        <v>219</v>
      </c>
      <c r="AK488" s="1127">
        <f>IF($AL$406=0,0,AL488/$AL$406)</f>
        <v>3.2458181434073002E-2</v>
      </c>
      <c r="AL488" s="1128">
        <f>AL489+AL415</f>
        <v>148073.09999999948</v>
      </c>
      <c r="AM488" s="539"/>
      <c r="AN488" s="1128">
        <f t="shared" ref="AN488" si="109">AF488-AL488</f>
        <v>113990.03000000067</v>
      </c>
      <c r="AO488" s="1129">
        <f t="shared" ref="AO488" si="110">IF(AL488=0,0,AN488/AL488)</f>
        <v>0.76982267542180904</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8.600000000000001"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5.0478617732755714E-2</v>
      </c>
      <c r="Z489" s="534">
        <f>Z483</f>
        <v>302755.88681522926</v>
      </c>
      <c r="AA489" s="532"/>
      <c r="AB489" s="533"/>
      <c r="AC489" s="534"/>
      <c r="AD489" s="532" t="s">
        <v>219</v>
      </c>
      <c r="AE489" s="533">
        <f>AF489/AF406</f>
        <v>3.9814448542674769E-2</v>
      </c>
      <c r="AF489" s="534">
        <f>AF483</f>
        <v>232661.15000000014</v>
      </c>
      <c r="AG489" s="535"/>
      <c r="AH489" s="536">
        <f>AF489-Z489</f>
        <v>-70094.736815229116</v>
      </c>
      <c r="AI489" s="537">
        <f>AH489/Z489</f>
        <v>-0.23152229194475635</v>
      </c>
      <c r="AJ489" s="532" t="s">
        <v>219</v>
      </c>
      <c r="AK489" s="533">
        <f>IF($AL$406=0,0,AL489/$AL$406)</f>
        <v>2.6740836424321953E-2</v>
      </c>
      <c r="AL489" s="543">
        <f>AL483</f>
        <v>121990.76999999949</v>
      </c>
      <c r="AM489" s="544"/>
      <c r="AN489" s="545">
        <f>AF489-AL489</f>
        <v>110670.38000000064</v>
      </c>
      <c r="AO489" s="546">
        <f>IF(AL489=0,0,AN489/AL489)</f>
        <v>0.90720289739954185</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9516.6666666666661</v>
      </c>
      <c r="AA491" s="456"/>
      <c r="AB491" s="464"/>
      <c r="AC491" s="457"/>
      <c r="AD491" s="456"/>
      <c r="AE491" s="464"/>
      <c r="AF491" s="457">
        <f>SUMIFS(BV_Data_An_Cour!$O:$O,BV_Data_An_Cour!$V:$V,$V491)</f>
        <v>9517</v>
      </c>
      <c r="AG491" s="456"/>
      <c r="AH491" s="459">
        <f t="shared" ref="AH491:AH498" si="111">AF491-Z491</f>
        <v>0.33333333333393966</v>
      </c>
      <c r="AI491" s="479">
        <f t="shared" ref="AI491:AI497" si="112">IF(Z491=0,0,AH491/Z491)</f>
        <v>3.5026269702340423E-5</v>
      </c>
      <c r="AJ491" s="456"/>
      <c r="AK491" s="456"/>
      <c r="AL491" s="457">
        <f>+INDEX('Réel 2024'!$A$2:$AO$501,MATCH($A491,'Réel 2024'!$A$2:$A$501,0),MATCH(F$2,'Réel 2024'!$A$2:$AO$2,0))</f>
        <v>42648</v>
      </c>
      <c r="AM491" s="461"/>
      <c r="AN491" s="459">
        <f t="shared" ref="AN491:AN498" si="113">AF491-AL491</f>
        <v>-33131</v>
      </c>
      <c r="AO491" s="466">
        <f t="shared" ref="AO491:AO498" si="114">IF(AL491=0,0,AN491/AL491)</f>
        <v>-0.7768476833614707</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27446.79</v>
      </c>
      <c r="AG493" s="38"/>
      <c r="AH493" s="459">
        <f t="shared" si="111"/>
        <v>27446.79</v>
      </c>
      <c r="AI493" s="479">
        <f t="shared" si="112"/>
        <v>0</v>
      </c>
      <c r="AJ493" s="38"/>
      <c r="AK493" s="38"/>
      <c r="AL493" s="457">
        <f>+INDEX('Réel 2024'!$A$2:$AO$501,MATCH($A493,'Réel 2024'!$A$2:$A$501,0),MATCH(F$2,'Réel 2024'!$A$2:$AO$2,0))</f>
        <v>0</v>
      </c>
      <c r="AM493" s="551"/>
      <c r="AN493" s="459">
        <f t="shared" si="113"/>
        <v>27446.79</v>
      </c>
      <c r="AO493" s="466">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457">
        <f>+INDEX('Réel 2024'!$A$2:$AO$501,MATCH($A495,'Réel 2024'!$A$2:$A$501,0),MATCH(F$2,'Réel 2024'!$A$2:$AO$2,0))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thickBo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3935</v>
      </c>
      <c r="W496" s="41"/>
      <c r="X496" s="41"/>
      <c r="Y496" s="41"/>
      <c r="Z496" s="457">
        <f>+INDEX('Budget original'!$A$2:$AO$501,MATCH($A496,'Budget original'!$A$2:$A$501,0),MATCH(F$2,'Budget original'!$A$2:$AO$2,0))</f>
        <v>0</v>
      </c>
      <c r="AA496" s="456"/>
      <c r="AB496" s="456"/>
      <c r="AC496" s="457"/>
      <c r="AD496" s="465"/>
      <c r="AE496" s="464"/>
      <c r="AF496" s="457">
        <f>SUMIFS(BV_Data_An_Cour!$O:$O,BV_Data_An_Cour!$V:$V,$V496)</f>
        <v>-49424.05</v>
      </c>
      <c r="AG496" s="458"/>
      <c r="AH496" s="459">
        <f t="shared" si="111"/>
        <v>-49424.05</v>
      </c>
      <c r="AI496" s="460">
        <f t="shared" si="112"/>
        <v>0</v>
      </c>
      <c r="AJ496" s="465"/>
      <c r="AK496" s="456"/>
      <c r="AL496" s="457">
        <f>+INDEX('Réel 2024'!$A$2:$AO$501,MATCH($A496,'Réel 2024'!$A$2:$A$501,0),MATCH(F$2,'Réel 2024'!$A$2:$AO$2,0))</f>
        <v>-1079</v>
      </c>
      <c r="AM496" s="551"/>
      <c r="AN496" s="459">
        <f t="shared" si="113"/>
        <v>-48345.05</v>
      </c>
      <c r="AO496" s="466">
        <f t="shared" si="114"/>
        <v>44.805421686746989</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hidden="1"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4.8891899853179342E-2</v>
      </c>
      <c r="Z498" s="534">
        <f>Z489-Z491-Z492-Z493-Z497-Z496</f>
        <v>293239.22014856257</v>
      </c>
      <c r="AA498" s="532"/>
      <c r="AB498" s="533"/>
      <c r="AC498" s="534"/>
      <c r="AD498" s="532" t="s">
        <v>219</v>
      </c>
      <c r="AE498" s="533">
        <f>AF498/AF406</f>
        <v>4.1946727097123368E-2</v>
      </c>
      <c r="AF498" s="535">
        <f>AF489-AF491-AF492-AF493-AF497-AF496</f>
        <v>245121.41000000015</v>
      </c>
      <c r="AG498" s="536"/>
      <c r="AH498" s="536">
        <f t="shared" si="111"/>
        <v>-48117.810148562421</v>
      </c>
      <c r="AI498" s="537">
        <f>AH498/Z498</f>
        <v>-0.16409063604856367</v>
      </c>
      <c r="AJ498" s="538" t="s">
        <v>219</v>
      </c>
      <c r="AK498" s="533">
        <f>IF($AL$406=0,0,AL498/$AL$406)</f>
        <v>1.7628754999451501E-2</v>
      </c>
      <c r="AL498" s="535">
        <f>AL489-AL491-AL492-AL493-AL497-AL496</f>
        <v>80421.769999999495</v>
      </c>
      <c r="AM498" s="539"/>
      <c r="AN498" s="535">
        <f t="shared" si="113"/>
        <v>164699.64000000065</v>
      </c>
      <c r="AO498" s="553">
        <f t="shared" si="114"/>
        <v>2.0479484597267841</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c r="AF500" s="555"/>
      <c r="AG500" s="38"/>
      <c r="AH500" s="38"/>
      <c r="AI500" s="38"/>
      <c r="AJ500" s="554"/>
      <c r="AK500" s="951"/>
      <c r="AL500" s="9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03"/>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94"/>
      <c r="AG503" s="38"/>
      <c r="AH503" s="38"/>
      <c r="AI503" s="38"/>
      <c r="AJ503" s="950"/>
      <c r="AK503" s="951"/>
      <c r="AL503" s="9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16"/>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16"/>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16"/>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D112">
    <cfRule type="expression" dxfId="112" priority="2" stopIfTrue="1">
      <formula>"esterreur(reference)"</formula>
    </cfRule>
  </conditionalFormatting>
  <conditionalFormatting sqref="D172:D181">
    <cfRule type="expression" dxfId="111" priority="360" stopIfTrue="1">
      <formula>"esterreur(reference)"</formula>
    </cfRule>
  </conditionalFormatting>
  <conditionalFormatting sqref="D400">
    <cfRule type="expression" dxfId="110" priority="9" stopIfTrue="1">
      <formula>"esterreur(reference)"</formula>
    </cfRule>
  </conditionalFormatting>
  <conditionalFormatting sqref="E186">
    <cfRule type="expression" dxfId="109" priority="361" stopIfTrue="1">
      <formula>"esterreur(reference)"</formula>
    </cfRule>
  </conditionalFormatting>
  <conditionalFormatting sqref="F5">
    <cfRule type="expression" dxfId="108" priority="358" stopIfTrue="1">
      <formula>"esterreur(reference)"</formula>
    </cfRule>
  </conditionalFormatting>
  <conditionalFormatting sqref="F83:F85">
    <cfRule type="expression" dxfId="107" priority="357" stopIfTrue="1">
      <formula>"esterreur(reference)"</formula>
    </cfRule>
  </conditionalFormatting>
  <conditionalFormatting sqref="F101">
    <cfRule type="expression" dxfId="106" priority="362" stopIfTrue="1">
      <formula>"esterreur(reference)"</formula>
    </cfRule>
  </conditionalFormatting>
  <conditionalFormatting sqref="F184">
    <cfRule type="expression" dxfId="105" priority="159" stopIfTrue="1">
      <formula>"esterreur(reference)"</formula>
    </cfRule>
  </conditionalFormatting>
  <conditionalFormatting sqref="G31:G32">
    <cfRule type="expression" dxfId="104" priority="355" stopIfTrue="1">
      <formula>"esterreur(reference)"</formula>
    </cfRule>
  </conditionalFormatting>
  <conditionalFormatting sqref="G112:G113">
    <cfRule type="expression" dxfId="103" priority="338" stopIfTrue="1">
      <formula>"esterreur(reference)"</formula>
    </cfRule>
  </conditionalFormatting>
  <conditionalFormatting sqref="G172:G181">
    <cfRule type="expression" dxfId="102" priority="359" stopIfTrue="1">
      <formula>"esterreur(reference)"</formula>
    </cfRule>
  </conditionalFormatting>
  <conditionalFormatting sqref="H25:H26 H28:H72">
    <cfRule type="expression" dxfId="101" priority="350" stopIfTrue="1">
      <formula>"esterreur(reference)"</formula>
    </cfRule>
  </conditionalFormatting>
  <conditionalFormatting sqref="H360 J360:L360">
    <cfRule type="expression" dxfId="100" priority="29" stopIfTrue="1">
      <formula>"esterreur(reference)"</formula>
    </cfRule>
  </conditionalFormatting>
  <conditionalFormatting sqref="H197:L197">
    <cfRule type="expression" dxfId="99" priority="32" stopIfTrue="1">
      <formula>"esterreur(reference)"</formula>
    </cfRule>
  </conditionalFormatting>
  <conditionalFormatting sqref="H396:L399">
    <cfRule type="expression" dxfId="98" priority="26" stopIfTrue="1">
      <formula>"esterreur(reference)"</formula>
    </cfRule>
  </conditionalFormatting>
  <conditionalFormatting sqref="I16:I18 I20 I24:I30">
    <cfRule type="expression" dxfId="97" priority="356" stopIfTrue="1">
      <formula>"esterreur(reference)"</formula>
    </cfRule>
  </conditionalFormatting>
  <conditionalFormatting sqref="I377:L377 J378:L394 H378:H395">
    <cfRule type="expression" dxfId="96" priority="27"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H313:L317 L318:L329 H318:H348 J318:K348 H349:L349 H352:L352 H353:H355 J353:K355 H361:L364 H365:H376 J365:L376 H400 J400:K400">
    <cfRule type="expression" dxfId="95" priority="11" stopIfTrue="1">
      <formula>"esterreur(reference)"</formula>
    </cfRule>
  </conditionalFormatting>
  <conditionalFormatting sqref="K395">
    <cfRule type="expression" dxfId="94" priority="30" stopIfTrue="1">
      <formula>"esterreur(reference)"</formula>
    </cfRule>
  </conditionalFormatting>
  <conditionalFormatting sqref="K5:L5">
    <cfRule type="expression" dxfId="93" priority="138" stopIfTrue="1">
      <formula>"esterreur(reference)"</formula>
    </cfRule>
  </conditionalFormatting>
  <conditionalFormatting sqref="K244:L244">
    <cfRule type="expression" dxfId="92" priority="117" stopIfTrue="1">
      <formula>"esterreur(reference)"</formula>
    </cfRule>
  </conditionalFormatting>
  <conditionalFormatting sqref="K247:L247">
    <cfRule type="expression" dxfId="91" priority="118" stopIfTrue="1">
      <formula>"esterreur(reference)"</formula>
    </cfRule>
  </conditionalFormatting>
  <conditionalFormatting sqref="L42:L48">
    <cfRule type="expression" dxfId="90" priority="46" stopIfTrue="1">
      <formula>"esterreur(reference)"</formula>
    </cfRule>
  </conditionalFormatting>
  <conditionalFormatting sqref="L75:L82">
    <cfRule type="expression" dxfId="89" priority="18" stopIfTrue="1">
      <formula>"esterreur(reference)"</formula>
    </cfRule>
  </conditionalFormatting>
  <conditionalFormatting sqref="L156:L162">
    <cfRule type="expression" dxfId="88" priority="96" stopIfTrue="1">
      <formula>"esterreur(reference)"</formula>
    </cfRule>
  </conditionalFormatting>
  <conditionalFormatting sqref="L198:L209">
    <cfRule type="expression" dxfId="87" priority="73" stopIfTrue="1">
      <formula>"esterreur(reference)"</formula>
    </cfRule>
  </conditionalFormatting>
  <conditionalFormatting sqref="L211:L228">
    <cfRule type="expression" dxfId="86" priority="75" stopIfTrue="1">
      <formula>"esterreur(reference)"</formula>
    </cfRule>
  </conditionalFormatting>
  <conditionalFormatting sqref="L254:L265">
    <cfRule type="expression" dxfId="85" priority="119" stopIfTrue="1">
      <formula>"esterreur(reference)"</formula>
    </cfRule>
  </conditionalFormatting>
  <conditionalFormatting sqref="L331:L348">
    <cfRule type="expression" dxfId="84" priority="39" stopIfTrue="1">
      <formula>"esterreur(reference)"</formula>
    </cfRule>
  </conditionalFormatting>
  <conditionalFormatting sqref="L356:L357 H357:I357 K357 J357:J358 H359:L359">
    <cfRule type="expression" dxfId="83" priority="25" stopIfTrue="1">
      <formula>"esterreur(reference)"</formula>
    </cfRule>
  </conditionalFormatting>
  <conditionalFormatting sqref="M95:M97">
    <cfRule type="expression" dxfId="82" priority="12" stopIfTrue="1">
      <formula>"esterreur(reference)"</formula>
    </cfRule>
  </conditionalFormatting>
  <conditionalFormatting sqref="N197:N209">
    <cfRule type="expression" dxfId="81" priority="1" stopIfTrue="1">
      <formula>"esterreur(reference)"</formula>
    </cfRule>
  </conditionalFormatting>
  <conditionalFormatting sqref="N318:N328">
    <cfRule type="expression" dxfId="80" priority="6" stopIfTrue="1">
      <formula>"esterreur(reference)"</formula>
    </cfRule>
  </conditionalFormatting>
  <conditionalFormatting sqref="O295:P303 O304:Q306 O307:P308 O309:Q317 Q318:Q329 O318:P348 O349:Q349 O352:Q352 O353:P353">
    <cfRule type="expression" dxfId="79" priority="304" stopIfTrue="1">
      <formula>"esterreur(reference)"</formula>
    </cfRule>
  </conditionalFormatting>
  <conditionalFormatting sqref="O197:Q197">
    <cfRule type="expression" dxfId="78" priority="248" stopIfTrue="1">
      <formula>"esterreur(reference)"</formula>
    </cfRule>
  </conditionalFormatting>
  <conditionalFormatting sqref="O243:Q243 O252:Q253 O254:P284 Q282:Q285 O285 O288:Q288 O289:P289">
    <cfRule type="expression" dxfId="77" priority="276" stopIfTrue="1">
      <formula>"esterreur(reference)"</formula>
    </cfRule>
  </conditionalFormatting>
  <conditionalFormatting sqref="O359:Q394">
    <cfRule type="expression" dxfId="76" priority="317" stopIfTrue="1">
      <formula>"esterreur(reference)"</formula>
    </cfRule>
  </conditionalFormatting>
  <conditionalFormatting sqref="O396:Q399">
    <cfRule type="expression" dxfId="75" priority="320" stopIfTrue="1">
      <formula>"esterreur(reference)"</formula>
    </cfRule>
  </conditionalFormatting>
  <conditionalFormatting sqref="P5">
    <cfRule type="expression" dxfId="74" priority="174" stopIfTrue="1">
      <formula>"esterreur(reference)"</formula>
    </cfRule>
  </conditionalFormatting>
  <conditionalFormatting sqref="P175">
    <cfRule type="expression" dxfId="73" priority="270" stopIfTrue="1">
      <formula>"esterreur(reference)"</formula>
    </cfRule>
  </conditionalFormatting>
  <conditionalFormatting sqref="P178">
    <cfRule type="expression" dxfId="72" priority="271" stopIfTrue="1">
      <formula>"esterreur(reference)"</formula>
    </cfRule>
  </conditionalFormatting>
  <conditionalFormatting sqref="P181">
    <cfRule type="expression" dxfId="71" priority="272" stopIfTrue="1">
      <formula>"esterreur(reference)"</formula>
    </cfRule>
  </conditionalFormatting>
  <conditionalFormatting sqref="P395">
    <cfRule type="expression" dxfId="70" priority="322" stopIfTrue="1">
      <formula>"esterreur(reference)"</formula>
    </cfRule>
  </conditionalFormatting>
  <conditionalFormatting sqref="P93:Q96 O97:Q98 O156:P157 O164:Q164 O165:P165">
    <cfRule type="expression" dxfId="69" priority="206" stopIfTrue="1">
      <formula>"esterreur(reference)"</formula>
    </cfRule>
  </conditionalFormatting>
  <conditionalFormatting sqref="P99:Q100">
    <cfRule type="expression" dxfId="68" priority="204" stopIfTrue="1">
      <formula>"esterreur(reference)"</formula>
    </cfRule>
  </conditionalFormatting>
  <conditionalFormatting sqref="P172:Q173 O172:O196 Q174:Q175 P176:Q176 Q177:Q178 P179:Q179 Q180:Q181 O198:P229 O232:Q232 O233:P233">
    <cfRule type="expression" dxfId="67" priority="246" stopIfTrue="1">
      <formula>"esterreur(reference)"</formula>
    </cfRule>
  </conditionalFormatting>
  <conditionalFormatting sqref="P182:Q196">
    <cfRule type="expression" dxfId="66" priority="4" stopIfTrue="1">
      <formula>"esterreur(reference)"</formula>
    </cfRule>
  </conditionalFormatting>
  <conditionalFormatting sqref="P241:Q241">
    <cfRule type="expression" dxfId="65" priority="299" stopIfTrue="1">
      <formula>"esterreur(reference)"</formula>
    </cfRule>
  </conditionalFormatting>
  <conditionalFormatting sqref="P244:Q244">
    <cfRule type="expression" dxfId="64" priority="281" stopIfTrue="1">
      <formula>"esterreur(reference)"</formula>
    </cfRule>
  </conditionalFormatting>
  <conditionalFormatting sqref="P247:Q247">
    <cfRule type="expression" dxfId="63" priority="282" stopIfTrue="1">
      <formula>"esterreur(reference)"</formula>
    </cfRule>
  </conditionalFormatting>
  <conditionalFormatting sqref="Q5:Q14 O13:O14 O16 Q16:Q24 O18:O24 O25:Q26 O27 Q27 O28:Q72 O83:Q85">
    <cfRule type="expression" dxfId="62" priority="173" stopIfTrue="1">
      <formula>"esterreur(reference)"</formula>
    </cfRule>
  </conditionalFormatting>
  <conditionalFormatting sqref="Q75:Q82">
    <cfRule type="expression" dxfId="61" priority="199" stopIfTrue="1">
      <formula>"esterreur(reference)"</formula>
    </cfRule>
  </conditionalFormatting>
  <conditionalFormatting sqref="Q156:Q162">
    <cfRule type="expression" dxfId="60" priority="240" stopIfTrue="1">
      <formula>"esterreur(reference)"</formula>
    </cfRule>
  </conditionalFormatting>
  <conditionalFormatting sqref="Q198:Q209">
    <cfRule type="expression" dxfId="59" priority="249" stopIfTrue="1">
      <formula>"esterreur(reference)"</formula>
    </cfRule>
  </conditionalFormatting>
  <conditionalFormatting sqref="Q211:Q228">
    <cfRule type="expression" dxfId="58" priority="250" stopIfTrue="1">
      <formula>"esterreur(reference)"</formula>
    </cfRule>
  </conditionalFormatting>
  <conditionalFormatting sqref="Q254:Q265">
    <cfRule type="expression" dxfId="57" priority="283" stopIfTrue="1">
      <formula>"esterreur(reference)"</formula>
    </cfRule>
  </conditionalFormatting>
  <conditionalFormatting sqref="Q331:Q348">
    <cfRule type="expression" dxfId="56" priority="306" stopIfTrue="1">
      <formula>"esterreur(reference)"</formula>
    </cfRule>
  </conditionalFormatting>
  <conditionalFormatting sqref="R312">
    <cfRule type="expression" dxfId="55" priority="20" stopIfTrue="1">
      <formula>"esterreur(reference)"</formula>
    </cfRule>
  </conditionalFormatting>
  <conditionalFormatting sqref="S186">
    <cfRule type="expression" dxfId="54" priority="162" stopIfTrue="1">
      <formula>"esterreur(reference)"</formula>
    </cfRule>
  </conditionalFormatting>
  <conditionalFormatting sqref="AG409:AI418 AH420:AI432 AH434:AI451 AH453:AI460 AH461:AH462 AH463:AI465 AH467:AI467 AH491:AI497">
    <cfRule type="cellIs" dxfId="53" priority="21" operator="greaterThan">
      <formula>0</formula>
    </cfRule>
  </conditionalFormatting>
  <conditionalFormatting sqref="AH469:AI476 AH480:AI480">
    <cfRule type="cellIs" dxfId="52" priority="22" operator="lessThan">
      <formula>0</formula>
    </cfRule>
  </conditionalFormatting>
  <conditionalFormatting sqref="AH477:AI479">
    <cfRule type="cellIs" dxfId="51" priority="346" operator="greaterThan">
      <formula>0</formula>
    </cfRule>
  </conditionalFormatting>
  <conditionalFormatting sqref="AO409:AO418">
    <cfRule type="cellIs" dxfId="50" priority="163"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57 AF495 Z495 AH448:AI468 AH470:AI470 AH469" formula="1"/>
    <ignoredError sqref="AI469"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1146-6974-44F2-B31B-7B88311D8EE2}">
  <dimension ref="B1:J7"/>
  <sheetViews>
    <sheetView workbookViewId="0">
      <selection activeCell="J10" sqref="J10"/>
    </sheetView>
  </sheetViews>
  <sheetFormatPr baseColWidth="10" defaultColWidth="11" defaultRowHeight="13.8"/>
  <cols>
    <col min="1" max="1" width="2.5" style="1105" customWidth="1"/>
    <col min="2" max="2" width="11" style="1110"/>
    <col min="3" max="3" width="23" style="1111" customWidth="1"/>
    <col min="4" max="4" width="11.59765625" style="1111" customWidth="1"/>
    <col min="5" max="5" width="16" style="1111" customWidth="1"/>
    <col min="6" max="6" width="18.09765625" style="1111" bestFit="1" customWidth="1"/>
    <col min="7" max="7" width="10.8984375" style="1112" bestFit="1" customWidth="1"/>
    <col min="8" max="8" width="12.09765625" style="1111" customWidth="1"/>
    <col min="9" max="9" width="16.8984375" style="1111" customWidth="1"/>
    <col min="10" max="10" width="25.5" style="1113" customWidth="1"/>
    <col min="11" max="16384" width="11" style="1105"/>
  </cols>
  <sheetData>
    <row r="1" spans="2:10" ht="21">
      <c r="B1" s="1310" t="s">
        <v>3898</v>
      </c>
      <c r="C1" s="1311"/>
      <c r="D1" s="1311"/>
      <c r="E1" s="1311"/>
      <c r="F1" s="1311"/>
      <c r="G1" s="1311"/>
      <c r="H1" s="1311"/>
      <c r="I1" s="1311"/>
      <c r="J1" s="1312"/>
    </row>
    <row r="2" spans="2:10" ht="14.4">
      <c r="B2" s="1106" t="s">
        <v>3899</v>
      </c>
      <c r="C2" s="1107" t="s">
        <v>257</v>
      </c>
      <c r="D2" s="1107" t="s">
        <v>9</v>
      </c>
      <c r="E2" s="1107" t="s">
        <v>253</v>
      </c>
      <c r="F2" s="1107" t="s">
        <v>254</v>
      </c>
      <c r="G2" s="1108" t="s">
        <v>3900</v>
      </c>
      <c r="H2" s="1107" t="s">
        <v>3901</v>
      </c>
      <c r="I2" s="1107" t="s">
        <v>3902</v>
      </c>
      <c r="J2" s="1109" t="s">
        <v>3903</v>
      </c>
    </row>
    <row r="3" spans="2:10">
      <c r="C3" s="1137"/>
      <c r="E3" s="1137"/>
      <c r="F3" s="1137"/>
      <c r="H3" s="1118" t="s">
        <v>3908</v>
      </c>
      <c r="I3" s="1118" t="s">
        <v>3907</v>
      </c>
      <c r="J3" s="1119" t="s">
        <v>3910</v>
      </c>
    </row>
    <row r="4" spans="2:10">
      <c r="C4" s="1137"/>
      <c r="E4" s="1137"/>
      <c r="F4" s="1137"/>
      <c r="H4" s="1140" t="s">
        <v>3937</v>
      </c>
      <c r="I4" s="1140" t="s">
        <v>3938</v>
      </c>
      <c r="J4" s="1141" t="s">
        <v>3939</v>
      </c>
    </row>
    <row r="5" spans="2:10">
      <c r="C5" s="1137"/>
      <c r="E5" s="1137"/>
      <c r="F5" s="1137"/>
      <c r="H5" s="1132" t="s">
        <v>3914</v>
      </c>
      <c r="I5" s="1132" t="s">
        <v>3915</v>
      </c>
      <c r="J5" s="1133" t="s">
        <v>3916</v>
      </c>
    </row>
    <row r="6" spans="2:10">
      <c r="C6" s="1139"/>
      <c r="E6" s="1137"/>
      <c r="F6" s="1137"/>
      <c r="H6" s="1139" t="s">
        <v>3924</v>
      </c>
      <c r="I6" s="1139" t="s">
        <v>3925</v>
      </c>
      <c r="J6" s="1119" t="s">
        <v>3909</v>
      </c>
    </row>
    <row r="7" spans="2:10">
      <c r="C7" s="1139"/>
      <c r="E7" s="1137"/>
      <c r="F7" s="1139"/>
      <c r="H7" s="1118" t="s">
        <v>3912</v>
      </c>
      <c r="I7" s="1118" t="s">
        <v>3911</v>
      </c>
      <c r="J7" s="1119" t="s">
        <v>3909</v>
      </c>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963A-1F93-497D-9738-BEFC3B48A46E}">
  <dimension ref="A1:AO52"/>
  <sheetViews>
    <sheetView topLeftCell="A13" workbookViewId="0">
      <selection activeCell="C31" sqref="C31"/>
    </sheetView>
  </sheetViews>
  <sheetFormatPr baseColWidth="10" defaultColWidth="11" defaultRowHeight="13.8"/>
  <cols>
    <col min="1" max="1" width="4.69921875" style="1022" customWidth="1"/>
    <col min="2" max="2" width="5.5" style="1022" customWidth="1"/>
    <col min="3" max="3" width="20" style="1022" customWidth="1"/>
    <col min="4" max="4" width="1.69921875" style="1022" customWidth="1"/>
    <col min="5" max="7" width="11.09765625" style="1025" customWidth="1"/>
    <col min="8" max="8" width="8" style="1025" customWidth="1"/>
    <col min="9" max="9" width="1.69921875" style="1025" customWidth="1"/>
    <col min="10" max="12" width="11.09765625" style="1025" customWidth="1"/>
    <col min="13" max="13" width="8" style="1025" customWidth="1"/>
    <col min="14" max="14" width="11" style="1022"/>
    <col min="15" max="15" width="10" style="1022" customWidth="1"/>
    <col min="16" max="16" width="11" style="1022"/>
    <col min="17" max="17" width="6.3984375" style="1022" customWidth="1"/>
    <col min="18" max="16384" width="11" style="1022"/>
  </cols>
  <sheetData>
    <row r="1" spans="1:17" ht="30.75" customHeight="1">
      <c r="C1" s="1315" t="str">
        <f>"Analyse Wholesale "&amp;Parametres!B1</f>
        <v>Analyse Wholesale Volks</v>
      </c>
      <c r="D1" s="1315"/>
      <c r="E1" s="1315"/>
      <c r="F1" s="1315"/>
      <c r="G1" s="1315"/>
      <c r="H1" s="1315"/>
      <c r="I1" s="1315"/>
      <c r="J1" s="1315"/>
      <c r="K1" s="1315"/>
      <c r="L1" s="1023"/>
      <c r="M1" s="1023"/>
      <c r="N1" s="1024"/>
      <c r="O1" s="1024"/>
      <c r="P1" s="1024"/>
      <c r="Q1" s="1024"/>
    </row>
    <row r="2" spans="1:17" ht="14.25" hidden="1" customHeight="1">
      <c r="D2" s="1022" t="s">
        <v>303</v>
      </c>
      <c r="F2" s="1025" t="s">
        <v>338</v>
      </c>
      <c r="G2" s="1025" t="s">
        <v>340</v>
      </c>
      <c r="L2" s="1025" t="s">
        <v>303</v>
      </c>
      <c r="N2" s="1022" t="s">
        <v>338</v>
      </c>
      <c r="O2" s="1022" t="s">
        <v>340</v>
      </c>
    </row>
    <row r="4" spans="1:17" ht="15" customHeight="1">
      <c r="A4" s="1026"/>
      <c r="B4" s="1026"/>
      <c r="E4" s="1316" t="str">
        <f>CONCATENATE("Pièces Wholesale ",Parametres!B3," ",Parametres!B4)</f>
        <v>Pièces Wholesale Mars 2026</v>
      </c>
      <c r="F4" s="1317"/>
      <c r="G4" s="1317"/>
      <c r="H4" s="1318"/>
      <c r="J4" s="1319" t="str">
        <f>CONCATENATE("Pièces Wholesale AAD ",Parametres!B4)</f>
        <v>Pièces Wholesale AAD 2026</v>
      </c>
      <c r="K4" s="1320"/>
      <c r="L4" s="1320"/>
      <c r="M4" s="1321"/>
    </row>
    <row r="5" spans="1:17">
      <c r="A5" s="1026"/>
      <c r="B5" s="1026"/>
      <c r="C5" s="1029"/>
      <c r="D5" s="1030"/>
      <c r="E5" s="1027" t="s">
        <v>656</v>
      </c>
      <c r="F5" s="1028" t="s">
        <v>3863</v>
      </c>
      <c r="G5" s="1027" t="s">
        <v>3864</v>
      </c>
      <c r="H5" s="1028" t="s">
        <v>3865</v>
      </c>
      <c r="J5" s="1027" t="s">
        <v>656</v>
      </c>
      <c r="K5" s="1028" t="s">
        <v>3863</v>
      </c>
      <c r="L5" s="1027" t="s">
        <v>3864</v>
      </c>
      <c r="M5" s="1028" t="s">
        <v>3865</v>
      </c>
    </row>
    <row r="6" spans="1:17">
      <c r="A6" s="1026"/>
      <c r="B6" s="1026"/>
      <c r="C6" s="1031" t="s">
        <v>3866</v>
      </c>
      <c r="D6" s="1032"/>
      <c r="E6" s="1033">
        <f>SUMIF(A37:A48,"X",E37:E48)</f>
        <v>429</v>
      </c>
      <c r="F6" s="1034">
        <f>SUMIF(A37:A48,"X",F37:F48)</f>
        <v>418.68023703135316</v>
      </c>
      <c r="G6" s="1033">
        <f>E6-F6</f>
        <v>10.319762968646842</v>
      </c>
      <c r="H6" s="1035">
        <f>G6/F6</f>
        <v>2.4648316437907335E-2</v>
      </c>
      <c r="J6" s="1033">
        <f>SUMIF($B$37:$B$48,"X",$E$37:$E$48)</f>
        <v>1395</v>
      </c>
      <c r="K6" s="1034">
        <f>SUMIF($B$37:$B$48,"X",$F$37:$F$48)</f>
        <v>1149.5458210978263</v>
      </c>
      <c r="L6" s="1033">
        <f>J6-K6</f>
        <v>245.45417890217368</v>
      </c>
      <c r="M6" s="1035">
        <f>L6/K6</f>
        <v>0.21352274471996496</v>
      </c>
    </row>
    <row r="7" spans="1:17">
      <c r="A7" s="1036" t="str">
        <f>B7&amp;C7</f>
        <v>piècesVentes de Gros</v>
      </c>
      <c r="B7" s="1036" t="s">
        <v>3867</v>
      </c>
      <c r="C7" s="1037" t="s">
        <v>187</v>
      </c>
      <c r="D7" s="1038"/>
      <c r="E7" s="1039">
        <f>-SUMIFS(BV_Data_An_Cour!$O:$O,BV_Data_An_Cour!$X:$X,"Oui",BV_Data_An_Cour!$U:$U,$B7,BV_Data_An_Cour!$V:$V,$C7)</f>
        <v>280445.62</v>
      </c>
      <c r="F7" s="1040">
        <f>+INDEX('Budget original'!$A$2:$AO$501,MATCH($A7,'Budget original'!$A$2:$A$501,0),MATCH(F$2,'Budget original'!$A$2:$AO$2,0))</f>
        <v>186966.86885141459</v>
      </c>
      <c r="G7" s="1041">
        <f>E7-F7</f>
        <v>93478.751148585405</v>
      </c>
      <c r="H7" s="1042">
        <f>G7/F7</f>
        <v>0.49997495129938979</v>
      </c>
      <c r="J7" s="1039">
        <f>-SUMIFS(BV_Data_An_Cour!$P:$P,BV_Data_An_Cour!$X:$X,"Oui",BV_Data_An_Cour!$U:$U,$B7,BV_Data_An_Cour!$V:$V,$C7)</f>
        <v>759738.78</v>
      </c>
      <c r="K7" s="1040" cm="1">
        <f t="array" ref="K7">+SUMPRODUCT(('Budget original'!$A$8:$A$501=$A7)*('Budget original'!$C$3:$AO$3=N$2),'Budget original'!$C$8:$AO$501)</f>
        <v>524743.42918779375</v>
      </c>
      <c r="L7" s="1041">
        <f t="shared" ref="L7:L10" si="0">J7-K7</f>
        <v>234995.35081220628</v>
      </c>
      <c r="M7" s="1042">
        <f>L7/K7</f>
        <v>0.44782904890478731</v>
      </c>
    </row>
    <row r="8" spans="1:17">
      <c r="A8" s="1036"/>
      <c r="B8" s="1036"/>
      <c r="C8" s="1043" t="s">
        <v>3868</v>
      </c>
      <c r="D8" s="1038"/>
      <c r="E8" s="1044">
        <f>E7-E9</f>
        <v>236605.47</v>
      </c>
      <c r="F8" s="1045">
        <f>F7-F9</f>
        <v>157456.82019646143</v>
      </c>
      <c r="G8" s="1039">
        <f t="shared" ref="G8:G15" si="1">E8-F8</f>
        <v>79148.649803538574</v>
      </c>
      <c r="H8" s="1046">
        <f t="shared" ref="H8:H9" si="2">G8/F8</f>
        <v>0.50266892030960308</v>
      </c>
      <c r="J8" s="1044">
        <f>J7-J9</f>
        <v>631837.41</v>
      </c>
      <c r="K8" s="1045">
        <f>K7-K9</f>
        <v>442067.8648874294</v>
      </c>
      <c r="L8" s="1039">
        <f t="shared" si="0"/>
        <v>189769.54511257063</v>
      </c>
      <c r="M8" s="1046">
        <f t="shared" ref="M8:M9" si="3">L8/K8</f>
        <v>0.4292769508611412</v>
      </c>
    </row>
    <row r="9" spans="1:17">
      <c r="C9" s="1047" t="s">
        <v>202</v>
      </c>
      <c r="D9" s="1038"/>
      <c r="E9" s="1048">
        <f>E12+E11</f>
        <v>43840.149999999994</v>
      </c>
      <c r="F9" s="1049">
        <f>F12+F11</f>
        <v>29510.04865495316</v>
      </c>
      <c r="G9" s="1048">
        <f t="shared" si="1"/>
        <v>14330.101345046834</v>
      </c>
      <c r="H9" s="1046">
        <f t="shared" si="2"/>
        <v>0.4856007359595314</v>
      </c>
      <c r="J9" s="1048">
        <f>J12+J11</f>
        <v>127901.37</v>
      </c>
      <c r="K9" s="1049">
        <f>K12+K11</f>
        <v>82675.564300364334</v>
      </c>
      <c r="L9" s="1048">
        <f t="shared" si="0"/>
        <v>45225.805699635661</v>
      </c>
      <c r="M9" s="1046">
        <f t="shared" si="3"/>
        <v>0.5470274812437701</v>
      </c>
    </row>
    <row r="10" spans="1:17">
      <c r="A10" s="1036"/>
      <c r="B10" s="1036"/>
      <c r="C10" s="1043" t="s">
        <v>3869</v>
      </c>
      <c r="D10" s="1038"/>
      <c r="E10" s="1050">
        <f>E9/E7</f>
        <v>0.15632317595118794</v>
      </c>
      <c r="F10" s="1051">
        <f>F9/F7</f>
        <v>0.15783571087348766</v>
      </c>
      <c r="G10" s="1050">
        <f t="shared" si="1"/>
        <v>-1.5125349222997186E-3</v>
      </c>
      <c r="H10" s="1046"/>
      <c r="J10" s="1050">
        <f>J9/J7</f>
        <v>0.16834913968719617</v>
      </c>
      <c r="K10" s="1051">
        <f>K9/K7</f>
        <v>0.15755426309640674</v>
      </c>
      <c r="L10" s="1050">
        <f t="shared" si="0"/>
        <v>1.0794876590789426E-2</v>
      </c>
      <c r="M10" s="1046"/>
    </row>
    <row r="11" spans="1:17">
      <c r="A11" s="1036"/>
      <c r="B11" s="1036"/>
      <c r="C11" s="1052" t="s">
        <v>3870</v>
      </c>
      <c r="D11" s="1038"/>
      <c r="E11" s="1041">
        <f>SUMIFS(BV_Data_An_Cour!$O:$O,BV_Data_An_Cour!$W:$W,$D$2,BV_Data_An_Cour!L:L,C31)</f>
        <v>725.15</v>
      </c>
      <c r="F11" s="1053">
        <f>SUMIF($A$37:$A$48,"X",$G$37:$G$48)</f>
        <v>4269.5213600121897</v>
      </c>
      <c r="G11" s="1041">
        <f t="shared" si="1"/>
        <v>-3544.3713600121896</v>
      </c>
      <c r="H11" s="1042">
        <f t="shared" ref="H11:H12" si="4">G11/F11</f>
        <v>-0.8301566056580334</v>
      </c>
      <c r="J11" s="1041">
        <f>SUMIFS(BV_Data_An_Cour!$P:$P,BV_Data_An_Cour!$W:$W,$L$2,BV_Data_An_Cour!T:T,C31)</f>
        <v>12457.64</v>
      </c>
      <c r="K11" s="1053">
        <f>SUMIF($B$37:$B$48,"X",$G$37:$G$48)</f>
        <v>11835.20136001219</v>
      </c>
      <c r="L11" s="1041">
        <f>J11-K11</f>
        <v>622.43863998780944</v>
      </c>
      <c r="M11" s="1042">
        <f t="shared" ref="M11:M12" si="5">L11/K11</f>
        <v>5.2592146179350541E-2</v>
      </c>
    </row>
    <row r="12" spans="1:17">
      <c r="A12" s="1054" t="s">
        <v>187</v>
      </c>
      <c r="B12" s="1036" t="s">
        <v>3867</v>
      </c>
      <c r="C12" s="1047" t="s">
        <v>3871</v>
      </c>
      <c r="D12" s="1038"/>
      <c r="E12" s="1048">
        <f>-SUMIFS(BV_Data_An_Cour!$O:$O,BV_Data_An_Cour!$U:$U,$B12,BV_Data_An_Cour!$V:$V,$A12,BV_Data_An_Cour!$W:$W,$D$2)</f>
        <v>43114.999999999993</v>
      </c>
      <c r="F12" s="1049">
        <f>+INDEX('Budget original'!$A$2:$AO$501,MATCH(B12&amp;$A12,'Budget original'!$A$2:$A$501,0),MATCH(G$2,'Budget original'!$A$2:$AO$2,0))</f>
        <v>25240.52729494097</v>
      </c>
      <c r="G12" s="1048">
        <f t="shared" si="1"/>
        <v>17874.472705059023</v>
      </c>
      <c r="H12" s="1046">
        <f t="shared" si="4"/>
        <v>0.70816558212877168</v>
      </c>
      <c r="J12" s="1048">
        <f>-SUMIFS(BV_Data_An_Cour!$P:$P,BV_Data_An_Cour!$U:$U,$B12,BV_Data_An_Cour!$V:$V,$A12,BV_Data_An_Cour!$W:$W,$D$2)</f>
        <v>115443.73</v>
      </c>
      <c r="K12" s="1049" cm="1">
        <f t="array" ref="K12">+SUMPRODUCT(('Budget original'!$A$8:$A$501=B12&amp;$A12)*('Budget original'!$C$3:$AO$3=O$2),'Budget original'!$C$8:$AO$501)</f>
        <v>70840.362940352148</v>
      </c>
      <c r="L12" s="1048">
        <f t="shared" ref="L12:L16" si="6">J12-K12</f>
        <v>44603.367059647848</v>
      </c>
      <c r="M12" s="1046">
        <f t="shared" si="5"/>
        <v>0.62963210814156967</v>
      </c>
    </row>
    <row r="13" spans="1:17">
      <c r="A13" s="1026"/>
      <c r="B13" s="1026"/>
      <c r="C13" s="1043" t="s">
        <v>119</v>
      </c>
      <c r="D13" s="1038"/>
      <c r="E13" s="1050">
        <f>(E12)/E7</f>
        <v>0.15373746967415641</v>
      </c>
      <c r="F13" s="1051">
        <f>(F12)/F7</f>
        <v>0.13500000000000001</v>
      </c>
      <c r="G13" s="1055">
        <f t="shared" si="1"/>
        <v>1.8737469674156404E-2</v>
      </c>
      <c r="H13" s="1056"/>
      <c r="J13" s="1050">
        <f>(J12)/J7</f>
        <v>0.15195187219480885</v>
      </c>
      <c r="K13" s="1051">
        <f>(K12)/K7</f>
        <v>0.13499999999999998</v>
      </c>
      <c r="L13" s="1055">
        <f t="shared" si="6"/>
        <v>1.695187219480887E-2</v>
      </c>
      <c r="M13" s="1056"/>
    </row>
    <row r="14" spans="1:17">
      <c r="A14" s="1026"/>
      <c r="B14" s="1026"/>
      <c r="C14" s="1052" t="s">
        <v>3872</v>
      </c>
      <c r="D14" s="1038"/>
      <c r="E14" s="1041">
        <f>SUMIFS(BV_Data_An_Cour!$O:$O,BV_Data_An_Cour!$W:$W,$D$2,BV_Data_An_Cour!L:L,C33)</f>
        <v>4885.9799999999996</v>
      </c>
      <c r="F14" s="1057">
        <f>SUMIF(A37:A48,"X",F37:F48)*$G$33</f>
        <v>8373.6047406270627</v>
      </c>
      <c r="G14" s="1039">
        <f>E14-F14</f>
        <v>-3487.6247406270631</v>
      </c>
      <c r="H14" s="1046">
        <f t="shared" ref="H14:H15" si="7">G14/F14</f>
        <v>-0.41650219333924404</v>
      </c>
      <c r="J14" s="1041">
        <f>SUMIFS(BV_Data_An_Cour!$P:$P,BV_Data_An_Cour!$W:$W,$L$2,BV_Data_An_Cour!T:T,C33)</f>
        <v>19654.240000000002</v>
      </c>
      <c r="K14" s="1057">
        <f>SUMIF(B37:B48,"X",F37:F48)*$G$33</f>
        <v>22990.916421956528</v>
      </c>
      <c r="L14" s="1039">
        <f t="shared" si="6"/>
        <v>-3336.6764219565266</v>
      </c>
      <c r="M14" s="1046">
        <f t="shared" ref="M14:M15" si="8">L14/K14</f>
        <v>-0.14513020536971599</v>
      </c>
    </row>
    <row r="15" spans="1:17">
      <c r="C15" s="1047" t="s">
        <v>3873</v>
      </c>
      <c r="D15" s="1038"/>
      <c r="E15" s="1048">
        <f>E12-E14</f>
        <v>38229.01999999999</v>
      </c>
      <c r="F15" s="1049">
        <f t="shared" ref="F15" si="9">F12-F14</f>
        <v>16866.922554313907</v>
      </c>
      <c r="G15" s="1048">
        <f t="shared" si="1"/>
        <v>21362.097445686082</v>
      </c>
      <c r="H15" s="1046">
        <f t="shared" si="7"/>
        <v>1.2665083020863508</v>
      </c>
      <c r="J15" s="1048">
        <f t="shared" ref="J15:K15" si="10">J12-J14</f>
        <v>95789.489999999991</v>
      </c>
      <c r="K15" s="1049">
        <f t="shared" si="10"/>
        <v>47849.44651839562</v>
      </c>
      <c r="L15" s="1048">
        <f t="shared" si="6"/>
        <v>47940.043481604371</v>
      </c>
      <c r="M15" s="1046">
        <f t="shared" si="8"/>
        <v>1.0018933753637864</v>
      </c>
    </row>
    <row r="16" spans="1:17">
      <c r="C16" s="1058" t="s">
        <v>3874</v>
      </c>
      <c r="D16" s="1059"/>
      <c r="E16" s="1055">
        <f>E15/E7</f>
        <v>0.13631526853583947</v>
      </c>
      <c r="F16" s="1060">
        <f>F15/F7</f>
        <v>9.021343010091433E-2</v>
      </c>
      <c r="G16" s="1055">
        <f>E16-F16</f>
        <v>4.6101838434925144E-2</v>
      </c>
      <c r="H16" s="1060"/>
      <c r="J16" s="1055">
        <f>J15/J7</f>
        <v>0.12608213838972387</v>
      </c>
      <c r="K16" s="1060">
        <f>K15/K7</f>
        <v>9.1186366244657424E-2</v>
      </c>
      <c r="L16" s="1055">
        <f t="shared" si="6"/>
        <v>3.489577214506645E-2</v>
      </c>
      <c r="M16" s="1061"/>
    </row>
    <row r="17" spans="3:13">
      <c r="C17" s="1062"/>
      <c r="G17" s="1063"/>
      <c r="K17" s="1063"/>
    </row>
    <row r="18" spans="3:13">
      <c r="E18" s="1316" t="str">
        <f>CONCATENATE("Pièces Wholesale $ / livraison ",Parametres!B3," ",Parametres!B4)</f>
        <v>Pièces Wholesale $ / livraison Mars 2026</v>
      </c>
      <c r="F18" s="1317"/>
      <c r="G18" s="1317"/>
      <c r="H18" s="1318"/>
      <c r="J18" s="1319" t="str">
        <f>CONCATENATE("Pièces Wholesale AAD $ / livraison ",Parametres!B4)</f>
        <v>Pièces Wholesale AAD $ / livraison 2026</v>
      </c>
      <c r="K18" s="1320"/>
      <c r="L18" s="1320"/>
      <c r="M18" s="1321"/>
    </row>
    <row r="19" spans="3:13">
      <c r="C19" s="1029"/>
      <c r="D19" s="1030"/>
      <c r="E19" s="1027" t="s">
        <v>656</v>
      </c>
      <c r="F19" s="1028" t="s">
        <v>3863</v>
      </c>
      <c r="G19" s="1027" t="s">
        <v>3864</v>
      </c>
      <c r="H19" s="1028" t="s">
        <v>3865</v>
      </c>
      <c r="J19" s="1027" t="s">
        <v>656</v>
      </c>
      <c r="K19" s="1028" t="s">
        <v>3863</v>
      </c>
      <c r="L19" s="1027" t="s">
        <v>3864</v>
      </c>
      <c r="M19" s="1028" t="s">
        <v>3865</v>
      </c>
    </row>
    <row r="20" spans="3:13">
      <c r="C20" s="1037" t="s">
        <v>187</v>
      </c>
      <c r="D20" s="1038"/>
      <c r="E20" s="1039">
        <f>E7/E$6</f>
        <v>653.71939393939397</v>
      </c>
      <c r="F20" s="1040">
        <f>F7/F$6</f>
        <v>446.5624414878065</v>
      </c>
      <c r="G20" s="1041">
        <f t="shared" ref="G20:G25" si="11">E20-F20</f>
        <v>207.15695245158747</v>
      </c>
      <c r="H20" s="1042">
        <f t="shared" ref="H20:H26" si="12">G20/F20</f>
        <v>0.46389246655272942</v>
      </c>
      <c r="J20" s="1039">
        <f>J7/J$6</f>
        <v>544.61561290322584</v>
      </c>
      <c r="K20" s="1040">
        <f>K7/K$6</f>
        <v>456.47891502633553</v>
      </c>
      <c r="L20" s="1041">
        <f t="shared" ref="L20:L25" si="13">J20-K20</f>
        <v>88.13669787689031</v>
      </c>
      <c r="M20" s="1042">
        <f t="shared" ref="M20:M26" si="14">L20/K20</f>
        <v>0.19307945005916749</v>
      </c>
    </row>
    <row r="21" spans="3:13">
      <c r="C21" s="1043" t="s">
        <v>3868</v>
      </c>
      <c r="D21" s="1038"/>
      <c r="E21" s="1044">
        <f t="shared" ref="E21:F22" si="15">E8/E$6</f>
        <v>551.52790209790214</v>
      </c>
      <c r="F21" s="1045">
        <f>F8/F$6</f>
        <v>376.0789410861783</v>
      </c>
      <c r="G21" s="1039">
        <f t="shared" si="11"/>
        <v>175.44896101172384</v>
      </c>
      <c r="H21" s="1046">
        <f t="shared" si="12"/>
        <v>0.46652163108361816</v>
      </c>
      <c r="J21" s="1044">
        <f t="shared" ref="J21:K22" si="16">J8/J$6</f>
        <v>452.93004301075268</v>
      </c>
      <c r="K21" s="1045">
        <f t="shared" si="16"/>
        <v>384.55871595031397</v>
      </c>
      <c r="L21" s="1039">
        <f t="shared" si="13"/>
        <v>68.371327060438716</v>
      </c>
      <c r="M21" s="1046">
        <f t="shared" si="14"/>
        <v>0.17779164591675117</v>
      </c>
    </row>
    <row r="22" spans="3:13">
      <c r="C22" s="1047" t="s">
        <v>202</v>
      </c>
      <c r="D22" s="1038"/>
      <c r="E22" s="1048">
        <f>E9/E$6</f>
        <v>102.19149184149182</v>
      </c>
      <c r="F22" s="1049">
        <f t="shared" si="15"/>
        <v>70.483500401628177</v>
      </c>
      <c r="G22" s="1048">
        <f t="shared" si="11"/>
        <v>31.707991439863648</v>
      </c>
      <c r="H22" s="1046">
        <f t="shared" si="12"/>
        <v>0.44986402859088409</v>
      </c>
      <c r="J22" s="1048">
        <f t="shared" si="16"/>
        <v>91.685569892473112</v>
      </c>
      <c r="K22" s="1049">
        <f t="shared" si="16"/>
        <v>71.920199076021561</v>
      </c>
      <c r="L22" s="1048">
        <f t="shared" si="13"/>
        <v>19.765370816451551</v>
      </c>
      <c r="M22" s="1046">
        <f t="shared" si="14"/>
        <v>0.27482363884392241</v>
      </c>
    </row>
    <row r="23" spans="3:13">
      <c r="C23" s="1052" t="s">
        <v>3870</v>
      </c>
      <c r="D23" s="1038"/>
      <c r="E23" s="1041">
        <f>E11/E$6</f>
        <v>1.6903263403263402</v>
      </c>
      <c r="F23" s="1053">
        <f>F11/F$6</f>
        <v>10.197570800774299</v>
      </c>
      <c r="G23" s="1041">
        <f t="shared" si="11"/>
        <v>-8.5072444604479589</v>
      </c>
      <c r="H23" s="1042">
        <f t="shared" si="12"/>
        <v>-0.83424225500861493</v>
      </c>
      <c r="J23" s="1041">
        <f t="shared" ref="J23:K23" si="17">J11/J$6</f>
        <v>8.9302078853046591</v>
      </c>
      <c r="K23" s="1053">
        <f t="shared" si="17"/>
        <v>10.295545547466276</v>
      </c>
      <c r="L23" s="1041">
        <f t="shared" si="13"/>
        <v>-1.3653376621616164</v>
      </c>
      <c r="M23" s="1042">
        <f t="shared" si="14"/>
        <v>-0.13261440647966682</v>
      </c>
    </row>
    <row r="24" spans="3:13">
      <c r="C24" s="1047" t="s">
        <v>3871</v>
      </c>
      <c r="D24" s="1038"/>
      <c r="E24" s="1048">
        <f>E12/E$6</f>
        <v>100.50116550116549</v>
      </c>
      <c r="F24" s="1049">
        <f>F12/F$6</f>
        <v>60.285929600853876</v>
      </c>
      <c r="G24" s="1064">
        <f t="shared" si="11"/>
        <v>40.215235900311612</v>
      </c>
      <c r="H24" s="1056">
        <f t="shared" si="12"/>
        <v>0.6670749902435279</v>
      </c>
      <c r="J24" s="1048">
        <f>J12/J$6</f>
        <v>82.755362007168458</v>
      </c>
      <c r="K24" s="1049">
        <f>K12/K$6</f>
        <v>61.624653528555285</v>
      </c>
      <c r="L24" s="1064">
        <f t="shared" si="13"/>
        <v>21.130708478613172</v>
      </c>
      <c r="M24" s="1056">
        <f t="shared" si="14"/>
        <v>0.34289374898995162</v>
      </c>
    </row>
    <row r="25" spans="3:13">
      <c r="C25" s="1052" t="s">
        <v>3872</v>
      </c>
      <c r="D25" s="1038"/>
      <c r="E25" s="1065">
        <f>E14/E$6</f>
        <v>11.389230769230767</v>
      </c>
      <c r="F25" s="1057">
        <f>F14/F$6</f>
        <v>20</v>
      </c>
      <c r="G25" s="1039">
        <f t="shared" si="11"/>
        <v>-8.6107692307692325</v>
      </c>
      <c r="H25" s="1046">
        <f t="shared" si="12"/>
        <v>-0.43053846153846165</v>
      </c>
      <c r="J25" s="1041">
        <f t="shared" ref="J25:K25" si="18">J14/J$6</f>
        <v>14.089060931899644</v>
      </c>
      <c r="K25" s="1057">
        <f t="shared" si="18"/>
        <v>20</v>
      </c>
      <c r="L25" s="1039">
        <f t="shared" si="13"/>
        <v>-5.9109390681003564</v>
      </c>
      <c r="M25" s="1046">
        <f t="shared" si="14"/>
        <v>-0.2955469534050178</v>
      </c>
    </row>
    <row r="26" spans="3:13">
      <c r="C26" s="1066" t="s">
        <v>3873</v>
      </c>
      <c r="D26" s="1038"/>
      <c r="E26" s="1064">
        <f>E15/E$6</f>
        <v>89.11193473193471</v>
      </c>
      <c r="F26" s="1067">
        <f>F15/F$6</f>
        <v>40.285929600853876</v>
      </c>
      <c r="G26" s="1064">
        <f>E26-F26</f>
        <v>48.826005131080834</v>
      </c>
      <c r="H26" s="1056">
        <f t="shared" si="12"/>
        <v>1.2119865574616391</v>
      </c>
      <c r="J26" s="1064">
        <f>J15/J$6</f>
        <v>68.666301075268805</v>
      </c>
      <c r="K26" s="1067">
        <f>K15/K$6</f>
        <v>41.624653528555285</v>
      </c>
      <c r="L26" s="1064">
        <f>J26-K26</f>
        <v>27.04164754671352</v>
      </c>
      <c r="M26" s="1056">
        <f t="shared" si="14"/>
        <v>0.64965459780133539</v>
      </c>
    </row>
    <row r="27" spans="3:13">
      <c r="C27" s="1062"/>
      <c r="G27" s="1063"/>
      <c r="K27" s="1063"/>
    </row>
    <row r="29" spans="3:13">
      <c r="C29" s="1068" t="s">
        <v>3875</v>
      </c>
    </row>
    <row r="30" spans="3:13">
      <c r="C30" s="1069" t="s">
        <v>3876</v>
      </c>
      <c r="E30" s="1070" t="s">
        <v>3877</v>
      </c>
      <c r="F30" s="1071"/>
      <c r="G30" s="1072">
        <f>SUMIF(A37:A48,"X",E37:E48)*$G$33-E14</f>
        <v>3694.0200000000004</v>
      </c>
      <c r="H30" s="1073" t="s">
        <v>3878</v>
      </c>
    </row>
    <row r="31" spans="3:13" ht="14.4">
      <c r="C31" s="1074">
        <v>5773</v>
      </c>
      <c r="E31" s="1070" t="s">
        <v>3879</v>
      </c>
      <c r="F31" s="1071"/>
      <c r="G31" s="1072">
        <f>SUMIF(B37:B48,"X",E37:E48)*$G$33-J14</f>
        <v>8245.7599999999984</v>
      </c>
      <c r="H31" s="1073" t="s">
        <v>3878</v>
      </c>
    </row>
    <row r="32" spans="3:13">
      <c r="C32" s="1069" t="s">
        <v>3880</v>
      </c>
    </row>
    <row r="33" spans="1:41" ht="14.4">
      <c r="C33" s="1074">
        <v>6758</v>
      </c>
      <c r="E33" s="1322" t="s">
        <v>3881</v>
      </c>
      <c r="F33" s="1322"/>
      <c r="G33" s="1075">
        <v>20</v>
      </c>
    </row>
    <row r="35" spans="1:41">
      <c r="E35" s="1313" t="s">
        <v>3882</v>
      </c>
      <c r="F35" s="1314"/>
    </row>
    <row r="36" spans="1:41" ht="46.5" customHeight="1">
      <c r="A36" s="1076" t="s">
        <v>3</v>
      </c>
      <c r="B36" s="1076" t="s">
        <v>4</v>
      </c>
      <c r="C36" s="1077" t="s">
        <v>3</v>
      </c>
      <c r="D36" s="1071"/>
      <c r="E36" s="1078" t="s">
        <v>656</v>
      </c>
      <c r="F36" s="1078" t="s">
        <v>3883</v>
      </c>
      <c r="G36" s="1079" t="s">
        <v>3884</v>
      </c>
      <c r="H36" s="1022" t="str">
        <f>+IF(Parametres!$B$3=H$38,"X","")</f>
        <v/>
      </c>
      <c r="I36" s="1025" t="str">
        <f>+IF(Parametres!$B$3=I$38,"X","")</f>
        <v/>
      </c>
      <c r="J36" s="1025" t="str">
        <f>+IF(Parametres!$B$3=J$38,"X","")</f>
        <v/>
      </c>
      <c r="K36" s="1025" t="str">
        <f>+IF(Parametres!$B$3=K$38,"X","")</f>
        <v/>
      </c>
      <c r="L36" s="1025" t="str">
        <f>+IF(Parametres!$B$3=L$38,"X","")</f>
        <v/>
      </c>
      <c r="M36" s="1025" t="str">
        <f>+IF(Parametres!$B$3=M$38,"X","")</f>
        <v/>
      </c>
      <c r="N36" s="1025" t="str">
        <f>+IF(Parametres!$B$3=N$38,"X","")</f>
        <v/>
      </c>
      <c r="O36" s="1025" t="str">
        <f>+IF(Parametres!$B$3=O$38,"X","")</f>
        <v/>
      </c>
      <c r="P36" s="1025" t="str">
        <f>+IF(Parametres!$B$3=P$38,"X","")</f>
        <v/>
      </c>
      <c r="Q36" s="1025" t="str">
        <f>+IF(Parametres!$B$3=Q$38,"X","")</f>
        <v/>
      </c>
      <c r="R36" s="1022" t="str">
        <f>+IF(Parametres!$B$3=R$38,"X","")</f>
        <v/>
      </c>
      <c r="S36" s="1022" t="str">
        <f>+IF(Parametres!$B$3=S$38,"X","")</f>
        <v/>
      </c>
      <c r="U36" s="1022" t="str">
        <f>+IF(Parametres!$B$3=N$7,"X","")</f>
        <v/>
      </c>
      <c r="V36" s="1022" t="str">
        <f>+IF(Parametres!$B$3=N$7,"O","")</f>
        <v/>
      </c>
      <c r="W36" s="1022" t="str">
        <f>+IF(Parametres!$B$3=N$7,"U","")</f>
        <v/>
      </c>
      <c r="X36" s="1022" t="str">
        <f>+IF(Parametres!$B$3=Q$7,"X","")</f>
        <v/>
      </c>
      <c r="Y36" s="1022" t="str">
        <f>+IF(Parametres!$B$3=Q$7,"O","")</f>
        <v/>
      </c>
      <c r="Z36" s="1022" t="str">
        <f>+IF(Parametres!$B$3=Q$7,"U","")</f>
        <v/>
      </c>
      <c r="AA36" s="1022" t="str">
        <f>+IF(Parametres!$B$3=T$7,"X","")</f>
        <v/>
      </c>
      <c r="AB36" s="1022" t="str">
        <f>+IF(Parametres!$B$3=T$7,"O","")</f>
        <v/>
      </c>
      <c r="AC36" s="1022" t="str">
        <f>+IF(Parametres!$B$3=T$7,"U","")</f>
        <v/>
      </c>
      <c r="AD36" s="1022" t="str">
        <f>+IF(Parametres!$B$3=W$7,"X","")</f>
        <v/>
      </c>
      <c r="AE36" s="1022" t="str">
        <f>+IF(Parametres!$B$3=W$7,"O","")</f>
        <v/>
      </c>
      <c r="AF36" s="1022" t="str">
        <f>+IF(Parametres!$B$3=W$7,"U","")</f>
        <v/>
      </c>
      <c r="AG36" s="1022" t="str">
        <f>+IF(Parametres!$B$3=Z$7,"X","")</f>
        <v/>
      </c>
      <c r="AH36" s="1022" t="str">
        <f>+IF(Parametres!$B$3=Z$7,"O","")</f>
        <v/>
      </c>
      <c r="AI36" s="1022" t="str">
        <f>+IF(Parametres!$B$3=Z$7,"U","")</f>
        <v/>
      </c>
      <c r="AJ36" s="1022" t="str">
        <f>+IF(Parametres!$B$3=AC$7,"X","")</f>
        <v/>
      </c>
      <c r="AK36" s="1022" t="str">
        <f>+IF(Parametres!$B$3=AC$7,"O","")</f>
        <v/>
      </c>
      <c r="AL36" s="1022" t="str">
        <f>+IF(Parametres!$B$3=AC$7,"U","")</f>
        <v/>
      </c>
      <c r="AM36" s="1022" t="str">
        <f>+IF(Parametres!$B$3=AF$7,"X","")</f>
        <v/>
      </c>
      <c r="AN36" s="1022" t="str">
        <f>+IF(Parametres!$B$3=AF$7,"O","")</f>
        <v/>
      </c>
      <c r="AO36" s="1022" t="str">
        <f>+IF(Parametres!$B$3=AF$7,"U","")</f>
        <v/>
      </c>
    </row>
    <row r="37" spans="1:41">
      <c r="A37" s="1080" t="str">
        <f>+IF(Parametres!$B$3=$C37,"X","")</f>
        <v/>
      </c>
      <c r="B37" s="1080" t="str">
        <f>+IF(VLOOKUP($C37,Parametres!$K$3:$N$14,4,0)="X","X","")</f>
        <v>X</v>
      </c>
      <c r="C37" s="1081" t="s">
        <v>8</v>
      </c>
      <c r="E37" s="1082">
        <v>533</v>
      </c>
      <c r="F37" s="1082">
        <v>418.92206904918402</v>
      </c>
      <c r="G37" s="1082">
        <v>4014.4</v>
      </c>
      <c r="H37" s="1022" t="e">
        <f>ARRONDI</f>
        <v>#NAME?</v>
      </c>
      <c r="I37" s="1022"/>
      <c r="J37" s="1121"/>
      <c r="K37" s="1095"/>
      <c r="L37" s="1022"/>
      <c r="M37" s="1022"/>
    </row>
    <row r="38" spans="1:41">
      <c r="A38" s="1080" t="str">
        <f>+IF(Parametres!$B$3=$C38,"X","")</f>
        <v/>
      </c>
      <c r="B38" s="1080" t="str">
        <f>+IF(VLOOKUP($C38,Parametres!$K$3:$N$14,4,0)="X","X","")</f>
        <v>X</v>
      </c>
      <c r="C38" s="1083" t="s">
        <v>10</v>
      </c>
      <c r="E38" s="1082">
        <v>433</v>
      </c>
      <c r="F38" s="1082">
        <v>311.9435150172892</v>
      </c>
      <c r="G38" s="1082">
        <v>3551.28</v>
      </c>
      <c r="H38" s="1022"/>
      <c r="I38" s="1022"/>
      <c r="J38" s="1121"/>
      <c r="K38" s="1022"/>
      <c r="L38" s="1022"/>
      <c r="M38" s="1022"/>
    </row>
    <row r="39" spans="1:41">
      <c r="A39" s="1022" t="str">
        <f>+IF(Parametres!$B$3=$C39,"X","")</f>
        <v>X</v>
      </c>
      <c r="B39" s="1022" t="str">
        <f>+IF(VLOOKUP($C39,Parametres!$K$3:$N$14,4,0)="X","X","")</f>
        <v>X</v>
      </c>
      <c r="C39" s="1083" t="s">
        <v>11</v>
      </c>
      <c r="E39" s="1082">
        <v>429</v>
      </c>
      <c r="F39" s="1082">
        <v>418.68023703135316</v>
      </c>
      <c r="G39" s="1082">
        <v>4269.5213600121897</v>
      </c>
      <c r="H39" s="1022"/>
      <c r="I39" s="1022"/>
      <c r="J39" s="1121"/>
      <c r="K39" s="1022"/>
      <c r="L39" s="1022"/>
      <c r="M39" s="1022"/>
    </row>
    <row r="40" spans="1:41">
      <c r="A40" s="1022" t="str">
        <f>+IF(Parametres!$B$3=$C40,"X","")</f>
        <v/>
      </c>
      <c r="B40" s="1022" t="str">
        <f>+IF(VLOOKUP($C40,Parametres!$K$3:$N$14,4,0)="X","X","")</f>
        <v/>
      </c>
      <c r="C40" s="1083" t="s">
        <v>12</v>
      </c>
      <c r="E40" s="1082">
        <v>469</v>
      </c>
      <c r="F40" s="1082">
        <v>365.36471094335428</v>
      </c>
      <c r="G40" s="1082">
        <v>3179.2297395705646</v>
      </c>
      <c r="H40" s="1022"/>
      <c r="I40" s="1022"/>
      <c r="J40" s="1121"/>
      <c r="K40" s="1022"/>
      <c r="L40" s="1022"/>
      <c r="M40" s="1022"/>
    </row>
    <row r="41" spans="1:41">
      <c r="A41" s="1022" t="str">
        <f>+IF(Parametres!$B$3=$C41,"X","")</f>
        <v/>
      </c>
      <c r="B41" s="1022" t="str">
        <f>+IF(VLOOKUP($C41,Parametres!$K$3:$N$14,4,0)="X","X","")</f>
        <v/>
      </c>
      <c r="C41" s="1083" t="s">
        <v>13</v>
      </c>
      <c r="E41" s="1082">
        <v>461</v>
      </c>
      <c r="F41" s="1082">
        <v>375.8793196965787</v>
      </c>
      <c r="G41" s="1082">
        <v>4267.0566844986533</v>
      </c>
      <c r="H41" s="1022"/>
      <c r="I41" s="1022"/>
      <c r="J41" s="1121"/>
      <c r="K41" s="1123"/>
      <c r="L41" s="1022"/>
      <c r="M41" s="1022"/>
    </row>
    <row r="42" spans="1:41">
      <c r="A42" s="1022" t="str">
        <f>+IF(Parametres!$B$3=$C42,"X","")</f>
        <v/>
      </c>
      <c r="B42" s="1022" t="str">
        <f>+IF(VLOOKUP($C42,Parametres!$K$3:$N$14,4,0)="X","X","")</f>
        <v/>
      </c>
      <c r="C42" s="1083" t="s">
        <v>14</v>
      </c>
      <c r="E42" s="1082">
        <v>365</v>
      </c>
      <c r="F42" s="1082">
        <v>427.89426555292169</v>
      </c>
      <c r="G42" s="1082">
        <v>3723.6816888350295</v>
      </c>
      <c r="J42" s="1122"/>
      <c r="N42" s="1025"/>
      <c r="O42" s="1025"/>
      <c r="P42" s="1025"/>
      <c r="Q42" s="1025"/>
      <c r="R42" s="1071"/>
      <c r="S42" s="1071"/>
    </row>
    <row r="43" spans="1:41">
      <c r="A43" s="1022" t="str">
        <f>+IF(Parametres!$B$3=$C43,"X","")</f>
        <v/>
      </c>
      <c r="B43" s="1022" t="str">
        <f>+IF(VLOOKUP($C43,Parametres!$K$3:$N$14,4,0)="X","X","")</f>
        <v/>
      </c>
      <c r="C43" s="1083" t="s">
        <v>16</v>
      </c>
      <c r="E43" s="1082">
        <v>378</v>
      </c>
      <c r="F43" s="1082">
        <v>456.46099473794209</v>
      </c>
      <c r="G43" s="1082">
        <v>3830.8432589235963</v>
      </c>
      <c r="N43" s="1025"/>
      <c r="O43" s="1025"/>
      <c r="P43" s="1025"/>
      <c r="Q43" s="1025"/>
      <c r="R43" s="1071"/>
      <c r="S43" s="1071"/>
    </row>
    <row r="44" spans="1:41">
      <c r="A44" s="1022" t="str">
        <f>+IF(Parametres!$B$3=$C44,"X","")</f>
        <v/>
      </c>
      <c r="B44" s="1022" t="str">
        <f>+IF(VLOOKUP($C44,Parametres!$K$3:$N$14,4,0)="X","X","")</f>
        <v/>
      </c>
      <c r="C44" s="1083" t="s">
        <v>18</v>
      </c>
      <c r="E44" s="1082">
        <v>413</v>
      </c>
      <c r="F44" s="1082">
        <v>398.12415969308483</v>
      </c>
      <c r="G44" s="1082">
        <v>4360.9631518134156</v>
      </c>
      <c r="H44" s="1071"/>
      <c r="I44" s="1072"/>
      <c r="N44" s="1025"/>
      <c r="O44" s="1025"/>
      <c r="P44" s="1025"/>
      <c r="Q44" s="1025"/>
      <c r="R44" s="1071"/>
      <c r="S44" s="1071"/>
    </row>
    <row r="45" spans="1:41">
      <c r="A45" s="1022" t="str">
        <f>+IF(Parametres!$B$3=$C45,"X","")</f>
        <v/>
      </c>
      <c r="B45" s="1022" t="str">
        <f>+IF(VLOOKUP($C45,Parametres!$K$3:$N$14,4,0)="X","X","")</f>
        <v/>
      </c>
      <c r="C45" s="1083" t="s">
        <v>20</v>
      </c>
      <c r="E45" s="1082">
        <v>447</v>
      </c>
      <c r="F45" s="1082">
        <v>476.56079414871488</v>
      </c>
      <c r="G45" s="1082">
        <v>4652.1062293742398</v>
      </c>
      <c r="H45" s="1071"/>
      <c r="I45" s="1072"/>
      <c r="N45" s="1025"/>
      <c r="O45" s="1025"/>
      <c r="P45" s="1025"/>
      <c r="Q45" s="1025"/>
      <c r="R45" s="1071"/>
      <c r="S45" s="1071"/>
    </row>
    <row r="46" spans="1:41" ht="18" customHeight="1">
      <c r="A46" s="1022" t="str">
        <f>+IF(Parametres!$B$3=$C46,"X","")</f>
        <v/>
      </c>
      <c r="B46" s="1022" t="str">
        <f>+IF(VLOOKUP($C46,Parametres!$K$3:$N$14,4,0)="X","X","")</f>
        <v/>
      </c>
      <c r="C46" s="1083" t="s">
        <v>22</v>
      </c>
      <c r="E46" s="1082">
        <v>430</v>
      </c>
      <c r="F46" s="1082">
        <v>479.32101018309692</v>
      </c>
      <c r="G46" s="1082">
        <v>4057.5556394164596</v>
      </c>
      <c r="H46" s="1071"/>
      <c r="I46" s="1072"/>
      <c r="N46" s="1025"/>
      <c r="O46" s="1025"/>
      <c r="P46" s="1025"/>
      <c r="Q46" s="1025"/>
      <c r="R46" s="1071"/>
      <c r="S46" s="1071"/>
    </row>
    <row r="47" spans="1:41">
      <c r="A47" s="1022" t="str">
        <f>+IF(Parametres!$B$3=$C47,"X","")</f>
        <v/>
      </c>
      <c r="B47" s="1022" t="str">
        <f>+IF(VLOOKUP($C47,Parametres!$K$3:$N$14,4,0)="X","X","")</f>
        <v/>
      </c>
      <c r="C47" s="1084" t="s">
        <v>23</v>
      </c>
      <c r="E47" s="1082">
        <v>385</v>
      </c>
      <c r="F47" s="1082">
        <v>449.1117835802815</v>
      </c>
      <c r="G47" s="1082">
        <v>4856.9570339905476</v>
      </c>
    </row>
    <row r="48" spans="1:41">
      <c r="A48" s="1022" t="str">
        <f>+IF(Parametres!$B$3=$C48,"X","")</f>
        <v/>
      </c>
      <c r="B48" s="1022" t="str">
        <f>+IF(VLOOKUP($C48,Parametres!$K$3:$N$14,4,0)="X","X","")</f>
        <v/>
      </c>
      <c r="C48" s="1085" t="s">
        <v>6</v>
      </c>
      <c r="E48" s="1086">
        <v>418</v>
      </c>
      <c r="F48" s="1086">
        <v>461.73714036619947</v>
      </c>
      <c r="G48" s="1086">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xr:uid="{1AA54371-A28B-40D2-A31E-DF76CB68849D}"/>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baseColWidth="10"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323" t="s">
        <v>644</v>
      </c>
      <c r="C1" s="1324"/>
      <c r="D1" s="1324"/>
      <c r="E1" s="1324"/>
      <c r="F1" s="1324"/>
      <c r="G1" s="1324"/>
      <c r="H1" s="1324"/>
      <c r="I1" s="1324"/>
      <c r="J1" s="1324"/>
      <c r="K1" s="1324"/>
      <c r="L1" s="1324"/>
      <c r="M1" s="1324"/>
      <c r="N1" s="1324"/>
      <c r="O1" s="1324"/>
      <c r="P1" s="1324"/>
      <c r="Q1" s="1324"/>
      <c r="R1" s="1324"/>
      <c r="S1" s="1324"/>
      <c r="T1" s="1325"/>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4">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4">
      <c r="A5" s="3"/>
      <c r="B5" s="231" t="s">
        <v>656</v>
      </c>
      <c r="C5" s="559">
        <f>Print_Mois!J27</f>
        <v>80</v>
      </c>
      <c r="D5" s="560">
        <f>Print_Mois!L27/Print_Mois!J27</f>
        <v>1957.6501250000015</v>
      </c>
      <c r="E5" s="561">
        <f t="shared" ref="E5:E6" si="0">+C5*D5</f>
        <v>156612.01000000013</v>
      </c>
      <c r="F5" s="3"/>
      <c r="G5" s="231" t="s">
        <v>656</v>
      </c>
      <c r="H5" s="559">
        <f>Print_Mois!J108</f>
        <v>46</v>
      </c>
      <c r="I5" s="560">
        <f>Print_Mois!L108/Print_Mois!J108</f>
        <v>1437.7830434782622</v>
      </c>
      <c r="J5" s="561">
        <f t="shared" ref="J5:J6" si="1">+H5*I5</f>
        <v>66138.020000000062</v>
      </c>
      <c r="K5" s="3"/>
      <c r="L5" s="231" t="s">
        <v>656</v>
      </c>
      <c r="M5" s="560">
        <f>Print_Mois!K194</f>
        <v>309003.25</v>
      </c>
      <c r="N5" s="562">
        <f t="shared" ref="N5:N6" si="2">O5/M5</f>
        <v>0.7267185377500075</v>
      </c>
      <c r="O5" s="560">
        <f>Print_Mois!L194</f>
        <v>224558.39</v>
      </c>
      <c r="P5" s="3"/>
      <c r="Q5" s="231" t="s">
        <v>656</v>
      </c>
      <c r="R5" s="563">
        <f>Print_Mois!J185</f>
        <v>849</v>
      </c>
      <c r="S5" s="560">
        <f>Print_Mois!K185/Print_Mois!J185</f>
        <v>344.23252061248525</v>
      </c>
      <c r="T5" s="561">
        <f t="shared" ref="T5:T6" si="3">+R5*S5</f>
        <v>292253.40999999997</v>
      </c>
      <c r="U5" s="3"/>
      <c r="V5" s="3"/>
      <c r="W5" s="3"/>
      <c r="X5" s="3"/>
      <c r="Y5" s="3"/>
      <c r="Z5" s="3"/>
    </row>
    <row r="6" spans="1:26" ht="14.4">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ht="14.4">
      <c r="A7" s="3"/>
      <c r="B7" s="133" t="s">
        <v>655</v>
      </c>
      <c r="C7" s="569">
        <f t="shared" ref="C7:E7" si="4">+C5-C6</f>
        <v>80</v>
      </c>
      <c r="D7" s="570" t="e">
        <f t="shared" si="4"/>
        <v>#DIV/0!</v>
      </c>
      <c r="E7" s="571" t="e">
        <f t="shared" si="4"/>
        <v>#DIV/0!</v>
      </c>
      <c r="F7" s="3"/>
      <c r="G7" s="133" t="s">
        <v>655</v>
      </c>
      <c r="H7" s="569">
        <f t="shared" ref="H7:J7" si="5">+H5-H6</f>
        <v>46</v>
      </c>
      <c r="I7" s="570" t="e">
        <f t="shared" si="5"/>
        <v>#DIV/0!</v>
      </c>
      <c r="J7" s="571" t="e">
        <f t="shared" si="5"/>
        <v>#DIV/0!</v>
      </c>
      <c r="K7" s="3"/>
      <c r="L7" s="133" t="s">
        <v>655</v>
      </c>
      <c r="M7" s="570">
        <f t="shared" ref="M7:O7" si="6">+M5-M6</f>
        <v>309003.25</v>
      </c>
      <c r="N7" s="572" t="e">
        <f t="shared" si="6"/>
        <v>#DIV/0!</v>
      </c>
      <c r="O7" s="571">
        <f t="shared" si="6"/>
        <v>224558.39</v>
      </c>
      <c r="P7" s="3"/>
      <c r="Q7" s="133" t="s">
        <v>655</v>
      </c>
      <c r="R7" s="573">
        <f t="shared" ref="R7:T7" si="7">+R5-R6</f>
        <v>849</v>
      </c>
      <c r="S7" s="570" t="e">
        <f t="shared" si="7"/>
        <v>#DIV/0!</v>
      </c>
      <c r="T7" s="574" t="e">
        <f t="shared" si="7"/>
        <v>#DIV/0!</v>
      </c>
      <c r="U7" s="3"/>
      <c r="V7" s="3"/>
      <c r="W7" s="3"/>
      <c r="X7" s="3"/>
      <c r="Y7" s="3"/>
      <c r="Z7" s="3"/>
    </row>
    <row r="8" spans="1:26" ht="14.4">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4">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4">
      <c r="A10" s="3"/>
      <c r="B10" s="133" t="s">
        <v>659</v>
      </c>
      <c r="C10" s="577">
        <f t="shared" ref="C10:D10" si="12">+C5</f>
        <v>80</v>
      </c>
      <c r="D10" s="561">
        <f t="shared" si="12"/>
        <v>1957.6501250000015</v>
      </c>
      <c r="E10" s="566">
        <f>+C10*D10</f>
        <v>156612.01000000013</v>
      </c>
      <c r="F10" s="3"/>
      <c r="G10" s="133" t="s">
        <v>660</v>
      </c>
      <c r="H10" s="577">
        <f t="shared" ref="H10:I10" si="13">+H5</f>
        <v>46</v>
      </c>
      <c r="I10" s="561">
        <f t="shared" si="13"/>
        <v>1437.7830434782622</v>
      </c>
      <c r="J10" s="566">
        <f>+H10*I10</f>
        <v>66138.020000000062</v>
      </c>
      <c r="K10" s="3"/>
      <c r="L10" s="133" t="s">
        <v>661</v>
      </c>
      <c r="M10" s="561">
        <f t="shared" ref="M10:N10" si="14">+M5</f>
        <v>309003.25</v>
      </c>
      <c r="N10" s="562">
        <f t="shared" si="14"/>
        <v>0.7267185377500075</v>
      </c>
      <c r="O10" s="566">
        <f>+M10*N10</f>
        <v>224558.39</v>
      </c>
      <c r="P10" s="3"/>
      <c r="Q10" s="133" t="s">
        <v>662</v>
      </c>
      <c r="R10" s="578">
        <f t="shared" ref="R10:S10" si="15">+R5</f>
        <v>849</v>
      </c>
      <c r="S10" s="561">
        <f t="shared" si="15"/>
        <v>344.23252061248525</v>
      </c>
      <c r="T10" s="566">
        <f>+R10*S10</f>
        <v>292253.40999999997</v>
      </c>
      <c r="U10" s="3"/>
      <c r="V10" s="3"/>
      <c r="W10" s="3"/>
      <c r="X10" s="3"/>
      <c r="Y10" s="3"/>
      <c r="Z10" s="3"/>
    </row>
    <row r="11" spans="1:26" ht="14.4">
      <c r="A11" s="3"/>
      <c r="B11" s="133" t="s">
        <v>663</v>
      </c>
      <c r="C11" s="577">
        <f>+C5</f>
        <v>80</v>
      </c>
      <c r="D11" s="566" t="e">
        <f>+D6</f>
        <v>#DIV/0!</v>
      </c>
      <c r="E11" s="566" t="e">
        <f>C11*D11</f>
        <v>#DIV/0!</v>
      </c>
      <c r="F11" s="3"/>
      <c r="G11" s="133" t="s">
        <v>663</v>
      </c>
      <c r="H11" s="577">
        <f>+H5</f>
        <v>46</v>
      </c>
      <c r="I11" s="566" t="e">
        <f>+I6</f>
        <v>#DIV/0!</v>
      </c>
      <c r="J11" s="566" t="e">
        <f>H11*I11</f>
        <v>#DIV/0!</v>
      </c>
      <c r="K11" s="3"/>
      <c r="L11" s="133" t="s">
        <v>663</v>
      </c>
      <c r="M11" s="561">
        <f>+M5</f>
        <v>309003.25</v>
      </c>
      <c r="N11" s="567" t="e">
        <f>+N6</f>
        <v>#DIV/0!</v>
      </c>
      <c r="O11" s="566" t="e">
        <f>M11*N11</f>
        <v>#DIV/0!</v>
      </c>
      <c r="P11" s="3"/>
      <c r="Q11" s="133" t="s">
        <v>664</v>
      </c>
      <c r="R11" s="578">
        <f>+R5</f>
        <v>849</v>
      </c>
      <c r="S11" s="566" t="e">
        <f>+S6</f>
        <v>#DIV/0!</v>
      </c>
      <c r="T11" s="566" t="e">
        <f>R11*S11</f>
        <v>#DIV/0!</v>
      </c>
      <c r="U11" s="3"/>
      <c r="V11" s="3"/>
      <c r="W11" s="3"/>
      <c r="X11" s="3"/>
      <c r="Y11" s="3"/>
      <c r="Z11" s="3"/>
    </row>
    <row r="12" spans="1:26" ht="14.4">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4">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4">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4">
      <c r="A15" s="3"/>
      <c r="B15" s="133" t="s">
        <v>666</v>
      </c>
      <c r="C15" s="577">
        <f t="shared" ref="C15:C16" si="20">+C5</f>
        <v>80</v>
      </c>
      <c r="D15" s="566" t="e">
        <f>+D6</f>
        <v>#DIV/0!</v>
      </c>
      <c r="E15" s="566" t="e">
        <f>+C15*D15</f>
        <v>#DIV/0!</v>
      </c>
      <c r="F15" s="3"/>
      <c r="G15" s="133" t="s">
        <v>667</v>
      </c>
      <c r="H15" s="577">
        <f t="shared" ref="H15:H16" si="21">+H5</f>
        <v>46</v>
      </c>
      <c r="I15" s="566" t="e">
        <f>+I6</f>
        <v>#DIV/0!</v>
      </c>
      <c r="J15" s="566" t="e">
        <f>+H15*I15</f>
        <v>#DIV/0!</v>
      </c>
      <c r="K15" s="3"/>
      <c r="L15" s="133" t="s">
        <v>668</v>
      </c>
      <c r="M15" s="561">
        <f t="shared" ref="M15:M16" si="22">+M5</f>
        <v>309003.25</v>
      </c>
      <c r="N15" s="567" t="e">
        <f>+N6</f>
        <v>#DIV/0!</v>
      </c>
      <c r="O15" s="566" t="e">
        <f>+M15*N15</f>
        <v>#DIV/0!</v>
      </c>
      <c r="P15" s="3"/>
      <c r="Q15" s="133" t="s">
        <v>669</v>
      </c>
      <c r="R15" s="578">
        <f t="shared" ref="R15:R16" si="23">+R5</f>
        <v>849</v>
      </c>
      <c r="S15" s="566" t="e">
        <f>+S6</f>
        <v>#DIV/0!</v>
      </c>
      <c r="T15" s="566" t="e">
        <f>+R15*S15</f>
        <v>#DIV/0!</v>
      </c>
      <c r="U15" s="3"/>
      <c r="V15" s="3"/>
      <c r="W15" s="3"/>
      <c r="X15" s="3"/>
      <c r="Y15" s="3"/>
      <c r="Z15" s="3"/>
    </row>
    <row r="16" spans="1:26" ht="14.4">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4">
      <c r="A17" s="3"/>
      <c r="B17" s="133" t="s">
        <v>665</v>
      </c>
      <c r="C17" s="569">
        <f t="shared" ref="C17:E17" si="24">+C15-C16</f>
        <v>80</v>
      </c>
      <c r="D17" s="570" t="e">
        <f t="shared" si="24"/>
        <v>#DIV/0!</v>
      </c>
      <c r="E17" s="571" t="e">
        <f t="shared" si="24"/>
        <v>#DIV/0!</v>
      </c>
      <c r="F17" s="3"/>
      <c r="G17" s="133" t="s">
        <v>665</v>
      </c>
      <c r="H17" s="569">
        <f t="shared" ref="H17:J17" si="25">+H15-H16</f>
        <v>46</v>
      </c>
      <c r="I17" s="570" t="e">
        <f t="shared" si="25"/>
        <v>#DIV/0!</v>
      </c>
      <c r="J17" s="571" t="e">
        <f t="shared" si="25"/>
        <v>#DIV/0!</v>
      </c>
      <c r="K17" s="3"/>
      <c r="L17" s="133" t="s">
        <v>665</v>
      </c>
      <c r="M17" s="570">
        <f t="shared" ref="M17:O17" si="26">+M15-M16</f>
        <v>309003.25</v>
      </c>
      <c r="N17" s="572" t="e">
        <f t="shared" si="26"/>
        <v>#DIV/0!</v>
      </c>
      <c r="O17" s="571" t="e">
        <f t="shared" si="26"/>
        <v>#DIV/0!</v>
      </c>
      <c r="P17" s="3"/>
      <c r="Q17" s="133" t="s">
        <v>665</v>
      </c>
      <c r="R17" s="573">
        <f t="shared" ref="R17:T17" si="27">+R15-R16</f>
        <v>849</v>
      </c>
      <c r="S17" s="570" t="e">
        <f t="shared" si="27"/>
        <v>#DIV/0!</v>
      </c>
      <c r="T17" s="574" t="e">
        <f t="shared" si="27"/>
        <v>#DIV/0!</v>
      </c>
      <c r="U17" s="3"/>
      <c r="V17" s="3"/>
      <c r="W17" s="3"/>
      <c r="X17" s="3"/>
      <c r="Y17" s="3"/>
      <c r="Z17" s="3"/>
    </row>
    <row r="18" spans="1:26" ht="14.4">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4">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4">
      <c r="A20" s="3"/>
      <c r="B20" s="133" t="s">
        <v>672</v>
      </c>
      <c r="C20" s="579">
        <f t="shared" ref="C20:D20" si="28">MAX(C5:C6)</f>
        <v>80</v>
      </c>
      <c r="D20" s="566" t="e">
        <f t="shared" si="28"/>
        <v>#DIV/0!</v>
      </c>
      <c r="E20" s="566" t="e">
        <f>+C20*D20</f>
        <v>#DIV/0!</v>
      </c>
      <c r="F20" s="3"/>
      <c r="G20" s="133" t="s">
        <v>672</v>
      </c>
      <c r="H20" s="579">
        <f t="shared" ref="H20:I20" si="29">MAX(H5:H6)</f>
        <v>46</v>
      </c>
      <c r="I20" s="566" t="e">
        <f t="shared" si="29"/>
        <v>#DIV/0!</v>
      </c>
      <c r="J20" s="566" t="e">
        <f>+H20*I20</f>
        <v>#DIV/0!</v>
      </c>
      <c r="K20" s="3"/>
      <c r="L20" s="133" t="s">
        <v>672</v>
      </c>
      <c r="M20" s="566">
        <f t="shared" ref="M20:N20" si="30">MAX(M5:M6)</f>
        <v>309003.25</v>
      </c>
      <c r="N20" s="567" t="e">
        <f t="shared" si="30"/>
        <v>#DIV/0!</v>
      </c>
      <c r="O20" s="566" t="e">
        <f>+M20*N20</f>
        <v>#DIV/0!</v>
      </c>
      <c r="P20" s="3"/>
      <c r="Q20" s="133" t="s">
        <v>672</v>
      </c>
      <c r="R20" s="580">
        <f t="shared" ref="R20:S20" si="31">MAX(R5:R6)</f>
        <v>849</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80</v>
      </c>
      <c r="D23" s="570" t="e">
        <f t="shared" si="36"/>
        <v>#DIV/0!</v>
      </c>
      <c r="E23" s="570" t="e">
        <f t="shared" si="36"/>
        <v>#DIV/0!</v>
      </c>
      <c r="F23" s="3"/>
      <c r="G23" s="133" t="s">
        <v>674</v>
      </c>
      <c r="H23" s="569">
        <f t="shared" ref="H23:J23" si="37">+H20-H22</f>
        <v>46</v>
      </c>
      <c r="I23" s="570" t="e">
        <f t="shared" si="37"/>
        <v>#DIV/0!</v>
      </c>
      <c r="J23" s="570" t="e">
        <f t="shared" si="37"/>
        <v>#DIV/0!</v>
      </c>
      <c r="K23" s="3"/>
      <c r="L23" s="133" t="s">
        <v>674</v>
      </c>
      <c r="M23" s="570">
        <f t="shared" ref="M23:O23" si="38">+M20-M22</f>
        <v>309003.25</v>
      </c>
      <c r="N23" s="572" t="e">
        <f t="shared" si="38"/>
        <v>#DIV/0!</v>
      </c>
      <c r="O23" s="570" t="e">
        <f t="shared" si="38"/>
        <v>#DIV/0!</v>
      </c>
      <c r="P23" s="3"/>
      <c r="Q23" s="133" t="s">
        <v>674</v>
      </c>
      <c r="R23" s="573">
        <f t="shared" ref="R23:T23" si="39">+R20-R22</f>
        <v>849</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80</v>
      </c>
      <c r="D32" s="566">
        <f t="shared" ref="D32:D33" si="40">+E32/C32</f>
        <v>353.37645744185068</v>
      </c>
      <c r="E32" s="566">
        <f>+Print_Mois!N78</f>
        <v>28270.116595348052</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80</v>
      </c>
      <c r="D33" s="566">
        <f t="shared" si="40"/>
        <v>-99.783749999999969</v>
      </c>
      <c r="E33" s="566">
        <f>+Print_Mois!N82</f>
        <v>-7982.6999999999971</v>
      </c>
      <c r="F33" s="3"/>
      <c r="G33" s="133" t="s">
        <v>681</v>
      </c>
      <c r="H33" s="588">
        <f>+H17</f>
        <v>46</v>
      </c>
      <c r="I33" s="566">
        <f>+J33/H33</f>
        <v>-296.64021739130436</v>
      </c>
      <c r="J33" s="566">
        <f>+Print_Mois!N159</f>
        <v>-13645.45</v>
      </c>
      <c r="K33" s="3"/>
      <c r="L33" s="3"/>
      <c r="M33" s="3"/>
      <c r="N33" s="3"/>
      <c r="O33" s="3"/>
      <c r="P33" s="3"/>
      <c r="Q33" s="3"/>
      <c r="R33" s="3"/>
      <c r="S33" s="3"/>
      <c r="T33" s="3"/>
      <c r="U33" s="3"/>
      <c r="V33" s="3"/>
      <c r="W33" s="3"/>
      <c r="X33" s="3"/>
      <c r="Y33" s="3"/>
      <c r="Z33" s="3"/>
    </row>
    <row r="34" spans="1:26" ht="15.75" customHeight="1">
      <c r="A34" s="3"/>
      <c r="B34" s="3"/>
      <c r="C34" s="3"/>
      <c r="D34" s="3"/>
      <c r="E34" s="570">
        <f>SUM(E32:E33)</f>
        <v>20287.416595348055</v>
      </c>
      <c r="F34" s="3"/>
      <c r="G34" s="3"/>
      <c r="H34" s="3"/>
      <c r="I34" s="3"/>
      <c r="J34" s="570">
        <f>SUM(J32:J33)</f>
        <v>-13645.45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9"/>
  <sheetViews>
    <sheetView topLeftCell="C309" zoomScale="80" zoomScaleNormal="80" workbookViewId="0">
      <selection activeCell="F401" sqref="F401"/>
    </sheetView>
  </sheetViews>
  <sheetFormatPr baseColWidth="10" defaultColWidth="12.59765625" defaultRowHeight="15" customHeight="1"/>
  <cols>
    <col min="1" max="1" width="24.09765625" hidden="1" customWidth="1"/>
    <col min="2" max="2" width="36" hidden="1" customWidth="1"/>
    <col min="3" max="3" width="34.59765625" customWidth="1"/>
    <col min="4" max="4" width="16.3984375" customWidth="1"/>
    <col min="5" max="5" width="15.59765625" customWidth="1"/>
    <col min="6" max="6" width="16.8984375" customWidth="1"/>
    <col min="7" max="7" width="17.69921875" hidden="1" customWidth="1"/>
    <col min="8" max="8" width="15.59765625" hidden="1" customWidth="1"/>
    <col min="9" max="9" width="15.8984375" hidden="1" customWidth="1"/>
    <col min="10" max="10" width="16.69921875" customWidth="1"/>
    <col min="11" max="11" width="16.3984375" customWidth="1"/>
    <col min="12" max="12" width="15.8984375" customWidth="1"/>
    <col min="13" max="13" width="12" customWidth="1"/>
    <col min="14" max="14" width="18.59765625" customWidth="1"/>
    <col min="15" max="15" width="16.3984375" customWidth="1"/>
    <col min="16" max="16" width="15.59765625" customWidth="1"/>
    <col min="17" max="17" width="16.3984375" customWidth="1"/>
    <col min="18" max="18" width="14.5" customWidth="1"/>
    <col min="19" max="19" width="21.3984375" customWidth="1"/>
    <col min="20" max="20" width="3" customWidth="1"/>
    <col min="21" max="21" width="30.8984375" bestFit="1" customWidth="1"/>
    <col min="22" max="22" width="28.69921875" customWidth="1"/>
    <col min="23" max="24" width="12.19921875" customWidth="1"/>
    <col min="25" max="25" width="12.5" customWidth="1"/>
    <col min="26" max="26" width="17.3984375" customWidth="1"/>
    <col min="27" max="27" width="10.8984375" hidden="1" customWidth="1"/>
    <col min="28" max="28" width="10" hidden="1" customWidth="1"/>
    <col min="29" max="29" width="17.5" hidden="1" customWidth="1"/>
    <col min="30" max="30" width="13.8984375" customWidth="1"/>
    <col min="31" max="31" width="15.3984375" customWidth="1"/>
    <col min="32" max="32" width="18.8984375" customWidth="1"/>
    <col min="33" max="33" width="13.8984375" bestFit="1" customWidth="1"/>
    <col min="34" max="34" width="16.19921875" customWidth="1"/>
    <col min="35" max="35" width="15" customWidth="1"/>
    <col min="36" max="37" width="13.09765625" customWidth="1"/>
    <col min="38" max="38" width="17.5" customWidth="1"/>
    <col min="39" max="39" width="10.8984375" customWidth="1"/>
    <col min="40" max="40" width="16" customWidth="1"/>
    <col min="41" max="41" width="12.3984375" customWidth="1"/>
    <col min="42" max="42" width="11" customWidth="1"/>
    <col min="43" max="43" width="15.69921875" customWidth="1"/>
    <col min="44" max="44" width="19.8984375" customWidth="1"/>
    <col min="45" max="62" width="11" customWidth="1"/>
  </cols>
  <sheetData>
    <row r="1" spans="1:40" ht="35.4">
      <c r="B1" s="36"/>
      <c r="C1" s="890" t="str">
        <f>Parametres!B1</f>
        <v>Volks</v>
      </c>
      <c r="D1" s="232"/>
      <c r="E1" s="232"/>
      <c r="F1" s="232"/>
      <c r="G1" s="232"/>
      <c r="H1" s="36"/>
      <c r="I1" s="232"/>
      <c r="J1" s="36"/>
      <c r="K1" s="9" t="s">
        <v>92</v>
      </c>
      <c r="L1" s="232"/>
      <c r="M1" s="232"/>
      <c r="N1" s="234"/>
      <c r="O1" s="900"/>
      <c r="P1" s="899"/>
      <c r="Q1" s="900"/>
      <c r="R1" s="899"/>
      <c r="S1" s="902" t="str">
        <f>CONCATENATE("Réalisé AAJ,"," ",Parametres!B3," ",Parametres!B4)</f>
        <v>Réalisé AAJ, Mars 2026</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1">
      <c r="B3" s="41"/>
      <c r="C3" s="238"/>
      <c r="D3" s="1299" t="s">
        <v>343</v>
      </c>
      <c r="E3" s="1300"/>
      <c r="F3" s="1301"/>
      <c r="G3" s="1304"/>
      <c r="H3" s="1300"/>
      <c r="I3" s="1301"/>
      <c r="J3" s="1304" t="s">
        <v>344</v>
      </c>
      <c r="K3" s="1300"/>
      <c r="L3" s="1301"/>
      <c r="M3" s="1304" t="s">
        <v>3310</v>
      </c>
      <c r="N3" s="1301"/>
      <c r="O3" s="1299" t="s">
        <v>345</v>
      </c>
      <c r="P3" s="1300"/>
      <c r="Q3" s="1301"/>
      <c r="R3" s="1302" t="s">
        <v>3312</v>
      </c>
      <c r="S3" s="1303"/>
      <c r="T3" s="41"/>
      <c r="U3" s="41"/>
      <c r="V3" s="5" t="s">
        <v>347</v>
      </c>
      <c r="W3" s="599">
        <v>0.45</v>
      </c>
      <c r="X3" s="41"/>
      <c r="Y3" s="41"/>
      <c r="Z3" s="41"/>
      <c r="AA3" s="41"/>
      <c r="AB3" s="41"/>
      <c r="AC3" s="41"/>
      <c r="AD3" s="41"/>
      <c r="AE3" s="41"/>
      <c r="AF3" s="41"/>
      <c r="AG3" s="41"/>
      <c r="AH3" s="41"/>
      <c r="AI3" s="41"/>
      <c r="AJ3" s="41"/>
      <c r="AK3" s="41"/>
      <c r="AL3" s="41"/>
      <c r="AM3" s="41"/>
      <c r="AN3" s="41"/>
    </row>
    <row r="4" spans="1:40" ht="20.399999999999999">
      <c r="B4" s="41"/>
      <c r="C4" s="241"/>
      <c r="D4" s="242" t="s">
        <v>93</v>
      </c>
      <c r="E4" s="243" t="s">
        <v>348</v>
      </c>
      <c r="F4" s="244" t="s">
        <v>95</v>
      </c>
      <c r="G4" s="245"/>
      <c r="H4" s="243"/>
      <c r="I4" s="244"/>
      <c r="J4" s="245" t="s">
        <v>3317</v>
      </c>
      <c r="K4" s="243" t="s">
        <v>94</v>
      </c>
      <c r="L4" s="244" t="s">
        <v>95</v>
      </c>
      <c r="M4" s="245" t="s">
        <v>3317</v>
      </c>
      <c r="N4" s="244" t="s">
        <v>95</v>
      </c>
      <c r="O4" s="243" t="s">
        <v>93</v>
      </c>
      <c r="P4" s="243" t="s">
        <v>348</v>
      </c>
      <c r="Q4" s="244" t="s">
        <v>95</v>
      </c>
      <c r="R4" s="245" t="s">
        <v>3317</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399999999999999">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8622151.9720156472</v>
      </c>
      <c r="G5" s="246"/>
      <c r="H5" s="247"/>
      <c r="I5" s="249"/>
      <c r="J5" s="246"/>
      <c r="K5" s="250"/>
      <c r="L5" s="248">
        <f>-SUMIFS(BV_Data_An_Cour!$P:$P,BV_Data_An_Cour!$X:$X,"Oui",BV_Data_An_Cour!$U:$U,$B5)</f>
        <v>8646155.0799999982</v>
      </c>
      <c r="M5" s="251"/>
      <c r="N5" s="252"/>
      <c r="O5" s="246"/>
      <c r="P5" s="250"/>
      <c r="Q5" s="248" cm="1">
        <f t="array" ref="Q5">+SUMPRODUCT(('Réel 2024'!$A$8:$A$501=$A5)*('Réel 2024'!$C$3:$AO$3=Q$2),'Réel 2024'!$C$8:$AO$501)</f>
        <v>7849835.55999998</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399999999999999">
      <c r="A6" s="5" t="str">
        <f t="shared" si="0"/>
        <v>Véhicules neufsAutos détail</v>
      </c>
      <c r="B6" s="41" t="str">
        <f t="shared" si="1"/>
        <v>Véhicules neufs</v>
      </c>
      <c r="C6" s="253" t="s">
        <v>97</v>
      </c>
      <c r="D6" s="254" cm="1">
        <f t="array" ref="D6">+SUMPRODUCT(('Budget original'!$A$8:$A$501=$A6)*('Budget original'!$C$3:$AO$3=D$2),'Budget original'!$C$8:$AO$501)</f>
        <v>47</v>
      </c>
      <c r="E6" s="254">
        <f t="shared" ref="E6:E12" si="2">IF(D6=0,0,F6/D6)</f>
        <v>1839.3978952721661</v>
      </c>
      <c r="F6" s="254" cm="1">
        <f t="array" ref="F6">+SUMPRODUCT(('Budget original'!$A$8:$A$501=$A6)*('Budget original'!$C$3:$AO$3=F$2),'Budget original'!$C$8:$AO$501)</f>
        <v>86451.701077791804</v>
      </c>
      <c r="G6" s="255"/>
      <c r="H6" s="254"/>
      <c r="I6" s="254"/>
      <c r="J6" s="255">
        <f>-SUMIFS(BV_Data_An_Cour!$P:$P,BV_Data_An_Cour!$U:$U,$B6,BV_Data_An_Cour!$V:$V,$C6,BV_Data_An_Cour!$W:$W,J$2)</f>
        <v>21</v>
      </c>
      <c r="K6" s="254">
        <f t="shared" ref="K6:K12" si="3">IF(J6=0,0,L6/J6)</f>
        <v>1514.3509523809514</v>
      </c>
      <c r="L6" s="256">
        <f>-SUMIFS(BV_Data_An_Cour!$P:$P,BV_Data_An_Cour!$U:$U,$B6,BV_Data_An_Cour!$V:$V,$C6,BV_Data_An_Cour!$W:$W,L$2)</f>
        <v>31801.369999999981</v>
      </c>
      <c r="M6" s="255">
        <f t="shared" ref="M6:M12" si="4">J6-D6</f>
        <v>-26</v>
      </c>
      <c r="N6" s="256">
        <f t="shared" ref="N6:N12" si="5">L6-F6</f>
        <v>-54650.331077791823</v>
      </c>
      <c r="O6" s="255" cm="1">
        <f t="array" ref="O6">+SUMPRODUCT(('Réel 2024'!$A$8:$A$501=$A6)*('Réel 2024'!$C$3:$AO$3=O$2),'Réel 2024'!$C$8:$AO$501)</f>
        <v>23</v>
      </c>
      <c r="P6" s="254">
        <f t="shared" ref="P6:P12" si="6">IF(O6=0,0,Q6/O6)</f>
        <v>1715.5069565217302</v>
      </c>
      <c r="Q6" s="256" cm="1">
        <f t="array" ref="Q6">+SUMPRODUCT(('Réel 2024'!$A$8:$A$501=$A6)*('Réel 2024'!$C$3:$AO$3=Q$2),'Réel 2024'!$C$8:$AO$501)</f>
        <v>39456.659999999792</v>
      </c>
      <c r="R6" s="255">
        <f t="shared" ref="R6:R12" si="7">J6-O6</f>
        <v>-2</v>
      </c>
      <c r="S6" s="256">
        <f t="shared" ref="S6:S12" si="8">L6-Q6</f>
        <v>-7655.2899999998117</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399999999999999">
      <c r="A7" s="5" t="str">
        <f t="shared" si="0"/>
        <v>Véhicules neufsCamions détail</v>
      </c>
      <c r="B7" s="41" t="str">
        <f t="shared" si="1"/>
        <v>Véhicules neufs</v>
      </c>
      <c r="C7" s="253" t="s">
        <v>98</v>
      </c>
      <c r="D7" s="254" cm="1">
        <f t="array" ref="D7">+SUMPRODUCT(('Budget original'!$A$8:$A$501=$A7)*('Budget original'!$C$3:$AO$3=D$2),'Budget original'!$C$8:$AO$501)</f>
        <v>116</v>
      </c>
      <c r="E7" s="254">
        <f t="shared" si="2"/>
        <v>2490.3910628837125</v>
      </c>
      <c r="F7" s="254" cm="1">
        <f t="array" ref="F7">+SUMPRODUCT(('Budget original'!$A$8:$A$501=$A7)*('Budget original'!$C$3:$AO$3=F$2),'Budget original'!$C$8:$AO$501)</f>
        <v>288885.36329451064</v>
      </c>
      <c r="G7" s="255"/>
      <c r="H7" s="254"/>
      <c r="I7" s="254"/>
      <c r="J7" s="255">
        <f>-SUMIFS(BV_Data_An_Cour!$P:$P,BV_Data_An_Cour!$U:$U,$B7,BV_Data_An_Cour!$V:$V,$C7,BV_Data_An_Cour!$W:$W,J$2)</f>
        <v>115</v>
      </c>
      <c r="K7" s="254">
        <f t="shared" si="3"/>
        <v>1898.5395652173918</v>
      </c>
      <c r="L7" s="256">
        <f>-SUMIFS(BV_Data_An_Cour!$P:$P,BV_Data_An_Cour!$U:$U,$B7,BV_Data_An_Cour!$V:$V,$C7,BV_Data_An_Cour!$W:$W,L$2)</f>
        <v>218332.05000000005</v>
      </c>
      <c r="M7" s="255">
        <f t="shared" si="4"/>
        <v>-1</v>
      </c>
      <c r="N7" s="256">
        <f t="shared" si="5"/>
        <v>-70553.31329451059</v>
      </c>
      <c r="O7" s="255" cm="1">
        <f t="array" ref="O7">+SUMPRODUCT(('Réel 2024'!$A$8:$A$501=$A7)*('Réel 2024'!$C$3:$AO$3=O$2),'Réel 2024'!$C$8:$AO$501)</f>
        <v>106</v>
      </c>
      <c r="P7" s="254">
        <f t="shared" si="6"/>
        <v>2395.9359433962163</v>
      </c>
      <c r="Q7" s="256" cm="1">
        <f t="array" ref="Q7">+SUMPRODUCT(('Réel 2024'!$A$8:$A$501=$A7)*('Réel 2024'!$C$3:$AO$3=Q$2),'Réel 2024'!$C$8:$AO$501)</f>
        <v>253969.20999999892</v>
      </c>
      <c r="R7" s="255">
        <f t="shared" si="7"/>
        <v>9</v>
      </c>
      <c r="S7" s="256">
        <f t="shared" si="8"/>
        <v>-35637.159999998868</v>
      </c>
      <c r="T7" s="41"/>
      <c r="U7" s="41"/>
      <c r="V7" s="5" t="s">
        <v>355</v>
      </c>
      <c r="W7" s="599">
        <v>0.2</v>
      </c>
      <c r="X7" s="41"/>
      <c r="Y7" s="41"/>
      <c r="Z7" s="41"/>
      <c r="AA7" s="41"/>
      <c r="AB7" s="41"/>
      <c r="AC7" s="41"/>
      <c r="AD7" s="41"/>
      <c r="AE7" s="41"/>
      <c r="AF7" s="41"/>
      <c r="AG7" s="41"/>
      <c r="AH7" s="41"/>
      <c r="AI7" s="41"/>
      <c r="AJ7" s="41"/>
      <c r="AK7" s="41"/>
      <c r="AL7" s="41"/>
      <c r="AM7" s="41"/>
      <c r="AN7" s="41"/>
    </row>
    <row r="8" spans="1:40" ht="20.399999999999999">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399999999999999">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399999999999999"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399999999999999"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399999999999999"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tr">
        <f t="shared" si="0"/>
        <v>Véhicules neufsTotal Neufs</v>
      </c>
      <c r="B13" s="41" t="str">
        <f t="shared" si="1"/>
        <v>Véhicules neufs</v>
      </c>
      <c r="C13" s="259" t="s">
        <v>101</v>
      </c>
      <c r="D13" s="260">
        <f>+SUM(D6:D12)</f>
        <v>163</v>
      </c>
      <c r="E13" s="260">
        <f>IF(D13&lt;=0,0,F13/D13)</f>
        <v>2302.6813765171928</v>
      </c>
      <c r="F13" s="261">
        <f t="shared" ref="F13" si="9">+SUM(F6:F12)</f>
        <v>375337.06437230244</v>
      </c>
      <c r="G13" s="262"/>
      <c r="H13" s="260"/>
      <c r="I13" s="261"/>
      <c r="J13" s="262">
        <f t="shared" ref="J13" si="10">+SUM(J6:J12)</f>
        <v>136</v>
      </c>
      <c r="K13" s="260">
        <f>IF(J13&lt;=0,0,L13/J13)</f>
        <v>1839.216323529412</v>
      </c>
      <c r="L13" s="261">
        <f t="shared" ref="L13" si="11">+SUM(L6:L12)</f>
        <v>250133.42000000004</v>
      </c>
      <c r="M13" s="262">
        <f>+SUM(M6:M12)</f>
        <v>-27</v>
      </c>
      <c r="N13" s="261">
        <f t="shared" ref="N13" si="12">+SUM(N6:N12)</f>
        <v>-125203.64437230241</v>
      </c>
      <c r="O13" s="262">
        <f>+SUM(O6:O12)</f>
        <v>129</v>
      </c>
      <c r="P13" s="260">
        <f>IF(O13&lt;=0,0,Q13/O13)</f>
        <v>2274.6191472868118</v>
      </c>
      <c r="Q13" s="261">
        <f t="shared" ref="Q13" si="13">+SUM(Q6:Q12)</f>
        <v>293425.86999999871</v>
      </c>
      <c r="R13" s="262">
        <f t="shared" ref="R13:S13" si="14">+SUM(R6:R12)</f>
        <v>7</v>
      </c>
      <c r="S13" s="261">
        <f t="shared" si="14"/>
        <v>-43292.44999999868</v>
      </c>
      <c r="T13" s="41"/>
      <c r="U13" s="41"/>
      <c r="V13" s="41"/>
      <c r="W13" s="41"/>
      <c r="X13" s="41"/>
      <c r="Y13" s="41"/>
      <c r="Z13" s="41"/>
      <c r="AA13" s="41"/>
      <c r="AB13" s="41"/>
      <c r="AC13" s="41"/>
      <c r="AD13" s="41"/>
      <c r="AE13" s="41"/>
      <c r="AF13" s="41"/>
      <c r="AG13" s="41"/>
      <c r="AH13" s="41"/>
      <c r="AI13" s="41"/>
      <c r="AJ13" s="41"/>
      <c r="AK13" s="41"/>
      <c r="AL13" s="41"/>
      <c r="AM13" s="41"/>
      <c r="AN13" s="41"/>
    </row>
    <row r="14" spans="1:40" ht="21">
      <c r="A14" s="5" t="str">
        <f t="shared" si="0"/>
        <v>Véhicules neufs</v>
      </c>
      <c r="B14" s="41" t="str">
        <f t="shared" si="1"/>
        <v>Véhicules neufs</v>
      </c>
      <c r="C14" s="253"/>
      <c r="D14" s="41"/>
      <c r="E14" s="254"/>
      <c r="F14" s="263"/>
      <c r="G14" s="253"/>
      <c r="H14" s="254"/>
      <c r="I14" s="263"/>
      <c r="J14" s="253"/>
      <c r="K14" s="254"/>
      <c r="L14" s="263"/>
      <c r="M14" s="264">
        <f>IF(D13=0,0,M13/D13)</f>
        <v>-0.16564417177914109</v>
      </c>
      <c r="N14" s="265">
        <f>IF(F13=0,0,N13/F13)</f>
        <v>-0.33357655360172755</v>
      </c>
      <c r="O14" s="253"/>
      <c r="P14" s="254"/>
      <c r="Q14" s="263"/>
      <c r="R14" s="264">
        <f>R13/O13</f>
        <v>5.4263565891472867E-2</v>
      </c>
      <c r="S14" s="265">
        <f>IF(Q13=0,0,(S13/Q13))</f>
        <v>-0.14754135346007108</v>
      </c>
      <c r="T14" s="41"/>
      <c r="U14" s="41"/>
      <c r="V14" s="41"/>
      <c r="W14" s="41"/>
      <c r="X14" s="41"/>
      <c r="Y14" s="41"/>
      <c r="Z14" s="41"/>
      <c r="AA14" s="41"/>
      <c r="AB14" s="41"/>
      <c r="AC14" s="41"/>
      <c r="AD14" s="41"/>
      <c r="AE14" s="41"/>
      <c r="AF14" s="41"/>
      <c r="AG14" s="41"/>
      <c r="AH14" s="41"/>
      <c r="AI14" s="41"/>
      <c r="AJ14" s="41"/>
      <c r="AK14" s="41"/>
      <c r="AL14" s="41"/>
      <c r="AM14" s="41"/>
      <c r="AN14" s="41"/>
    </row>
    <row r="15" spans="1:40" ht="21">
      <c r="A15" s="5" t="str">
        <f t="shared" si="0"/>
        <v>Véhicules neufsEx-Démos et courtoisies</v>
      </c>
      <c r="B15" s="41" t="str">
        <f t="shared" si="1"/>
        <v>Véhicules neufs</v>
      </c>
      <c r="C15" s="266" t="s">
        <v>102</v>
      </c>
      <c r="D15" s="250" cm="1">
        <f t="array" ref="D15">+SUMPRODUCT(('Budget original'!$A$8:$A$501=$A15)*('Budget original'!$C$3:$AO$3=D$2),'Budget original'!$C$8:$AO$501)</f>
        <v>10</v>
      </c>
      <c r="E15" s="250">
        <f>IF(D15=0,0,F15/D15)</f>
        <v>1524.8245365854227</v>
      </c>
      <c r="F15" s="248" cm="1">
        <f t="array" ref="F15">+SUMPRODUCT(('Budget original'!$A$8:$A$501=$A15)*('Budget original'!$C$3:$AO$3=F$2),'Budget original'!$C$8:$AO$501)</f>
        <v>15248.245365854227</v>
      </c>
      <c r="G15" s="267"/>
      <c r="H15" s="250"/>
      <c r="I15" s="248"/>
      <c r="J15" s="268">
        <f>-SUMIFS(BV_Data_An_Cour!$P:$P,BV_Data_An_Cour!$U:$U,$B15,BV_Data_An_Cour!$V:$V,$C15,BV_Data_An_Cour!$W:$W,J$2)</f>
        <v>3</v>
      </c>
      <c r="K15" s="269">
        <f>IF(J15=0,0,L15/J15)</f>
        <v>1734.7000000000019</v>
      </c>
      <c r="L15" s="269">
        <f>-SUMIFS(BV_Data_An_Cour!$P:$P,BV_Data_An_Cour!$U:$U,$B15,BV_Data_An_Cour!$V:$V,$C15,BV_Data_An_Cour!$W:$W,L$2)</f>
        <v>5204.1000000000058</v>
      </c>
      <c r="M15" s="267">
        <f>J15-D15</f>
        <v>-7</v>
      </c>
      <c r="N15" s="248">
        <f>L15-F15</f>
        <v>-10044.145365854221</v>
      </c>
      <c r="O15" s="268" cm="1">
        <f t="array" ref="O15">+SUMPRODUCT(('Réel 2024'!$A$8:$A$501=$A15)*('Réel 2024'!$C$3:$AO$3=O$2),'Réel 2024'!$C$8:$AO$501)</f>
        <v>8</v>
      </c>
      <c r="P15" s="269">
        <f>IF(O15=0,0,Q15/O15)</f>
        <v>1178.0212499999961</v>
      </c>
      <c r="Q15" s="269" cm="1">
        <f t="array" ref="Q15">+SUMPRODUCT(('Réel 2024'!$A$8:$A$501=$A15)*('Réel 2024'!$C$3:$AO$3=Q$2),'Réel 2024'!$C$8:$AO$501)</f>
        <v>9424.1699999999691</v>
      </c>
      <c r="R15" s="267">
        <f>J15-O15</f>
        <v>-5</v>
      </c>
      <c r="S15" s="248">
        <f>L15-Q15</f>
        <v>-4220.0699999999633</v>
      </c>
      <c r="T15" s="41"/>
      <c r="U15" s="41"/>
      <c r="V15" s="41"/>
      <c r="W15" s="41"/>
      <c r="X15" s="41"/>
      <c r="Y15" s="41"/>
      <c r="Z15" s="41"/>
      <c r="AA15" s="41"/>
      <c r="AB15" s="41"/>
      <c r="AC15" s="41"/>
      <c r="AD15" s="41"/>
      <c r="AE15" s="41"/>
      <c r="AF15" s="41"/>
      <c r="AG15" s="41"/>
      <c r="AH15" s="41"/>
      <c r="AI15" s="41"/>
      <c r="AJ15" s="41"/>
      <c r="AK15" s="41"/>
      <c r="AL15" s="41"/>
      <c r="AM15" s="41"/>
      <c r="AN15" s="41"/>
    </row>
    <row r="16" spans="1:40" ht="21">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tr">
        <f t="shared" si="0"/>
        <v>Véhicules neufsFlottes</v>
      </c>
      <c r="B17" s="41" t="str">
        <f t="shared" si="1"/>
        <v>Véhicules neufs</v>
      </c>
      <c r="C17" s="270" t="s">
        <v>103</v>
      </c>
      <c r="D17" s="254" cm="1">
        <f t="array" ref="D17">+SUMPRODUCT(('Budget original'!$A$8:$A$501=$A17)*('Budget original'!$C$3:$AO$3=D$2),'Budget original'!$C$8:$AO$501)</f>
        <v>12</v>
      </c>
      <c r="E17" s="254">
        <f>IF(D17=0,0,F17/D17)</f>
        <v>1300.6851300000001</v>
      </c>
      <c r="F17" s="254" cm="1">
        <f t="array" ref="F17">+SUMPRODUCT(('Budget original'!$A$8:$A$501=$A17)*('Budget original'!$C$3:$AO$3=F$2),'Budget original'!$C$8:$AO$501)</f>
        <v>15608.221560000002</v>
      </c>
      <c r="G17" s="255"/>
      <c r="H17" s="254"/>
      <c r="I17" s="254"/>
      <c r="J17" s="267">
        <f>-SUMIFS(BV_Data_An_Cour!$P:$P,BV_Data_An_Cour!$U:$U,$B17,BV_Data_An_Cour!$V:$V,$C17,BV_Data_An_Cour!$W:$W,J$2)</f>
        <v>37</v>
      </c>
      <c r="K17" s="254">
        <f>IF(J17=0,0,L17/J17)</f>
        <v>436.81675675675598</v>
      </c>
      <c r="L17" s="256">
        <f>-SUMIFS(BV_Data_An_Cour!$P:$P,BV_Data_An_Cour!$U:$U,$B17,BV_Data_An_Cour!$V:$V,$C17,BV_Data_An_Cour!$W:$W,L$2)</f>
        <v>16162.219999999972</v>
      </c>
      <c r="M17" s="267">
        <f>J17-D17</f>
        <v>25</v>
      </c>
      <c r="N17" s="256">
        <f>L17-F17</f>
        <v>553.99843999997029</v>
      </c>
      <c r="O17" s="267" cm="1">
        <f t="array" ref="O17">+SUMPRODUCT(('Réel 2024'!$A$8:$A$501=$A17)*('Réel 2024'!$C$3:$AO$3=O$2),'Réel 2024'!$C$8:$AO$501)</f>
        <v>12</v>
      </c>
      <c r="P17" s="254">
        <f>IF(O17=0,0,Q17/O17)</f>
        <v>2463.2191666666681</v>
      </c>
      <c r="Q17" s="256" cm="1">
        <f t="array" ref="Q17">+SUMPRODUCT(('Réel 2024'!$A$8:$A$501=$A17)*('Réel 2024'!$C$3:$AO$3=Q$2),'Réel 2024'!$C$8:$AO$501)</f>
        <v>29558.630000000019</v>
      </c>
      <c r="R17" s="255">
        <f>J17-O17</f>
        <v>25</v>
      </c>
      <c r="S17" s="256">
        <f>L17-Q17</f>
        <v>-13396.410000000047</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1">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617070.5199999999</v>
      </c>
      <c r="Y18" s="459">
        <f t="shared" ref="Y18:Y19" si="15">+X18-W18</f>
        <v>617070.5199999999</v>
      </c>
      <c r="Z18" s="41"/>
      <c r="AA18" s="41"/>
      <c r="AB18" s="41"/>
      <c r="AC18" s="41"/>
      <c r="AD18" s="41"/>
      <c r="AE18" s="41"/>
      <c r="AF18" s="41"/>
      <c r="AG18" s="41"/>
      <c r="AH18" s="41"/>
      <c r="AI18" s="41"/>
      <c r="AJ18" s="41"/>
      <c r="AK18" s="41"/>
      <c r="AL18" s="41"/>
      <c r="AM18" s="41"/>
      <c r="AN18" s="41"/>
    </row>
    <row r="19" spans="1:40" ht="21">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23935.389133627017</v>
      </c>
      <c r="G19" s="255"/>
      <c r="H19" s="254"/>
      <c r="I19" s="254"/>
      <c r="J19" s="267"/>
      <c r="K19" s="254"/>
      <c r="L19" s="256">
        <f>-SUMIFS(BV_Data_An_Cour!$P:$P,BV_Data_An_Cour!$U:$U,$B19,BV_Data_An_Cour!$V:$V,$C19,BV_Data_An_Cour!$W:$W,L$2)</f>
        <v>13154.770000000019</v>
      </c>
      <c r="M19" s="255"/>
      <c r="N19" s="256">
        <f>L19-F19</f>
        <v>-10780.619133626999</v>
      </c>
      <c r="O19" s="267" cm="1">
        <f t="array" ref="O19">+SUMPRODUCT(('Réel 2024'!$A$8:$A$501=$A19)*('Réel 2024'!$C$3:$AO$3=O$2),'Réel 2024'!$C$8:$AO$501)</f>
        <v>0</v>
      </c>
      <c r="P19" s="254">
        <f>IF(O19=0,0,Q19/O19)</f>
        <v>0</v>
      </c>
      <c r="Q19" s="256" cm="1">
        <f t="array" ref="Q19">+SUMPRODUCT(('Réel 2024'!$A$8:$A$501=$A19)*('Réel 2024'!$C$3:$AO$3=Q$2),'Réel 2024'!$C$8:$AO$501)</f>
        <v>24706.850000000009</v>
      </c>
      <c r="R19" s="255">
        <f>O19-K19</f>
        <v>0</v>
      </c>
      <c r="S19" s="256">
        <f>L19-Q19</f>
        <v>-11552.079999999991</v>
      </c>
      <c r="T19" s="41"/>
      <c r="U19" s="41"/>
      <c r="V19" s="41" t="s">
        <v>693</v>
      </c>
      <c r="W19" s="459">
        <f>+I194+I250+I314</f>
        <v>0</v>
      </c>
      <c r="X19" s="459">
        <f>+L194+L250+L314</f>
        <v>1125691.7499999998</v>
      </c>
      <c r="Y19" s="459">
        <f t="shared" si="15"/>
        <v>1125691.7499999998</v>
      </c>
      <c r="Z19" s="41"/>
      <c r="AA19" s="41"/>
      <c r="AB19" s="41"/>
      <c r="AC19" s="41"/>
      <c r="AD19" s="41"/>
      <c r="AE19" s="41"/>
      <c r="AF19" s="41"/>
      <c r="AG19" s="41"/>
      <c r="AH19" s="41"/>
      <c r="AI19" s="41"/>
      <c r="AJ19" s="41"/>
      <c r="AK19" s="41"/>
      <c r="AL19" s="41"/>
      <c r="AM19" s="41"/>
      <c r="AN19" s="41"/>
    </row>
    <row r="20" spans="1:40" ht="21">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8650</v>
      </c>
      <c r="G21" s="253"/>
      <c r="H21" s="254"/>
      <c r="I21" s="254"/>
      <c r="J21" s="255"/>
      <c r="K21" s="254">
        <f>IF(J13=0,0,L21/(J13+J15))</f>
        <v>19.534892086330935</v>
      </c>
      <c r="L21" s="256">
        <f>-SUMIFS(BV_Data_An_Cour!$P:$P,BV_Data_An_Cour!$U:$U,$B21,BV_Data_An_Cour!$V:$V,$C21,BV_Data_An_Cour!$W:$W,L$2)</f>
        <v>2715.35</v>
      </c>
      <c r="M21" s="255"/>
      <c r="N21" s="256">
        <f>L21-F21</f>
        <v>-5934.65</v>
      </c>
      <c r="O21" s="255"/>
      <c r="P21" s="254"/>
      <c r="Q21" s="256" cm="1">
        <f t="array" ref="Q21">+SUMPRODUCT(('Réel 2024'!$A$8:$A$501=$A21)*('Réel 2024'!$C$3:$AO$3=Q$2),'Réel 2024'!$C$8:$AO$501)</f>
        <v>615.35</v>
      </c>
      <c r="R21" s="255">
        <f t="shared" ref="R21:R23" si="16">O21-K21</f>
        <v>-19.534892086330935</v>
      </c>
      <c r="S21" s="256">
        <f t="shared" ref="S21:S24" si="17">L21-Q21</f>
        <v>2100</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195490</v>
      </c>
      <c r="G22" s="253"/>
      <c r="H22" s="254"/>
      <c r="I22" s="254"/>
      <c r="J22" s="255"/>
      <c r="K22" s="254">
        <f>IF(J13=0,0,L22/(J13+J15))</f>
        <v>946.67165467625887</v>
      </c>
      <c r="L22" s="256">
        <f>-SUMIFS(BV_Data_An_Cour!$P:$P,BV_Data_An_Cour!$U:$U,$B22,BV_Data_An_Cour!$V:$V,$C22,BV_Data_An_Cour!$W:$W,L$2)</f>
        <v>131587.35999999999</v>
      </c>
      <c r="M22" s="255"/>
      <c r="N22" s="256">
        <f>L22-F22</f>
        <v>-63902.640000000014</v>
      </c>
      <c r="O22" s="255"/>
      <c r="P22" s="254"/>
      <c r="Q22" s="256" cm="1">
        <f t="array" ref="Q22">+SUMPRODUCT(('Réel 2024'!$A$8:$A$501=$A22)*('Réel 2024'!$C$3:$AO$3=Q$2),'Réel 2024'!$C$8:$AO$501)</f>
        <v>123797</v>
      </c>
      <c r="R22" s="255">
        <f t="shared" si="16"/>
        <v>-946.67165467625887</v>
      </c>
      <c r="S22" s="256">
        <f t="shared" si="17"/>
        <v>7790.359999999986</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3460</v>
      </c>
      <c r="G23" s="253"/>
      <c r="H23" s="254"/>
      <c r="I23" s="254"/>
      <c r="J23" s="255"/>
      <c r="K23" s="254">
        <f>IF(J13=0,0,L23/(J13+J15))</f>
        <v>13.639280575539567</v>
      </c>
      <c r="L23" s="256">
        <f>-SUMIFS(BV_Data_An_Cour!$P:$P,BV_Data_An_Cour!$U:$U,$B23,BV_Data_An_Cour!$V:$V,$C23,BV_Data_An_Cour!$W:$W,L$2)</f>
        <v>1895.86</v>
      </c>
      <c r="M23" s="267"/>
      <c r="N23" s="256">
        <f>L23-F23</f>
        <v>-1564.14</v>
      </c>
      <c r="O23" s="255"/>
      <c r="P23" s="254"/>
      <c r="Q23" s="256" cm="1">
        <f t="array" ref="Q23">+SUMPRODUCT(('Réel 2024'!$A$8:$A$501=$A23)*('Réel 2024'!$C$3:$AO$3=Q$2),'Réel 2024'!$C$8:$AO$501)</f>
        <v>760.01</v>
      </c>
      <c r="R23" s="255">
        <f t="shared" si="16"/>
        <v>-13.639280575539567</v>
      </c>
      <c r="S23" s="256">
        <f t="shared" si="17"/>
        <v>1135.8499999999999</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173</v>
      </c>
      <c r="E24" s="260">
        <f>IF(D24&lt;=0,0,F24/D24)</f>
        <v>1200</v>
      </c>
      <c r="F24" s="261">
        <f>F21+F22+F23</f>
        <v>207600</v>
      </c>
      <c r="G24" s="262"/>
      <c r="H24" s="260"/>
      <c r="I24" s="261"/>
      <c r="J24" s="262">
        <f>+J15+J13</f>
        <v>139</v>
      </c>
      <c r="K24" s="260">
        <f>IF(J24&lt;=0,0,L24/J24)</f>
        <v>979.84582733812931</v>
      </c>
      <c r="L24" s="261">
        <f>L21+L22+L23</f>
        <v>136198.56999999998</v>
      </c>
      <c r="M24" s="275">
        <f>J24-D24</f>
        <v>-34</v>
      </c>
      <c r="N24" s="261">
        <f>L24-F24</f>
        <v>-71401.430000000022</v>
      </c>
      <c r="O24" s="262">
        <f>+O15+O13</f>
        <v>137</v>
      </c>
      <c r="P24" s="260">
        <f>IF(O24&lt;=0,0,Q24/O24)</f>
        <v>913.66686131386859</v>
      </c>
      <c r="Q24" s="261">
        <f>Q21+Q22+Q23</f>
        <v>125172.36</v>
      </c>
      <c r="R24" s="273"/>
      <c r="S24" s="261">
        <f t="shared" si="17"/>
        <v>11026.209999999977</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-0.34393752408477851</v>
      </c>
      <c r="O25" s="253"/>
      <c r="P25" s="41"/>
      <c r="Q25" s="276"/>
      <c r="R25" s="277"/>
      <c r="S25" s="265">
        <f>IF(Q24=0,0,(S24/Q24))</f>
        <v>8.8088216919453927E-2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185</v>
      </c>
      <c r="E27" s="280">
        <f>IF(D27&lt;=0,0,F27/D27)</f>
        <v>3447.1833536853178</v>
      </c>
      <c r="F27" s="281">
        <f>F13+F17+F24+F19+F15</f>
        <v>637728.92043178377</v>
      </c>
      <c r="G27" s="282"/>
      <c r="H27" s="280"/>
      <c r="I27" s="281"/>
      <c r="J27" s="282">
        <f>+J13+J15+J17</f>
        <v>176</v>
      </c>
      <c r="K27" s="280">
        <f>IF(J27&lt;=0,0,L27/J27)</f>
        <v>2391.2106818181815</v>
      </c>
      <c r="L27" s="281">
        <f>L13+L17+L24+L19+L15</f>
        <v>420853.07999999996</v>
      </c>
      <c r="M27" s="282">
        <f>J27-D27</f>
        <v>-9</v>
      </c>
      <c r="N27" s="281">
        <f>L27-F27</f>
        <v>-216875.84043178381</v>
      </c>
      <c r="O27" s="282">
        <f>+O13+O15+O17</f>
        <v>149</v>
      </c>
      <c r="P27" s="280">
        <f>IF(O27&lt;=0,0,Q27/O27)</f>
        <v>3236.8314093959648</v>
      </c>
      <c r="Q27" s="281">
        <f>Q13+Q17+Q24+Q19+Q15</f>
        <v>482287.87999999872</v>
      </c>
      <c r="R27" s="282">
        <f>J27-O27</f>
        <v>27</v>
      </c>
      <c r="S27" s="281">
        <f>L27-Q27</f>
        <v>-61434.799999998766</v>
      </c>
      <c r="T27" s="41"/>
      <c r="U27" s="41">
        <f>+S27/R27</f>
        <v>-2275.3629629629172</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0.65992472117315171</v>
      </c>
      <c r="M28" s="286">
        <f>M27/D27</f>
        <v>-4.8648648648648651E-2</v>
      </c>
      <c r="N28" s="287">
        <f>N27/F27</f>
        <v>-0.34007527882684829</v>
      </c>
      <c r="O28" s="283"/>
      <c r="P28" s="284"/>
      <c r="Q28" s="285"/>
      <c r="R28" s="286">
        <f>R27/O27</f>
        <v>0.18120805369127516</v>
      </c>
      <c r="S28" s="287">
        <f>IF(Q27=0,0,S27/Q27)</f>
        <v>-0.12738201092674967</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727.58528006070696</v>
      </c>
      <c r="F31" s="254" cm="1">
        <f t="array" ref="F31">+SUMPRODUCT(('Budget original'!$A$8:$A$501=$A31)*('Budget original'!$C$3:$AO$3=F$2),'Budget original'!$C$8:$AO$501)</f>
        <v>125872.25345050231</v>
      </c>
      <c r="G31" s="298"/>
      <c r="H31" s="291"/>
      <c r="I31" s="254"/>
      <c r="J31" s="292">
        <f>L31/(L13+L15+L17)</f>
        <v>0.41867804366958139</v>
      </c>
      <c r="K31" s="291">
        <f t="shared" ref="K31:K40" si="19">IF(L31=0,0,L31/J$24)</f>
        <v>817.7768345323741</v>
      </c>
      <c r="L31" s="254">
        <f>SUMIFS(BV_Data_An_Cour!$P:$P,BV_Data_An_Cour!$U:$U,$B31,BV_Data_An_Cour!$V:$V,$C31,BV_Data_An_Cour!$W:$W,L$2)</f>
        <v>113670.98</v>
      </c>
      <c r="M31" s="253"/>
      <c r="N31" s="276">
        <f t="shared" ref="N31:N53" si="20">L31-F31</f>
        <v>-12201.273450502311</v>
      </c>
      <c r="O31" s="253"/>
      <c r="P31" s="291">
        <f t="shared" ref="P31:P40" si="21">Q31/O$24</f>
        <v>741.00262773722625</v>
      </c>
      <c r="Q31" s="256" cm="1">
        <f t="array" ref="Q31">+SUMPRODUCT(('Réel 2024'!$A$8:$A$501=$A31)*('Réel 2024'!$C$3:$AO$3=Q$2),'Réel 2024'!$C$8:$AO$501)</f>
        <v>101517.36</v>
      </c>
      <c r="R31" s="253"/>
      <c r="S31" s="276">
        <f t="shared" ref="S31:S41" si="22">L31-Q31</f>
        <v>12153.619999999995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240</v>
      </c>
      <c r="F32" s="248" cm="1">
        <f t="array" ref="F32">+SUMPRODUCT(('Budget original'!$A$8:$A$501=$A32)*('Budget original'!$C$3:$AO$3=F$2),'Budget original'!$C$8:$AO$501)</f>
        <v>41520</v>
      </c>
      <c r="G32" s="300"/>
      <c r="H32" s="294"/>
      <c r="I32" s="248"/>
      <c r="J32" s="295">
        <f>L32/L24</f>
        <v>0.22441748103522677</v>
      </c>
      <c r="K32" s="294">
        <f t="shared" si="19"/>
        <v>219.89453237410072</v>
      </c>
      <c r="L32" s="248">
        <f>SUMIFS(BV_Data_An_Cour!$P:$P,BV_Data_An_Cour!$U:$U,$B32,BV_Data_An_Cour!$V:$V,$C32,BV_Data_An_Cour!$W:$W,L$2)</f>
        <v>30565.34</v>
      </c>
      <c r="M32" s="246"/>
      <c r="N32" s="296">
        <f t="shared" si="20"/>
        <v>-10954.66</v>
      </c>
      <c r="O32" s="246"/>
      <c r="P32" s="294">
        <f t="shared" si="21"/>
        <v>263.93226277372264</v>
      </c>
      <c r="Q32" s="248" cm="1">
        <f t="array" ref="Q32">+SUMPRODUCT(('Réel 2024'!$A$8:$A$501=$A32)*('Réel 2024'!$C$3:$AO$3=Q$2),'Réel 2024'!$C$8:$AO$501)</f>
        <v>36158.720000000001</v>
      </c>
      <c r="R32" s="246"/>
      <c r="S32" s="296">
        <f t="shared" si="22"/>
        <v>-5593.380000000001</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19895</v>
      </c>
      <c r="G33" s="298"/>
      <c r="H33" s="291"/>
      <c r="I33" s="254"/>
      <c r="J33" s="253"/>
      <c r="K33" s="291">
        <f t="shared" si="19"/>
        <v>101.84942446043165</v>
      </c>
      <c r="L33" s="254">
        <f>SUMIFS(BV_Data_An_Cour!$P:$P,BV_Data_An_Cour!$U:$U,$B33,BV_Data_An_Cour!$V:$V,$C33,BV_Data_An_Cour!$W:$W,L$2)</f>
        <v>14157.07</v>
      </c>
      <c r="M33" s="253"/>
      <c r="N33" s="276">
        <f t="shared" si="20"/>
        <v>-5737.93</v>
      </c>
      <c r="O33" s="253"/>
      <c r="P33" s="291">
        <f t="shared" si="21"/>
        <v>69.442335766423355</v>
      </c>
      <c r="Q33" s="256" cm="1">
        <f t="array" ref="Q33">+SUMPRODUCT(('Réel 2024'!$A$8:$A$501=$A33)*('Réel 2024'!$C$3:$AO$3=Q$2),'Réel 2024'!$C$8:$AO$501)</f>
        <v>9513.6</v>
      </c>
      <c r="R33" s="253"/>
      <c r="S33" s="276">
        <f t="shared" si="22"/>
        <v>4643.4699999999993</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1730</v>
      </c>
      <c r="G34" s="298"/>
      <c r="H34" s="291"/>
      <c r="I34" s="254"/>
      <c r="J34" s="253"/>
      <c r="K34" s="291">
        <f t="shared" si="19"/>
        <v>0</v>
      </c>
      <c r="L34" s="254">
        <f>SUMIFS(BV_Data_An_Cour!$P:$P,BV_Data_An_Cour!$U:$U,$B34,BV_Data_An_Cour!$V:$V,$C34,BV_Data_An_Cour!$W:$W,L$2)</f>
        <v>0</v>
      </c>
      <c r="M34" s="253"/>
      <c r="N34" s="276">
        <f t="shared" si="20"/>
        <v>-1730</v>
      </c>
      <c r="O34" s="253"/>
      <c r="P34" s="291">
        <f t="shared" si="21"/>
        <v>11.8692700729927</v>
      </c>
      <c r="Q34" s="256" cm="1">
        <f t="array" ref="Q34">+SUMPRODUCT(('Réel 2024'!$A$8:$A$501=$A34)*('Réel 2024'!$C$3:$AO$3=Q$2),'Réel 2024'!$C$8:$AO$501)</f>
        <v>1626.09</v>
      </c>
      <c r="R34" s="253"/>
      <c r="S34" s="276">
        <f t="shared" si="22"/>
        <v>-1626.09</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v>
      </c>
      <c r="F35" s="248" cm="1">
        <f t="array" ref="F35">+SUMPRODUCT(('Budget original'!$A$8:$A$501=$A35)*('Budget original'!$C$3:$AO$3=F$2),'Budget original'!$C$8:$AO$501)</f>
        <v>20760</v>
      </c>
      <c r="G35" s="300"/>
      <c r="H35" s="294"/>
      <c r="I35" s="248"/>
      <c r="J35" s="246"/>
      <c r="K35" s="294">
        <f t="shared" si="19"/>
        <v>147.64999999999998</v>
      </c>
      <c r="L35" s="248">
        <f>SUMIFS(BV_Data_An_Cour!$P:$P,BV_Data_An_Cour!$U:$U,$B35,BV_Data_An_Cour!$V:$V,$C35,BV_Data_An_Cour!$W:$W,L$2)</f>
        <v>20523.349999999999</v>
      </c>
      <c r="M35" s="246"/>
      <c r="N35" s="296">
        <f t="shared" si="20"/>
        <v>-236.65000000000146</v>
      </c>
      <c r="O35" s="246"/>
      <c r="P35" s="294">
        <f t="shared" si="21"/>
        <v>152.3197080291971</v>
      </c>
      <c r="Q35" s="256" cm="1">
        <f t="array" ref="Q35">+SUMPRODUCT(('Réel 2024'!$A$8:$A$501=$A35)*('Réel 2024'!$C$3:$AO$3=Q$2),'Réel 2024'!$C$8:$AO$501)</f>
        <v>20867.800000000003</v>
      </c>
      <c r="R35" s="246"/>
      <c r="S35" s="296">
        <f t="shared" si="22"/>
        <v>-344.45000000000437</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63.430635838150287</v>
      </c>
      <c r="F36" s="254" cm="1">
        <f t="array" ref="F36">+SUMPRODUCT(('Budget original'!$A$8:$A$501=$A36)*('Budget original'!$C$3:$AO$3=F$2),'Budget original'!$C$8:$AO$501)</f>
        <v>10973.5</v>
      </c>
      <c r="G36" s="298"/>
      <c r="H36" s="291"/>
      <c r="I36" s="254"/>
      <c r="J36" s="253"/>
      <c r="K36" s="291">
        <f t="shared" si="19"/>
        <v>25.987913669064746</v>
      </c>
      <c r="L36" s="301">
        <f>SUMIFS(BV_Data_An_Cour!$P:$P,BV_Data_An_Cour!$U:$U,$B36,BV_Data_An_Cour!$V:$V,$C36,BV_Data_An_Cour!$W:$W,L$2)</f>
        <v>3612.3199999999997</v>
      </c>
      <c r="M36" s="41"/>
      <c r="N36" s="276">
        <f t="shared" si="20"/>
        <v>-7361.18</v>
      </c>
      <c r="O36" s="253"/>
      <c r="P36" s="291">
        <f t="shared" si="21"/>
        <v>213.15934306569341</v>
      </c>
      <c r="Q36" s="272" cm="1">
        <f t="array" ref="Q36">+SUMPRODUCT(('Réel 2024'!$A$8:$A$501=$A36)*('Réel 2024'!$C$3:$AO$3=Q$2),'Réel 2024'!$C$8:$AO$501)</f>
        <v>29202.829999999998</v>
      </c>
      <c r="R36" s="253"/>
      <c r="S36" s="276">
        <f t="shared" si="22"/>
        <v>-25590.51</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373.20171227190139</v>
      </c>
      <c r="F37" s="254" cm="1">
        <f t="array" ref="F37">+SUMPRODUCT(('Budget original'!$A$8:$A$501=$A37)*('Budget original'!$C$3:$AO$3=F$2),'Budget original'!$C$8:$AO$501)</f>
        <v>64563.896223038944</v>
      </c>
      <c r="G37" s="298"/>
      <c r="H37" s="291"/>
      <c r="I37" s="254"/>
      <c r="J37" s="253"/>
      <c r="K37" s="291">
        <f t="shared" si="19"/>
        <v>552.95690647482013</v>
      </c>
      <c r="L37" s="894">
        <f>SUMIFS(BV_Data_An_Cour!$P:$P,BV_Data_An_Cour!$U:$U,$B37,BV_Data_An_Cour!$V:$V,$C37,BV_Data_An_Cour!$W:$W,L$2)</f>
        <v>76861.009999999995</v>
      </c>
      <c r="M37" s="929"/>
      <c r="N37" s="904">
        <f t="shared" si="20"/>
        <v>12297.11377696105</v>
      </c>
      <c r="O37" s="253"/>
      <c r="P37" s="291">
        <f t="shared" si="21"/>
        <v>289.42394160583939</v>
      </c>
      <c r="Q37" s="256" cm="1">
        <f t="array" ref="Q37">+SUMPRODUCT(('Réel 2024'!$A$8:$A$501=$A37)*('Réel 2024'!$C$3:$AO$3=Q$2),'Réel 2024'!$C$8:$AO$501)</f>
        <v>39651.079999999994</v>
      </c>
      <c r="R37" s="253"/>
      <c r="S37" s="276">
        <f t="shared" si="22"/>
        <v>37209.93</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0.44739173735505794</v>
      </c>
      <c r="F41" s="307">
        <f>SUM(F31:F40)</f>
        <v>285314.64967354125</v>
      </c>
      <c r="G41" s="308"/>
      <c r="H41" s="306"/>
      <c r="I41" s="307"/>
      <c r="J41" s="308" t="s">
        <v>119</v>
      </c>
      <c r="K41" s="306">
        <f>L41/L$27</f>
        <v>0.61634352301758144</v>
      </c>
      <c r="L41" s="307">
        <f>SUM(L31:L40)</f>
        <v>259390.07</v>
      </c>
      <c r="M41" s="309"/>
      <c r="N41" s="307">
        <f t="shared" si="20"/>
        <v>-25924.579673541244</v>
      </c>
      <c r="O41" s="308" t="s">
        <v>119</v>
      </c>
      <c r="P41" s="306">
        <f>Q41/Q$27</f>
        <v>0.49459563445799348</v>
      </c>
      <c r="Q41" s="310">
        <f>SUM(Q31:Q40)</f>
        <v>238537.47999999998</v>
      </c>
      <c r="R41" s="311"/>
      <c r="S41" s="307">
        <f t="shared" si="22"/>
        <v>20852.590000000026</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67893.991346153838</v>
      </c>
      <c r="G42" s="253"/>
      <c r="H42" s="41"/>
      <c r="I42" s="254"/>
      <c r="J42" s="253"/>
      <c r="K42" s="41"/>
      <c r="L42" s="256">
        <f>SUMIFS(BV_Data_An_Cour!$P:$P,BV_Data_An_Cour!$U:$U,$B42,BV_Data_An_Cour!$V:$V,$C42,BV_Data_An_Cour!$W:$W,L$2)</f>
        <v>36389.51</v>
      </c>
      <c r="M42" s="253"/>
      <c r="N42" s="276">
        <f t="shared" si="20"/>
        <v>-31504.481346153836</v>
      </c>
      <c r="O42" s="253"/>
      <c r="P42" s="41"/>
      <c r="Q42" s="256" cm="1">
        <f t="array" ref="Q42">+SUMPRODUCT(('Réel 2024'!$A$8:$A$501=$A42)*('Réel 2024'!$C$3:$AO$3=Q$2),'Réel 2024'!$C$8:$AO$501)</f>
        <v>67454.100000000006</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52070.686756406154</v>
      </c>
      <c r="G43" s="298"/>
      <c r="H43" s="41"/>
      <c r="I43" s="248"/>
      <c r="J43" s="253"/>
      <c r="K43" s="604"/>
      <c r="L43" s="256">
        <f>SUMIFS(BV_Data_An_Cour!$P:$P,BV_Data_An_Cour!$U:$U,$B43,BV_Data_An_Cour!$V:$V,$C43,BV_Data_An_Cour!$W:$W,L$2)</f>
        <v>49856.47</v>
      </c>
      <c r="M43" s="253"/>
      <c r="N43" s="276">
        <f t="shared" si="20"/>
        <v>-2214.2167564061529</v>
      </c>
      <c r="O43" s="253"/>
      <c r="P43" s="41"/>
      <c r="Q43" s="256" cm="1">
        <f t="array" ref="Q43">+SUMPRODUCT(('Réel 2024'!$A$8:$A$501=$A43)*('Réel 2024'!$C$3:$AO$3=Q$2),'Réel 2024'!$C$8:$AO$501)</f>
        <v>37832.32</v>
      </c>
      <c r="R43" s="253"/>
      <c r="S43" s="276">
        <f t="shared" ref="S43:S53" si="23">L43-Q43</f>
        <v>12024.150000000001</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341.84999999999997</v>
      </c>
      <c r="G44" s="316"/>
      <c r="H44" s="315"/>
      <c r="I44" s="254"/>
      <c r="J44" s="241"/>
      <c r="K44" s="315"/>
      <c r="L44" s="272">
        <f>SUMIFS(BV_Data_An_Cour!$P:$P,BV_Data_An_Cour!$U:$U,$B44,BV_Data_An_Cour!$V:$V,$C44,BV_Data_An_Cour!$W:$W,L$2)</f>
        <v>16652.36</v>
      </c>
      <c r="M44" s="241"/>
      <c r="N44" s="317">
        <f t="shared" si="20"/>
        <v>16310.51</v>
      </c>
      <c r="O44" s="241"/>
      <c r="P44" s="315"/>
      <c r="Q44" s="272" cm="1">
        <f t="array" ref="Q44">+SUMPRODUCT(('Réel 2024'!$A$8:$A$501=$A44)*('Réel 2024'!$C$3:$AO$3=Q$2),'Réel 2024'!$C$8:$AO$501)</f>
        <v>3752</v>
      </c>
      <c r="R44" s="241"/>
      <c r="S44" s="317">
        <f t="shared" si="23"/>
        <v>12900.36</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33735.382550326613</v>
      </c>
      <c r="G49" s="298"/>
      <c r="H49" s="41"/>
      <c r="I49" s="248"/>
      <c r="J49" s="253"/>
      <c r="K49" s="41"/>
      <c r="L49" s="248">
        <f>SUMIFS(BV_Data_An_Cour!$P:$P,BV_Data_An_Cour!$U:$U,$B49,BV_Data_An_Cour!$V:$V,$C49,BV_Data_An_Cour!$W:$W,L$2)</f>
        <v>37032.61</v>
      </c>
      <c r="M49" s="253"/>
      <c r="N49" s="276">
        <f t="shared" si="20"/>
        <v>3297.227449673388</v>
      </c>
      <c r="O49" s="253"/>
      <c r="P49" s="41"/>
      <c r="Q49" s="248" cm="1">
        <f t="array" ref="Q49">+SUMPRODUCT(('Réel 2024'!$A$8:$A$501=$A49)*('Réel 2024'!$C$3:$AO$3=Q$2),'Réel 2024'!$C$8:$AO$501)</f>
        <v>32533.94</v>
      </c>
      <c r="R49" s="253"/>
      <c r="S49" s="276">
        <f t="shared" si="23"/>
        <v>4498.6700000000019</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41017.469532555697</v>
      </c>
      <c r="G50" s="316"/>
      <c r="H50" s="315"/>
      <c r="I50" s="254"/>
      <c r="J50" s="241"/>
      <c r="K50" s="315"/>
      <c r="L50" s="256">
        <f>SUMIFS(BV_Data_An_Cour!$P:$P,BV_Data_An_Cour!$U:$U,$B50,BV_Data_An_Cour!$V:$V,$C50,BV_Data_An_Cour!$W:$W,L$2)</f>
        <v>39965.800000000003</v>
      </c>
      <c r="M50" s="241"/>
      <c r="N50" s="317">
        <f t="shared" si="20"/>
        <v>-1051.6695325556939</v>
      </c>
      <c r="O50" s="241"/>
      <c r="P50" s="315"/>
      <c r="Q50" s="256" cm="1">
        <f t="array" ref="Q50">+SUMPRODUCT(('Réel 2024'!$A$8:$A$501=$A50)*('Réel 2024'!$C$3:$AO$3=Q$2),'Réel 2024'!$C$8:$AO$501)</f>
        <v>41679.39</v>
      </c>
      <c r="R50" s="241"/>
      <c r="S50" s="317">
        <f t="shared" si="23"/>
        <v>-1713.5899999999965</v>
      </c>
      <c r="T50" s="41"/>
      <c r="U50" s="254">
        <f>L50-Print_Mois!L50</f>
        <v>26510.210000000003</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21132.913650468912</v>
      </c>
      <c r="G51" s="298"/>
      <c r="H51" s="41"/>
      <c r="I51" s="254"/>
      <c r="J51" s="253"/>
      <c r="K51" s="41"/>
      <c r="L51" s="256">
        <f>SUMIFS(BV_Data_An_Cour!$P:$P,BV_Data_An_Cour!$U:$U,$B51,BV_Data_An_Cour!$V:$V,$C51,BV_Data_An_Cour!$W:$W,L$2)</f>
        <v>16802.989999999998</v>
      </c>
      <c r="M51" s="253"/>
      <c r="N51" s="276">
        <f t="shared" si="20"/>
        <v>-4329.9236504689143</v>
      </c>
      <c r="O51" s="253"/>
      <c r="P51" s="41"/>
      <c r="Q51" s="256" cm="1">
        <f t="array" ref="Q51">+SUMPRODUCT(('Réel 2024'!$A$8:$A$501=$A51)*('Réel 2024'!$C$3:$AO$3=Q$2),'Réel 2024'!$C$8:$AO$501)</f>
        <v>19931.22</v>
      </c>
      <c r="R51" s="253"/>
      <c r="S51" s="276">
        <f t="shared" si="23"/>
        <v>-3128.2300000000032</v>
      </c>
      <c r="T51" s="41"/>
      <c r="U51" s="254">
        <f>L51-Print_Mois!L51</f>
        <v>10740.409999999998</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9214.069242820482</v>
      </c>
      <c r="G52" s="298"/>
      <c r="H52" s="41"/>
      <c r="I52" s="254"/>
      <c r="J52" s="253"/>
      <c r="K52" s="41"/>
      <c r="L52" s="256">
        <f>SUMIFS(BV_Data_An_Cour!$P:$P,BV_Data_An_Cour!$U:$U,$B52,BV_Data_An_Cour!$V:$V,$C52,BV_Data_An_Cour!$W:$W,L$2)</f>
        <v>6917.7</v>
      </c>
      <c r="M52" s="253"/>
      <c r="N52" s="276">
        <f t="shared" si="20"/>
        <v>-2296.3692428204822</v>
      </c>
      <c r="O52" s="253"/>
      <c r="P52" s="41"/>
      <c r="Q52" s="256" cm="1">
        <f t="array" ref="Q52">+SUMPRODUCT(('Réel 2024'!$A$8:$A$501=$A52)*('Réel 2024'!$C$3:$AO$3=Q$2),'Réel 2024'!$C$8:$AO$501)</f>
        <v>8010.75</v>
      </c>
      <c r="R52" s="253"/>
      <c r="S52" s="276">
        <f t="shared" si="23"/>
        <v>-1093.0500000000002</v>
      </c>
      <c r="T52" s="41"/>
      <c r="U52" s="254">
        <f>L52-Print_Mois!L52</f>
        <v>5041.37</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0.35345168747579619</v>
      </c>
      <c r="F54" s="307">
        <f>+SUM(F42:F53)</f>
        <v>225406.36307873172</v>
      </c>
      <c r="G54" s="308"/>
      <c r="H54" s="306"/>
      <c r="I54" s="307"/>
      <c r="J54" s="308" t="s">
        <v>119</v>
      </c>
      <c r="K54" s="306">
        <f>L54/L$27</f>
        <v>0.48382071957273076</v>
      </c>
      <c r="L54" s="307">
        <f>+SUM(L42:L53)</f>
        <v>203617.44</v>
      </c>
      <c r="M54" s="311"/>
      <c r="N54" s="307">
        <f>+SUM(N42:N53)</f>
        <v>-21788.923078731688</v>
      </c>
      <c r="O54" s="308" t="s">
        <v>119</v>
      </c>
      <c r="P54" s="306">
        <f>Q54/Q$27</f>
        <v>0.437899704218154</v>
      </c>
      <c r="Q54" s="307">
        <f>+SUM(Q42:Q53)</f>
        <v>211193.72</v>
      </c>
      <c r="R54" s="311"/>
      <c r="S54" s="307">
        <f>+SUM(S42:S53)</f>
        <v>23488.310000000005</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26857.643799999998</v>
      </c>
      <c r="G57" s="300"/>
      <c r="H57" s="318"/>
      <c r="I57" s="248"/>
      <c r="J57" s="246"/>
      <c r="K57" s="318"/>
      <c r="L57" s="248">
        <f>SUMIFS(BV_Data_An_Cour!$P:$P,BV_Data_An_Cour!$U:$U,$B57,BV_Data_An_Cour!$V:$V,$C57,BV_Data_An_Cour!$W:$W,L$2)</f>
        <v>21704.94</v>
      </c>
      <c r="M57" s="246"/>
      <c r="N57" s="296">
        <f t="shared" si="24"/>
        <v>-5152.7037999999993</v>
      </c>
      <c r="O57" s="246"/>
      <c r="P57" s="318"/>
      <c r="Q57" s="248" cm="1">
        <f t="array" ref="Q57">+SUMPRODUCT(('Réel 2024'!$A$8:$A$501=$A57)*('Réel 2024'!$C$3:$AO$3=Q$2),'Réel 2024'!$C$8:$AO$501)</f>
        <v>30068.15</v>
      </c>
      <c r="R57" s="246"/>
      <c r="S57" s="296">
        <f t="shared" si="25"/>
        <v>-8363.2100000000028</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23574</v>
      </c>
      <c r="G58" s="298"/>
      <c r="H58" s="41"/>
      <c r="I58" s="254"/>
      <c r="J58" s="253"/>
      <c r="K58" s="41"/>
      <c r="L58" s="256">
        <f>SUMIFS(BV_Data_An_Cour!$P:$P,BV_Data_An_Cour!$U:$U,$B58,BV_Data_An_Cour!$V:$V,$C58,BV_Data_An_Cour!$W:$W,L$2)</f>
        <v>22957.439999999999</v>
      </c>
      <c r="M58" s="253"/>
      <c r="N58" s="276">
        <f t="shared" si="24"/>
        <v>-616.56000000000131</v>
      </c>
      <c r="O58" s="253"/>
      <c r="P58" s="41"/>
      <c r="Q58" s="256" cm="1">
        <f t="array" ref="Q58">+SUMPRODUCT(('Réel 2024'!$A$8:$A$501=$A58)*('Réel 2024'!$C$3:$AO$3=Q$2),'Réel 2024'!$C$8:$AO$501)</f>
        <v>19777.849999999999</v>
      </c>
      <c r="R58" s="253"/>
      <c r="S58" s="276">
        <f t="shared" si="25"/>
        <v>3179.59</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4500</v>
      </c>
      <c r="G59" s="298"/>
      <c r="H59" s="41"/>
      <c r="I59" s="254"/>
      <c r="J59" s="253"/>
      <c r="K59" s="41"/>
      <c r="L59" s="256">
        <f>SUMIFS(BV_Data_An_Cour!$P:$P,BV_Data_An_Cour!$U:$U,$B59,BV_Data_An_Cour!$V:$V,$C59,BV_Data_An_Cour!$W:$W,L$2)</f>
        <v>3314.24</v>
      </c>
      <c r="M59" s="253"/>
      <c r="N59" s="276">
        <f t="shared" si="24"/>
        <v>-1185.7600000000002</v>
      </c>
      <c r="O59" s="253"/>
      <c r="P59" s="41"/>
      <c r="Q59" s="256" cm="1">
        <f t="array" ref="Q59">+SUMPRODUCT(('Réel 2024'!$A$8:$A$501=$A59)*('Réel 2024'!$C$3:$AO$3=Q$2),'Réel 2024'!$C$8:$AO$501)</f>
        <v>3866.6000000000004</v>
      </c>
      <c r="R59" s="253"/>
      <c r="S59" s="276">
        <f t="shared" si="25"/>
        <v>-552.36000000000058</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13287.36</v>
      </c>
      <c r="G60" s="300"/>
      <c r="H60" s="318"/>
      <c r="I60" s="248"/>
      <c r="J60" s="246"/>
      <c r="K60" s="318"/>
      <c r="L60" s="248">
        <f>SUMIFS(BV_Data_An_Cour!$P:$P,BV_Data_An_Cour!$U:$U,$B60,BV_Data_An_Cour!$V:$V,$C60,BV_Data_An_Cour!$W:$W,L$2)</f>
        <v>15351.24</v>
      </c>
      <c r="M60" s="246"/>
      <c r="N60" s="296">
        <f t="shared" si="24"/>
        <v>2063.8799999999992</v>
      </c>
      <c r="O60" s="246"/>
      <c r="P60" s="318"/>
      <c r="Q60" s="248" cm="1">
        <f t="array" ref="Q60">+SUMPRODUCT(('Réel 2024'!$A$8:$A$501=$A60)*('Réel 2024'!$C$3:$AO$3=Q$2),'Réel 2024'!$C$8:$AO$501)</f>
        <v>25899.38</v>
      </c>
      <c r="R60" s="246"/>
      <c r="S60" s="296">
        <f t="shared" si="25"/>
        <v>-10548.140000000001</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210</v>
      </c>
      <c r="G61" s="298"/>
      <c r="H61" s="41"/>
      <c r="I61" s="254"/>
      <c r="J61" s="253"/>
      <c r="K61" s="41"/>
      <c r="L61" s="256">
        <f>SUMIFS(BV_Data_An_Cour!$P:$P,BV_Data_An_Cour!$U:$U,$B61,BV_Data_An_Cour!$V:$V,$C61,BV_Data_An_Cour!$W:$W,L$2)</f>
        <v>0</v>
      </c>
      <c r="M61" s="253"/>
      <c r="N61" s="276">
        <f t="shared" si="24"/>
        <v>-210</v>
      </c>
      <c r="O61" s="253"/>
      <c r="P61" s="41"/>
      <c r="Q61" s="256" cm="1">
        <f t="array" ref="Q61">+SUMPRODUCT(('Réel 2024'!$A$8:$A$501=$A61)*('Réel 2024'!$C$3:$AO$3=Q$2),'Réel 2024'!$C$8:$AO$501)</f>
        <v>306.39</v>
      </c>
      <c r="R61" s="253"/>
      <c r="S61" s="276">
        <f t="shared" si="25"/>
        <v>-306.39</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0</v>
      </c>
      <c r="G62" s="298"/>
      <c r="H62" s="41"/>
      <c r="I62" s="254"/>
      <c r="J62" s="253"/>
      <c r="K62" s="41"/>
      <c r="L62" s="256">
        <f>SUMIFS(BV_Data_An_Cour!$P:$P,BV_Data_An_Cour!$U:$U,$B62,BV_Data_An_Cour!$V:$V,$C62,BV_Data_An_Cour!$W:$W,L$2)</f>
        <v>0</v>
      </c>
      <c r="M62" s="253"/>
      <c r="N62" s="276">
        <f t="shared" si="24"/>
        <v>0</v>
      </c>
      <c r="O62" s="253"/>
      <c r="P62" s="41"/>
      <c r="Q62" s="256" cm="1">
        <f t="array" ref="Q62">+SUMPRODUCT(('Réel 2024'!$A$8:$A$501=$A62)*('Réel 2024'!$C$3:$AO$3=Q$2),'Réel 2024'!$C$8:$AO$501)</f>
        <v>623</v>
      </c>
      <c r="R62" s="253"/>
      <c r="S62" s="276">
        <f t="shared" si="25"/>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1785</v>
      </c>
      <c r="G63" s="298"/>
      <c r="H63" s="41"/>
      <c r="I63" s="254"/>
      <c r="J63" s="253"/>
      <c r="K63" s="41"/>
      <c r="L63" s="256">
        <f>SUMIFS(BV_Data_An_Cour!$P:$P,BV_Data_An_Cour!$U:$U,$B63,BV_Data_An_Cour!$V:$V,$C63,BV_Data_An_Cour!$W:$W,L$2)</f>
        <v>1680.46</v>
      </c>
      <c r="M63" s="253"/>
      <c r="N63" s="276">
        <f t="shared" si="24"/>
        <v>-104.53999999999996</v>
      </c>
      <c r="O63" s="253"/>
      <c r="P63" s="41"/>
      <c r="Q63" s="256" cm="1">
        <f t="array" ref="Q63">+SUMPRODUCT(('Réel 2024'!$A$8:$A$501=$A63)*('Réel 2024'!$C$3:$AO$3=Q$2),'Réel 2024'!$C$8:$AO$501)</f>
        <v>1746.71</v>
      </c>
      <c r="R63" s="253"/>
      <c r="S63" s="276">
        <f t="shared" si="25"/>
        <v>-66.25</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1312.5</v>
      </c>
      <c r="G64" s="298"/>
      <c r="H64" s="41"/>
      <c r="I64" s="254"/>
      <c r="J64" s="253"/>
      <c r="K64" s="41"/>
      <c r="L64" s="256">
        <f>SUMIFS(BV_Data_An_Cour!$P:$P,BV_Data_An_Cour!$U:$U,$B64,BV_Data_An_Cour!$V:$V,$C64,BV_Data_An_Cour!$W:$W,L$2)</f>
        <v>1099.23</v>
      </c>
      <c r="M64" s="253"/>
      <c r="N64" s="276">
        <f t="shared" si="24"/>
        <v>-213.26999999999998</v>
      </c>
      <c r="O64" s="253"/>
      <c r="P64" s="41"/>
      <c r="Q64" s="256" cm="1">
        <f t="array" ref="Q64">+SUMPRODUCT(('Réel 2024'!$A$8:$A$501=$A64)*('Réel 2024'!$C$3:$AO$3=Q$2),'Réel 2024'!$C$8:$AO$501)</f>
        <v>1296.8300000000002</v>
      </c>
      <c r="R64" s="253"/>
      <c r="S64" s="276">
        <f t="shared" si="25"/>
        <v>-197.60000000000014</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683.76</v>
      </c>
      <c r="G65" s="298"/>
      <c r="H65" s="41"/>
      <c r="I65" s="254"/>
      <c r="J65" s="253"/>
      <c r="K65" s="41"/>
      <c r="L65" s="256">
        <f>SUMIFS(BV_Data_An_Cour!$P:$P,BV_Data_An_Cour!$U:$U,$B65,BV_Data_An_Cour!$V:$V,$C65,BV_Data_An_Cour!$W:$W,L$2)</f>
        <v>576.19000000000005</v>
      </c>
      <c r="M65" s="253"/>
      <c r="N65" s="276">
        <f t="shared" si="24"/>
        <v>-107.56999999999994</v>
      </c>
      <c r="O65" s="253"/>
      <c r="P65" s="41"/>
      <c r="Q65" s="256" cm="1">
        <f t="array" ref="Q65">+SUMPRODUCT(('Réel 2024'!$A$8:$A$501=$A65)*('Réel 2024'!$C$3:$AO$3=Q$2),'Réel 2024'!$C$8:$AO$501)</f>
        <v>1579.5299999999997</v>
      </c>
      <c r="R65" s="253"/>
      <c r="S65" s="276">
        <f t="shared" si="25"/>
        <v>-1003.3399999999997</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360</v>
      </c>
      <c r="G66" s="298"/>
      <c r="H66" s="41"/>
      <c r="I66" s="254"/>
      <c r="J66" s="253"/>
      <c r="K66" s="41"/>
      <c r="L66" s="256">
        <f>SUMIFS(BV_Data_An_Cour!$P:$P,BV_Data_An_Cour!$U:$U,$B66,BV_Data_An_Cour!$V:$V,$C66,BV_Data_An_Cour!$W:$W,L$2)</f>
        <v>889.22</v>
      </c>
      <c r="M66" s="253"/>
      <c r="N66" s="276">
        <f t="shared" si="24"/>
        <v>529.22</v>
      </c>
      <c r="O66" s="253"/>
      <c r="P66" s="41"/>
      <c r="Q66" s="256" cm="1">
        <f t="array" ref="Q66">+SUMPRODUCT(('Réel 2024'!$A$8:$A$501=$A66)*('Réel 2024'!$C$3:$AO$3=Q$2),'Réel 2024'!$C$8:$AO$501)</f>
        <v>231.83999999999997</v>
      </c>
      <c r="R66" s="253"/>
      <c r="S66" s="276">
        <f t="shared" si="25"/>
        <v>657.38000000000011</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5750</v>
      </c>
      <c r="G67" s="298"/>
      <c r="H67" s="41"/>
      <c r="I67" s="254"/>
      <c r="J67" s="253"/>
      <c r="K67" s="41"/>
      <c r="L67" s="256">
        <f>SUMIFS(BV_Data_An_Cour!$P:$P,BV_Data_An_Cour!$U:$U,$B67,BV_Data_An_Cour!$V:$V,$C67,BV_Data_An_Cour!$W:$W,L$2)</f>
        <v>10585.15</v>
      </c>
      <c r="M67" s="253"/>
      <c r="N67" s="276">
        <f t="shared" si="24"/>
        <v>4835.1499999999996</v>
      </c>
      <c r="O67" s="253"/>
      <c r="P67" s="41"/>
      <c r="Q67" s="256" cm="1">
        <f t="array" ref="Q67">+SUMPRODUCT(('Réel 2024'!$A$8:$A$501=$A67)*('Réel 2024'!$C$3:$AO$3=Q$2),'Réel 2024'!$C$8:$AO$501)</f>
        <v>6836.67</v>
      </c>
      <c r="R67" s="253"/>
      <c r="S67" s="276">
        <f t="shared" si="25"/>
        <v>3748.4799999999996</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9549.8307155205639</v>
      </c>
      <c r="G68" s="298"/>
      <c r="H68" s="41"/>
      <c r="I68" s="254"/>
      <c r="J68" s="253"/>
      <c r="K68" s="41"/>
      <c r="L68" s="895">
        <f>SUMIFS(BV_Data_An_Cour!$P:$P,BV_Data_An_Cour!$U:$U,$B68,BV_Data_An_Cour!$V:$V,$C68,BV_Data_An_Cour!$W:$W,L$2)</f>
        <v>13197.98</v>
      </c>
      <c r="M68" s="930"/>
      <c r="N68" s="904">
        <f t="shared" si="24"/>
        <v>3648.1492844794357</v>
      </c>
      <c r="O68" s="253"/>
      <c r="P68" s="41"/>
      <c r="Q68" s="256" cm="1">
        <f t="array" ref="Q68">+SUMPRODUCT(('Réel 2024'!$A$8:$A$501=$A68)*('Réel 2024'!$C$3:$AO$3=Q$2),'Réel 2024'!$C$8:$AO$501)</f>
        <v>8687.98</v>
      </c>
      <c r="R68" s="253"/>
      <c r="S68" s="276">
        <f t="shared" si="25"/>
        <v>4510</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0.13778596469488449</v>
      </c>
      <c r="F72" s="307">
        <f>+SUM(F55:F71)</f>
        <v>87870.09451552057</v>
      </c>
      <c r="G72" s="308"/>
      <c r="H72" s="306"/>
      <c r="I72" s="307"/>
      <c r="J72" s="308" t="s">
        <v>119</v>
      </c>
      <c r="K72" s="306">
        <f>L72/L$27</f>
        <v>0.2170735925230724</v>
      </c>
      <c r="L72" s="307">
        <f>+SUM(L55:L71)</f>
        <v>91356.089999999982</v>
      </c>
      <c r="M72" s="311"/>
      <c r="N72" s="307">
        <f>+SUM(N55:N71)</f>
        <v>3485.9954844794347</v>
      </c>
      <c r="O72" s="308" t="s">
        <v>119</v>
      </c>
      <c r="P72" s="306">
        <f>Q72/Q$27</f>
        <v>0.20925454315791692</v>
      </c>
      <c r="Q72" s="307">
        <f>+SUM(Q55:Q71)</f>
        <v>100920.93</v>
      </c>
      <c r="R72" s="311"/>
      <c r="S72" s="307">
        <f>+SUM(S55:S71)</f>
        <v>-9564.8400000000038</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0.93862938952573871</v>
      </c>
      <c r="F74" s="307">
        <f>F41+F54+F72</f>
        <v>598591.10726779362</v>
      </c>
      <c r="G74" s="308"/>
      <c r="H74" s="306"/>
      <c r="I74" s="307"/>
      <c r="J74" s="308" t="s">
        <v>119</v>
      </c>
      <c r="K74" s="306">
        <f>L74/L$27</f>
        <v>1.3172378351133844</v>
      </c>
      <c r="L74" s="307">
        <f>L41+L54+L72</f>
        <v>554363.6</v>
      </c>
      <c r="M74" s="311"/>
      <c r="N74" s="320">
        <f t="shared" ref="N74:N82" si="26">L74-F74</f>
        <v>-44227.50726779364</v>
      </c>
      <c r="O74" s="308" t="s">
        <v>119</v>
      </c>
      <c r="P74" s="306">
        <f>Q74/Q$27</f>
        <v>1.1417498818340641</v>
      </c>
      <c r="Q74" s="307">
        <f>Q41+Q54+Q72</f>
        <v>550652.12999999989</v>
      </c>
      <c r="R74" s="311"/>
      <c r="S74" s="320">
        <f>L74-Q74</f>
        <v>3711.4700000000885</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35000</v>
      </c>
      <c r="G75" s="298"/>
      <c r="H75" s="41"/>
      <c r="I75" s="254"/>
      <c r="J75" s="253"/>
      <c r="K75" s="41"/>
      <c r="L75" s="256">
        <f>-SUMIFS(BV_Data_An_Cour!$P:$P,BV_Data_An_Cour!$U:$U,$B75,BV_Data_An_Cour!$V:$V,$C75,BV_Data_An_Cour!$W:$W,L$2)</f>
        <v>67400</v>
      </c>
      <c r="M75" s="253"/>
      <c r="N75" s="276">
        <f t="shared" si="26"/>
        <v>32400</v>
      </c>
      <c r="O75" s="253"/>
      <c r="P75" s="41"/>
      <c r="Q75" s="256" cm="1">
        <f t="array" ref="Q75">+SUMPRODUCT(('Réel 2024'!$A$8:$A$501=$A75)*('Réel 2024'!$C$3:$AO$3=Q$2),'Réel 2024'!$C$8:$AO$501)</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231918.44160528149</v>
      </c>
      <c r="G78" s="298"/>
      <c r="H78" s="41"/>
      <c r="I78" s="254"/>
      <c r="J78" s="253"/>
      <c r="K78" s="41"/>
      <c r="L78" s="256">
        <f>-SUMIFS(BV_Data_An_Cour!$P:$P,BV_Data_An_Cour!$U:$U,$B78,BV_Data_An_Cour!$V:$V,$C78,BV_Data_An_Cour!$W:$W,L$2)</f>
        <v>267939.84999999998</v>
      </c>
      <c r="M78" s="253"/>
      <c r="N78" s="276">
        <f t="shared" si="26"/>
        <v>36021.408394718484</v>
      </c>
      <c r="O78" s="253"/>
      <c r="P78" s="41"/>
      <c r="Q78" s="256" cm="1">
        <f t="array" ref="Q78">+SUMPRODUCT(('Réel 2024'!$A$8:$A$501=$A78)*('Réel 2024'!$C$3:$AO$3=Q$2),'Réel 2024'!$C$8:$AO$501)</f>
        <v>199994</v>
      </c>
      <c r="R78" s="253"/>
      <c r="S78" s="276">
        <f t="shared" si="27"/>
        <v>67945.849999999977</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78723.649999999994</v>
      </c>
      <c r="G82" s="298"/>
      <c r="H82" s="41"/>
      <c r="I82" s="254"/>
      <c r="J82" s="253"/>
      <c r="K82" s="41"/>
      <c r="L82" s="256">
        <f>-SUMIFS(BV_Data_An_Cour!$P:$P,BV_Data_An_Cour!$U:$U,$B82,BV_Data_An_Cour!$V:$V,$C82,BV_Data_An_Cour!$W:$W,L$2)</f>
        <v>68708</v>
      </c>
      <c r="M82" s="253"/>
      <c r="N82" s="276">
        <f t="shared" si="26"/>
        <v>-10015.649999999994</v>
      </c>
      <c r="O82" s="253"/>
      <c r="P82" s="41"/>
      <c r="Q82" s="256" cm="1">
        <f t="array" ref="Q82">+SUMPRODUCT(('Réel 2024'!$A$8:$A$501=$A82)*('Réel 2024'!$C$3:$AO$3=Q$2),'Réel 2024'!$C$8:$AO$501)</f>
        <v>64134</v>
      </c>
      <c r="R82" s="253"/>
      <c r="S82" s="276">
        <f t="shared" si="27"/>
        <v>4574</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345642.09160528146</v>
      </c>
      <c r="G83" s="308"/>
      <c r="H83" s="306"/>
      <c r="I83" s="307"/>
      <c r="J83" s="308"/>
      <c r="K83" s="306"/>
      <c r="L83" s="307">
        <f>+SUM(L75:L82)</f>
        <v>404047.85</v>
      </c>
      <c r="M83" s="311"/>
      <c r="N83" s="307">
        <f>+SUM(N75:N82)</f>
        <v>58405.75839471849</v>
      </c>
      <c r="O83" s="308"/>
      <c r="P83" s="306"/>
      <c r="Q83" s="307">
        <f>+SUM(Q75:Q82)</f>
        <v>264128</v>
      </c>
      <c r="R83" s="311"/>
      <c r="S83" s="307">
        <f>+SUM(S75:S82)</f>
        <v>72519.849999999977</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384779.90476927161</v>
      </c>
      <c r="G85" s="336"/>
      <c r="H85" s="334"/>
      <c r="I85" s="335"/>
      <c r="J85" s="336"/>
      <c r="K85" s="333"/>
      <c r="L85" s="335">
        <f>L27-L74+L83</f>
        <v>270537.32999999996</v>
      </c>
      <c r="M85" s="336"/>
      <c r="N85" s="335">
        <f>N27-N41-N54-N72+N83</f>
        <v>-114242.57476927183</v>
      </c>
      <c r="O85" s="336"/>
      <c r="P85" s="333"/>
      <c r="Q85" s="335">
        <f>Q27-Q74+Q83</f>
        <v>195763.74999999884</v>
      </c>
      <c r="R85" s="336"/>
      <c r="S85" s="335">
        <f>L85-Q85</f>
        <v>74773.580000001122</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Mars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99" t="s">
        <v>343</v>
      </c>
      <c r="E91" s="1300"/>
      <c r="F91" s="1301"/>
      <c r="G91" s="1304"/>
      <c r="H91" s="1300"/>
      <c r="I91" s="1301"/>
      <c r="J91" s="1304" t="s">
        <v>344</v>
      </c>
      <c r="K91" s="1300"/>
      <c r="L91" s="1301"/>
      <c r="M91" s="1304" t="s">
        <v>3310</v>
      </c>
      <c r="N91" s="1301"/>
      <c r="O91" s="1299" t="s">
        <v>345</v>
      </c>
      <c r="P91" s="1300"/>
      <c r="Q91" s="1301"/>
      <c r="R91" s="1302" t="s">
        <v>3312</v>
      </c>
      <c r="S91" s="130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3317</v>
      </c>
      <c r="K92" s="243" t="s">
        <v>94</v>
      </c>
      <c r="L92" s="244" t="s">
        <v>95</v>
      </c>
      <c r="M92" s="245" t="s">
        <v>3317</v>
      </c>
      <c r="N92" s="244" t="s">
        <v>95</v>
      </c>
      <c r="O92" s="243" t="s">
        <v>93</v>
      </c>
      <c r="P92" s="243" t="s">
        <v>348</v>
      </c>
      <c r="Q92" s="244" t="s">
        <v>95</v>
      </c>
      <c r="R92" s="245" t="s">
        <v>3317</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3320222.288748119</v>
      </c>
      <c r="G93" s="267"/>
      <c r="H93" s="250"/>
      <c r="I93" s="248"/>
      <c r="J93" s="246"/>
      <c r="K93" s="250"/>
      <c r="L93" s="248">
        <f>-SUMIFS(BV_Data_An_Cour!$P:$P,BV_Data_An_Cour!$X:$X,"Oui",BV_Data_An_Cour!$U:$U,$B93)</f>
        <v>2904470.01</v>
      </c>
      <c r="M93" s="342"/>
      <c r="N93" s="343"/>
      <c r="O93" s="246"/>
      <c r="P93" s="250"/>
      <c r="Q93" s="248" cm="1">
        <f t="array" ref="Q93">+SUMPRODUCT(('Réel 2024'!$A$8:$A$501=$A93)*('Réel 2024'!$C$3:$AO$3=Q$2),'Réel 2024'!$C$8:$AO$501)</f>
        <v>2307532.7199999997</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72</v>
      </c>
      <c r="E94" s="254">
        <f t="shared" ref="E94:E100" si="29">IF(D94=0,0,F94/D94)</f>
        <v>1500</v>
      </c>
      <c r="F94" s="254" cm="1">
        <f t="array" ref="F94">+SUMPRODUCT(('Budget original'!$A$8:$A$501=$A94)*('Budget original'!$C$3:$AO$3=F$2),'Budget original'!$C$8:$AO$501)</f>
        <v>108000</v>
      </c>
      <c r="G94" s="255"/>
      <c r="H94" s="254"/>
      <c r="I94" s="254"/>
      <c r="J94" s="255">
        <f>-SUMIFS(BV_Data_An_Cour!$P:$P,BV_Data_An_Cour!$U:$U,$B94,BV_Data_An_Cour!$V:$V,$C94,BV_Data_An_Cour!$W:$W,J$2)</f>
        <v>66</v>
      </c>
      <c r="K94" s="254">
        <f t="shared" ref="K94:K95" si="30">IF(J94=0,0,L94/J94)</f>
        <v>163.06969696969705</v>
      </c>
      <c r="L94" s="256">
        <f>-SUMIFS(BV_Data_An_Cour!$P:$P,BV_Data_An_Cour!$U:$U,$B94,BV_Data_An_Cour!$V:$V,$C94,BV_Data_An_Cour!$W:$W,$L2)</f>
        <v>10762.600000000006</v>
      </c>
      <c r="M94" s="255">
        <f>J94-D94</f>
        <v>-6</v>
      </c>
      <c r="N94" s="256">
        <f>L94-F94</f>
        <v>-97237.4</v>
      </c>
      <c r="O94" s="255" cm="1">
        <f t="array" ref="O94">+SUMPRODUCT(('Réel 2024'!$A$8:$A$501=$A94)*('Réel 2024'!$C$3:$AO$3=O$2),'Réel 2024'!$C$8:$AO$501)</f>
        <v>59</v>
      </c>
      <c r="P94" s="254">
        <f t="shared" ref="P94:P100" si="31">IF(O94=0,0,Q94/O94)</f>
        <v>1419.8015254237255</v>
      </c>
      <c r="Q94" s="256" cm="1">
        <f t="array" ref="Q94">+SUMPRODUCT(('Réel 2024'!$A$8:$A$501=$A94)*('Réel 2024'!$C$3:$AO$3=Q$2),'Réel 2024'!$C$8:$AO$501)</f>
        <v>83768.289999999804</v>
      </c>
      <c r="R94" s="255">
        <f t="shared" ref="R94:R95" si="32">J94-O94</f>
        <v>7</v>
      </c>
      <c r="S94" s="256">
        <f t="shared" ref="S94:S95" si="33">L94-Q94</f>
        <v>-73005.689999999799</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21</v>
      </c>
      <c r="E95" s="1019">
        <f t="shared" si="29"/>
        <v>1500</v>
      </c>
      <c r="F95" s="254" cm="1">
        <f t="array" ref="F95">+SUMPRODUCT(('Budget original'!$A$8:$A$501=$A95)*('Budget original'!$C$3:$AO$3=F$2),'Budget original'!$C$8:$AO$501)</f>
        <v>31500</v>
      </c>
      <c r="G95" s="255"/>
      <c r="H95" s="254"/>
      <c r="I95" s="254"/>
      <c r="J95" s="255">
        <f>-SUMIFS(BV_Data_An_Cour!$P:$P,BV_Data_An_Cour!$U:$U,$B95,BV_Data_An_Cour!$V:$V,$C95,BV_Data_An_Cour!$W:$W,J$2)</f>
        <v>0</v>
      </c>
      <c r="K95" s="254">
        <f t="shared" si="30"/>
        <v>0</v>
      </c>
      <c r="L95" s="256">
        <f>-SUMIFS(BV_Data_An_Cour!$P:$P,BV_Data_An_Cour!$U:$U,$B95,BV_Data_An_Cour!$V:$V,$C95,BV_Data_An_Cour!$W:$W,$L2)</f>
        <v>-9414.3700000000008</v>
      </c>
      <c r="M95" s="255">
        <f>J95-D95</f>
        <v>-21</v>
      </c>
      <c r="N95" s="256">
        <f>L95-F95</f>
        <v>-40914.370000000003</v>
      </c>
      <c r="O95" s="255" cm="1">
        <f t="array" ref="O95">+SUMPRODUCT(('Réel 2024'!$A$8:$A$501=$A95)*('Réel 2024'!$C$3:$AO$3=O$2),'Réel 2024'!$C$8:$AO$501)</f>
        <v>7</v>
      </c>
      <c r="P95" s="254">
        <f t="shared" si="31"/>
        <v>1132.5457142857128</v>
      </c>
      <c r="Q95" s="256" cm="1">
        <f t="array" ref="Q95">+SUMPRODUCT(('Réel 2024'!$A$8:$A$501=$A95)*('Réel 2024'!$C$3:$AO$3=Q$2),'Réel 2024'!$C$8:$AO$501)</f>
        <v>7927.8199999999906</v>
      </c>
      <c r="R95" s="255">
        <f t="shared" si="32"/>
        <v>-7</v>
      </c>
      <c r="S95" s="256">
        <f t="shared" si="33"/>
        <v>-17342.189999999991</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30" t="s">
        <v>3857</v>
      </c>
      <c r="D96" s="254" cm="1">
        <f t="array" ref="D96">+SUMPRODUCT(('Budget original'!$A$8:$A$501=$A96)*('Budget original'!$C$3:$AO$3=D$2),'Budget original'!$C$8:$AO$501)</f>
        <v>21</v>
      </c>
      <c r="E96" s="1021">
        <f t="shared" si="29"/>
        <v>1500</v>
      </c>
      <c r="F96" s="254" cm="1">
        <f t="array" ref="F96">+SUMPRODUCT(('Budget original'!$A$8:$A$501=$A96)*('Budget original'!$C$3:$AO$3=F$2),'Budget original'!$C$8:$AO$501)</f>
        <v>31500</v>
      </c>
      <c r="G96" s="1020"/>
      <c r="H96" s="254"/>
      <c r="I96" s="254"/>
      <c r="J96" s="1020">
        <f>-SUMIFS(BV_Data_An_Cour!$P:$P,BV_Data_An_Cour!$U:$U,$B96,BV_Data_An_Cour!$V:$V,$C96,BV_Data_An_Cour!$W:$W,J$2)</f>
        <v>5</v>
      </c>
      <c r="K96" s="254">
        <f t="shared" ref="K96" si="34">IF(J96=0,0,L96/J96)</f>
        <v>3818.7900000000022</v>
      </c>
      <c r="L96" s="895">
        <f>-SUMIFS(BV_Data_An_Cour!$P:$P,BV_Data_An_Cour!$U:$U,$B96,BV_Data_An_Cour!$V:$V,$C96,BV_Data_An_Cour!$W:$W,$L2)</f>
        <v>19093.950000000012</v>
      </c>
      <c r="M96" s="1020">
        <f>J96-D96</f>
        <v>-16</v>
      </c>
      <c r="N96" s="895">
        <f>L96-F96</f>
        <v>-12406.049999999988</v>
      </c>
      <c r="O96" s="1020" cm="1">
        <f t="array" ref="O96">+SUMPRODUCT(('Réel 2024'!$A$8:$A$501=$A96)*('Réel 2024'!$C$3:$AO$3=O$2),'Réel 2024'!$C$8:$AO$501)</f>
        <v>5</v>
      </c>
      <c r="P96" s="254">
        <f t="shared" si="31"/>
        <v>2134.699999999998</v>
      </c>
      <c r="Q96" s="895" cm="1">
        <f t="array" ref="Q96">+SUMPRODUCT(('Réel 2024'!$A$8:$A$501=$A96)*('Réel 2024'!$C$3:$AO$3=Q$2),'Réel 2024'!$C$8:$AO$501)</f>
        <v>10673.499999999989</v>
      </c>
      <c r="R96" s="1020">
        <f>J96-O96</f>
        <v>0</v>
      </c>
      <c r="S96" s="895">
        <f t="shared" ref="S96" si="35">L96-Q96</f>
        <v>8420.4500000000226</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114</v>
      </c>
      <c r="E97" s="254">
        <f t="shared" si="29"/>
        <v>1500</v>
      </c>
      <c r="F97" s="261">
        <f>+F94+F95+F96</f>
        <v>171000</v>
      </c>
      <c r="G97" s="262"/>
      <c r="H97" s="260"/>
      <c r="I97" s="261"/>
      <c r="J97" s="262">
        <f>+J94+J95+J96</f>
        <v>71</v>
      </c>
      <c r="K97" s="260">
        <f>IF(J97&lt;=0,0,L97/J97)</f>
        <v>287.91802816901429</v>
      </c>
      <c r="L97" s="261">
        <f>+L94+L95+L96</f>
        <v>20442.180000000015</v>
      </c>
      <c r="M97" s="262">
        <f>J97-D97</f>
        <v>-43</v>
      </c>
      <c r="N97" s="261">
        <f>L97-F97</f>
        <v>-150557.81999999998</v>
      </c>
      <c r="O97" s="262">
        <f>+O95+O94+O96</f>
        <v>71</v>
      </c>
      <c r="P97" s="260">
        <f t="shared" si="31"/>
        <v>1441.8254929577433</v>
      </c>
      <c r="Q97" s="261">
        <f>+Q94+Q95+Q96</f>
        <v>102369.60999999978</v>
      </c>
      <c r="R97" s="262">
        <f>R94+R95</f>
        <v>0</v>
      </c>
      <c r="S97" s="261">
        <f>S94+S95</f>
        <v>-90347.879999999786</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-0.37719298245614036</v>
      </c>
      <c r="N98" s="265">
        <f>N97/F97</f>
        <v>-0.88045508771929815</v>
      </c>
      <c r="O98" s="253"/>
      <c r="P98" s="41">
        <f t="shared" si="31"/>
        <v>0</v>
      </c>
      <c r="Q98" s="263"/>
      <c r="R98" s="264">
        <f>R97/O97</f>
        <v>0</v>
      </c>
      <c r="S98" s="265">
        <f>IF(Q97=0,0,(S97/Q97))</f>
        <v>-0.88256544105228085</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34</v>
      </c>
      <c r="E100" s="254">
        <f t="shared" si="29"/>
        <v>500</v>
      </c>
      <c r="F100" s="254" cm="1">
        <f t="array" ref="F100">+SUMPRODUCT(('Budget original'!$A$8:$A$501=$A100)*('Budget original'!$C$3:$AO$3=F$2),'Budget original'!$C$8:$AO$501)</f>
        <v>17000</v>
      </c>
      <c r="G100" s="254"/>
      <c r="H100" s="254"/>
      <c r="I100" s="254"/>
      <c r="J100" s="255">
        <f>-SUMIFS(BV_Data_An_Cour!$P:$P,BV_Data_An_Cour!$U:$U,$B100,BV_Data_An_Cour!$V:$V,$C100,BV_Data_An_Cour!$W:$W,J$2)</f>
        <v>71</v>
      </c>
      <c r="K100" s="254">
        <f t="shared" si="36"/>
        <v>1016.8076056338024</v>
      </c>
      <c r="L100" s="256">
        <f>-SUMIFS(BV_Data_An_Cour!$P:$P,BV_Data_An_Cour!$U:$U,$B100,BV_Data_An_Cour!$V:$V,$C100,BV_Data_An_Cour!$W:$W,L$2)</f>
        <v>72193.339999999967</v>
      </c>
      <c r="M100" s="255">
        <f>J100-D100</f>
        <v>37</v>
      </c>
      <c r="N100" s="256">
        <f>L100-F100</f>
        <v>55193.339999999967</v>
      </c>
      <c r="O100" s="255" cm="1">
        <f t="array" ref="O100">+SUMPRODUCT(('Réel 2024'!$A$8:$A$501=$A100)*('Réel 2024'!$C$3:$AO$3=O$2),'Réel 2024'!$C$8:$AO$501)</f>
        <v>39</v>
      </c>
      <c r="P100" s="254">
        <f t="shared" si="31"/>
        <v>629.965897435898</v>
      </c>
      <c r="Q100" s="256" cm="1">
        <f t="array" ref="Q100">+SUMPRODUCT(('Réel 2024'!$A$8:$A$501=$A100)*('Réel 2024'!$C$3:$AO$3=Q$2),'Réel 2024'!$C$8:$AO$501)</f>
        <v>24568.67000000002</v>
      </c>
      <c r="R100" s="255">
        <f t="shared" si="37"/>
        <v>32</v>
      </c>
      <c r="S100" s="256">
        <f t="shared" si="38"/>
        <v>47624.669999999947</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39900</v>
      </c>
      <c r="G102" s="255"/>
      <c r="H102" s="254"/>
      <c r="I102" s="254"/>
      <c r="J102" s="255"/>
      <c r="K102" s="254">
        <f>IF(J97=0,0,L102/J97)</f>
        <v>224.05154929577463</v>
      </c>
      <c r="L102" s="256">
        <f>-SUMIFS(BV_Data_An_Cour!$P:$P,BV_Data_An_Cour!$U:$U,$B102,BV_Data_An_Cour!$V:$V,$C102,BV_Data_An_Cour!$W:$W,$L2)</f>
        <v>15907.66</v>
      </c>
      <c r="M102" s="255"/>
      <c r="N102" s="256">
        <f>L102-F102</f>
        <v>-23992.34</v>
      </c>
      <c r="O102" s="255" cm="1">
        <f t="array" ref="O102">+SUMPRODUCT(('Réel 2024'!$A$8:$A$501=$A102)*('Réel 2024'!$C$3:$AO$3=O$2),'Réel 2024'!$C$8:$AO$501)</f>
        <v>0</v>
      </c>
      <c r="P102" s="254">
        <f t="shared" ref="P102:P105" si="40">IF(O102=0,0,Q102/O102)</f>
        <v>0</v>
      </c>
      <c r="Q102" s="256" cm="1">
        <f t="array" ref="Q102">+SUMPRODUCT(('Réel 2024'!$A$8:$A$501=$A102)*('Réel 2024'!$C$3:$AO$3=Q$2),'Réel 2024'!$C$8:$AO$501)</f>
        <v>24306.68</v>
      </c>
      <c r="R102" s="255">
        <f t="shared" ref="R102:R104" si="41">O102-K102</f>
        <v>-224.05154929577463</v>
      </c>
      <c r="S102" s="256">
        <f t="shared" ref="S102:S105" si="42">L102-Q102</f>
        <v>-8399.02</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182400</v>
      </c>
      <c r="G103" s="255"/>
      <c r="H103" s="254"/>
      <c r="I103" s="254"/>
      <c r="J103" s="255"/>
      <c r="K103" s="254">
        <f>IF(J97=0,0,L103/J97)</f>
        <v>1219.1776056338028</v>
      </c>
      <c r="L103" s="256">
        <f>-SUMIFS(BV_Data_An_Cour!$P:$P,BV_Data_An_Cour!$U:$U,$B103,BV_Data_An_Cour!$V:$V,$C103,BV_Data_An_Cour!$W:$W,$L2)</f>
        <v>86561.61</v>
      </c>
      <c r="M103" s="255"/>
      <c r="N103" s="256">
        <f>L103-F103</f>
        <v>-95838.39</v>
      </c>
      <c r="O103" s="255" cm="1">
        <f t="array" ref="O103">+SUMPRODUCT(('Réel 2024'!$A$8:$A$501=$A103)*('Réel 2024'!$C$3:$AO$3=O$2),'Réel 2024'!$C$8:$AO$501)</f>
        <v>0</v>
      </c>
      <c r="P103" s="254">
        <f t="shared" si="40"/>
        <v>0</v>
      </c>
      <c r="Q103" s="256" cm="1">
        <f t="array" ref="Q103">+SUMPRODUCT(('Réel 2024'!$A$8:$A$501=$A103)*('Réel 2024'!$C$3:$AO$3=Q$2),'Réel 2024'!$C$8:$AO$501)</f>
        <v>100098.5799999999</v>
      </c>
      <c r="R103" s="255">
        <f t="shared" si="41"/>
        <v>-1219.1776056338028</v>
      </c>
      <c r="S103" s="256">
        <f t="shared" si="42"/>
        <v>-13536.969999999899</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5700</v>
      </c>
      <c r="G104" s="255"/>
      <c r="H104" s="250"/>
      <c r="I104" s="254"/>
      <c r="J104" s="255"/>
      <c r="K104" s="250">
        <f>IF(J97=0,0,L104/J97)</f>
        <v>15.671126760563382</v>
      </c>
      <c r="L104" s="256">
        <f>-SUMIFS(BV_Data_An_Cour!$P:$P,BV_Data_An_Cour!$U:$U,$B104,BV_Data_An_Cour!$V:$V,$C104,BV_Data_An_Cour!$W:$W,$L$2)</f>
        <v>1112.6500000000001</v>
      </c>
      <c r="M104" s="267"/>
      <c r="N104" s="256">
        <f>L104-F104</f>
        <v>-4587.3500000000004</v>
      </c>
      <c r="O104" s="255" cm="1">
        <f t="array" ref="O104">+SUMPRODUCT(('Réel 2024'!$A$8:$A$501=$A104)*('Réel 2024'!$C$3:$AO$3=O$2),'Réel 2024'!$C$8:$AO$501)</f>
        <v>5</v>
      </c>
      <c r="P104" s="250">
        <f t="shared" si="40"/>
        <v>521.52199999999993</v>
      </c>
      <c r="Q104" s="256" cm="1">
        <f t="array" ref="Q104">+SUMPRODUCT(('Réel 2024'!$A$8:$A$501=$A104)*('Réel 2024'!$C$3:$AO$3=Q$2),'Réel 2024'!$C$8:$AO$501)</f>
        <v>2607.6099999999997</v>
      </c>
      <c r="R104" s="255">
        <f t="shared" si="41"/>
        <v>-10.671126760563382</v>
      </c>
      <c r="S104" s="256">
        <f t="shared" si="42"/>
        <v>-1494.9599999999996</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114</v>
      </c>
      <c r="E105" s="254">
        <f t="shared" si="39"/>
        <v>2000</v>
      </c>
      <c r="F105" s="261">
        <f>F102+F103+F104</f>
        <v>228000</v>
      </c>
      <c r="G105" s="262"/>
      <c r="H105" s="260"/>
      <c r="I105" s="261"/>
      <c r="J105" s="262">
        <f>J97</f>
        <v>71</v>
      </c>
      <c r="K105" s="260">
        <f>IF(J105&lt;=0,0,L105/J105)</f>
        <v>1458.9002816901409</v>
      </c>
      <c r="L105" s="261">
        <f>L102+L103+L104</f>
        <v>103581.92</v>
      </c>
      <c r="M105" s="255">
        <f>J105-D105</f>
        <v>-43</v>
      </c>
      <c r="N105" s="261">
        <f>L105-F105</f>
        <v>-124418.08</v>
      </c>
      <c r="O105" s="262">
        <f>O97</f>
        <v>71</v>
      </c>
      <c r="P105" s="260">
        <f t="shared" si="40"/>
        <v>1788.9136619718295</v>
      </c>
      <c r="Q105" s="261">
        <f>Q102+Q103+Q104</f>
        <v>127012.86999999989</v>
      </c>
      <c r="R105" s="273"/>
      <c r="S105" s="261">
        <f t="shared" si="42"/>
        <v>-23430.949999999895</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-0.54569333333333336</v>
      </c>
      <c r="O106" s="253"/>
      <c r="P106" s="41"/>
      <c r="Q106" s="276"/>
      <c r="R106" s="277"/>
      <c r="S106" s="265">
        <f>IF(Q105=0,0,(S105/Q105))</f>
        <v>-0.18447697465618967</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148</v>
      </c>
      <c r="E108" s="350">
        <f>IF(D108&lt;=0,0,F108/D108)</f>
        <v>2810.8108108108108</v>
      </c>
      <c r="F108" s="281">
        <f>F97+F105+F100</f>
        <v>416000</v>
      </c>
      <c r="G108" s="282"/>
      <c r="H108" s="350"/>
      <c r="I108" s="281"/>
      <c r="J108" s="282">
        <f>J97+J100</f>
        <v>142</v>
      </c>
      <c r="K108" s="350">
        <f>IF(J108&lt;=0,0,L108/J108)</f>
        <v>1381.8129577464788</v>
      </c>
      <c r="L108" s="281">
        <f>L97+L105+L100</f>
        <v>196217.43999999997</v>
      </c>
      <c r="M108" s="282">
        <f>J108-D108</f>
        <v>-6</v>
      </c>
      <c r="N108" s="281">
        <f>L108-F108</f>
        <v>-219782.56000000003</v>
      </c>
      <c r="O108" s="282">
        <f>O97+O100</f>
        <v>110</v>
      </c>
      <c r="P108" s="350">
        <f>IF(O108&lt;=0,0,Q108/O108)</f>
        <v>2308.6468181818154</v>
      </c>
      <c r="Q108" s="281">
        <f>Q97+Q105+Q100</f>
        <v>253951.1499999997</v>
      </c>
      <c r="R108" s="282">
        <f>J108-O108</f>
        <v>32</v>
      </c>
      <c r="S108" s="281">
        <f>L108-Q108</f>
        <v>-57733.70999999973</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0.4716765384615384</v>
      </c>
      <c r="M109" s="286">
        <f>M108/D108</f>
        <v>-4.0540540540540543E-2</v>
      </c>
      <c r="N109" s="287">
        <f>N108/F108</f>
        <v>-0.52832346153846155</v>
      </c>
      <c r="O109" s="283"/>
      <c r="P109" s="284"/>
      <c r="Q109" s="285"/>
      <c r="R109" s="286">
        <f>O108/R108</f>
        <v>3.4375</v>
      </c>
      <c r="S109" s="352">
        <f>IF(Q108=0,0,(S108/Q108))</f>
        <v>-0.2273417938843742</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0.31912280701754386</v>
      </c>
      <c r="E112" s="291">
        <f t="shared" ref="E112:E121" si="43">F112/D$97</f>
        <v>478.68421052631578</v>
      </c>
      <c r="F112" s="254" cm="1">
        <f t="array" ref="F112">+SUMPRODUCT(('Budget original'!$A$8:$A$501=$A112)*('Budget original'!$C$3:$AO$3=F$2),'Budget original'!$C$8:$AO$501)</f>
        <v>54570</v>
      </c>
      <c r="G112" s="298"/>
      <c r="H112" s="291"/>
      <c r="I112" s="254"/>
      <c r="J112" s="292">
        <f>+L112/L97</f>
        <v>1.4557664593502249</v>
      </c>
      <c r="K112" s="291">
        <f>IF($J$97=0,0,L112/(J$94+J$95+J96))</f>
        <v>419.14140845070426</v>
      </c>
      <c r="L112" s="256">
        <f>SUMIFS(BV_Data_An_Cour!$P:$P,BV_Data_An_Cour!$U:$U,$B112,BV_Data_An_Cour!$V:$V,$C112,BV_Data_An_Cour!$W:$W,$L$2)</f>
        <v>29759.040000000001</v>
      </c>
      <c r="M112" s="253"/>
      <c r="N112" s="276">
        <f t="shared" ref="N112:N153" si="44">L112-F112</f>
        <v>-24810.959999999999</v>
      </c>
      <c r="O112" s="253">
        <f>Q112/Q97</f>
        <v>0.36647760990786304</v>
      </c>
      <c r="P112" s="291">
        <f t="shared" ref="P112:P121" si="45">Q112/O$97</f>
        <v>528.39676056338021</v>
      </c>
      <c r="Q112" s="256" cm="1">
        <f t="array" ref="Q112">+SUMPRODUCT(('Réel 2024'!$A$8:$A$501=$A112)*('Réel 2024'!$C$3:$AO$3=Q$2),'Réel 2024'!$C$8:$AO$501)</f>
        <v>37516.17</v>
      </c>
      <c r="R112" s="253"/>
      <c r="S112" s="276">
        <f t="shared" ref="S112:S122" si="46">L112-Q112</f>
        <v>-7757.1299999999974</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0.23619975753054184</v>
      </c>
      <c r="E113" s="294">
        <f t="shared" si="43"/>
        <v>521.99191076074919</v>
      </c>
      <c r="F113" s="248" cm="1">
        <f t="array" ref="F113">+SUMPRODUCT(('Budget original'!$A$8:$A$501=$A113)*('Budget original'!$C$3:$AO$3=F$2),'Budget original'!$C$8:$AO$501)</f>
        <v>59507.077826725406</v>
      </c>
      <c r="G113" s="300"/>
      <c r="H113" s="294"/>
      <c r="I113" s="248"/>
      <c r="J113" s="295">
        <f>L113/L105</f>
        <v>0.28761399672838661</v>
      </c>
      <c r="K113" s="294">
        <f>IF($J$97=0,0,L113/(J$94+J$95+J96))</f>
        <v>419.60014084507043</v>
      </c>
      <c r="L113" s="256">
        <f>SUMIFS(BV_Data_An_Cour!$P:$P,BV_Data_An_Cour!$U:$U,$B113,BV_Data_An_Cour!$V:$V,$C113,BV_Data_An_Cour!$W:$W,$L$2)</f>
        <v>29791.61</v>
      </c>
      <c r="M113" s="246"/>
      <c r="N113" s="296">
        <f t="shared" si="44"/>
        <v>-29715.467826725406</v>
      </c>
      <c r="O113" s="246">
        <f>Q113/(Q105+Q19)</f>
        <v>0.23488792360017549</v>
      </c>
      <c r="P113" s="294">
        <f t="shared" si="45"/>
        <v>501.93140845070417</v>
      </c>
      <c r="Q113" s="256" cm="1">
        <f t="array" ref="Q113">+SUMPRODUCT(('Réel 2024'!$A$8:$A$501=$A113)*('Réel 2024'!$C$3:$AO$3=Q$2),'Réel 2024'!$C$8:$AO$501)</f>
        <v>35637.129999999997</v>
      </c>
      <c r="R113" s="246"/>
      <c r="S113" s="296">
        <f t="shared" si="46"/>
        <v>-5845.5199999999968</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912</v>
      </c>
      <c r="G114" s="298"/>
      <c r="H114" s="291"/>
      <c r="I114" s="254"/>
      <c r="J114" s="253"/>
      <c r="K114" s="291">
        <f>IF($J$97=0,0,L114/(J$94+J$95+J96))</f>
        <v>-27.323802816901409</v>
      </c>
      <c r="L114" s="272">
        <f>SUMIFS(BV_Data_An_Cour!$P:$P,BV_Data_An_Cour!$U:$U,$B114,BV_Data_An_Cour!$V:$V,$C114,BV_Data_An_Cour!$W:$W,$L$2)</f>
        <v>-1939.99</v>
      </c>
      <c r="M114" s="253"/>
      <c r="N114" s="276">
        <f t="shared" si="44"/>
        <v>-2851.99</v>
      </c>
      <c r="O114" s="253"/>
      <c r="P114" s="291">
        <f t="shared" si="45"/>
        <v>-53.002394366197187</v>
      </c>
      <c r="Q114" s="272" cm="1">
        <f t="array" ref="Q114">+SUMPRODUCT(('Réel 2024'!$A$8:$A$501=$A114)*('Réel 2024'!$C$3:$AO$3=Q$2),'Réel 2024'!$C$8:$AO$501)</f>
        <v>-3763.17</v>
      </c>
      <c r="R114" s="253"/>
      <c r="S114" s="276">
        <f t="shared" si="46"/>
        <v>1823.18</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50</v>
      </c>
      <c r="F115" s="254" cm="1">
        <f t="array" ref="F115">+SUMPRODUCT(('Budget original'!$A$8:$A$501=$A115)*('Budget original'!$C$3:$AO$3=F$2),'Budget original'!$C$8:$AO$501)</f>
        <v>5700</v>
      </c>
      <c r="G115" s="298"/>
      <c r="H115" s="291"/>
      <c r="I115" s="254"/>
      <c r="J115" s="253"/>
      <c r="K115" s="291">
        <f>IF($J$97=0,0,L115/(J$94+J$95+J96))</f>
        <v>53.98676056338028</v>
      </c>
      <c r="L115" s="256">
        <f>SUMIFS(BV_Data_An_Cour!$P:$P,BV_Data_An_Cour!$U:$U,$B115,BV_Data_An_Cour!$V:$V,$C115,BV_Data_An_Cour!$W:$W,$L$2)</f>
        <v>3833.06</v>
      </c>
      <c r="M115" s="253"/>
      <c r="N115" s="276">
        <f t="shared" si="44"/>
        <v>-1866.94</v>
      </c>
      <c r="O115" s="253"/>
      <c r="P115" s="291">
        <f t="shared" si="45"/>
        <v>36.016760563380281</v>
      </c>
      <c r="Q115" s="256" cm="1">
        <f t="array" ref="Q115">+SUMPRODUCT(('Réel 2024'!$A$8:$A$501=$A115)*('Réel 2024'!$C$3:$AO$3=Q$2),'Réel 2024'!$C$8:$AO$501)</f>
        <v>2557.19</v>
      </c>
      <c r="R115" s="253"/>
      <c r="S115" s="276">
        <f t="shared" si="46"/>
        <v>1275.8699999999999</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170</v>
      </c>
      <c r="F116" s="248" cm="1">
        <f t="array" ref="F116">+SUMPRODUCT(('Budget original'!$A$8:$A$501=$A116)*('Budget original'!$C$3:$AO$3=F$2),'Budget original'!$C$8:$AO$501)</f>
        <v>19380</v>
      </c>
      <c r="G116" s="300"/>
      <c r="H116" s="294"/>
      <c r="I116" s="248"/>
      <c r="J116" s="246"/>
      <c r="K116" s="294">
        <f>IF($J$97=0,0,L116/(J$94+J$95+J96))</f>
        <v>232.12507042253523</v>
      </c>
      <c r="L116" s="248">
        <f>SUMIFS(BV_Data_An_Cour!$P:$P,BV_Data_An_Cour!$U:$U,$B116,BV_Data_An_Cour!$V:$V,$C116,BV_Data_An_Cour!$W:$W,$L$2)</f>
        <v>16480.88</v>
      </c>
      <c r="M116" s="246"/>
      <c r="N116" s="296">
        <f t="shared" si="44"/>
        <v>-2899.119999999999</v>
      </c>
      <c r="O116" s="246"/>
      <c r="P116" s="294">
        <f t="shared" si="45"/>
        <v>164.38028169014083</v>
      </c>
      <c r="Q116" s="248" cm="1">
        <f t="array" ref="Q116">+SUMPRODUCT(('Réel 2024'!$A$8:$A$501=$A116)*('Réel 2024'!$C$3:$AO$3=Q$2),'Réel 2024'!$C$8:$AO$501)</f>
        <v>11671</v>
      </c>
      <c r="R116" s="246"/>
      <c r="S116" s="296">
        <f t="shared" si="46"/>
        <v>4809.880000000001</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286.39254385964909</v>
      </c>
      <c r="F117" s="254" cm="1">
        <f t="array" ref="F117">+SUMPRODUCT(('Budget original'!$A$8:$A$501=$A117)*('Budget original'!$C$3:$AO$3=F$2),'Budget original'!$C$8:$AO$501)</f>
        <v>32648.75</v>
      </c>
      <c r="G117" s="298"/>
      <c r="H117" s="291"/>
      <c r="I117" s="254"/>
      <c r="J117" s="253"/>
      <c r="K117" s="291">
        <f>IF($J$97=0,0,L117/(J$94+J$95+J96))</f>
        <v>328.58887323943662</v>
      </c>
      <c r="L117" s="256">
        <f>SUMIFS(BV_Data_An_Cour!$P:$P,BV_Data_An_Cour!$U:$U,$B117,BV_Data_An_Cour!$V:$V,$C117,BV_Data_An_Cour!$W:$W,$L$2)</f>
        <v>23329.81</v>
      </c>
      <c r="M117" s="253"/>
      <c r="N117" s="276">
        <f t="shared" si="44"/>
        <v>-9318.9399999999987</v>
      </c>
      <c r="O117" s="253"/>
      <c r="P117" s="291">
        <f t="shared" si="45"/>
        <v>420.67056338028169</v>
      </c>
      <c r="Q117" s="256" cm="1">
        <f t="array" ref="Q117">+SUMPRODUCT(('Réel 2024'!$A$8:$A$501=$A117)*('Réel 2024'!$C$3:$AO$3=Q$2),'Réel 2024'!$C$8:$AO$501)</f>
        <v>29867.61</v>
      </c>
      <c r="R117" s="253"/>
      <c r="S117" s="276">
        <f t="shared" si="46"/>
        <v>-6537.7999999999993</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0</v>
      </c>
      <c r="F118" s="254" cm="1">
        <f t="array" ref="F118">+SUMPRODUCT(('Budget original'!$A$8:$A$501=$A118)*('Budget original'!$C$3:$AO$3=F$2),'Budget original'!$C$8:$AO$501)</f>
        <v>0</v>
      </c>
      <c r="G118" s="298"/>
      <c r="H118" s="291"/>
      <c r="I118" s="254"/>
      <c r="J118" s="253"/>
      <c r="K118" s="291">
        <f>IF($J$97=0,0,L118/(J$94+J$95+J96))</f>
        <v>29.134507042253524</v>
      </c>
      <c r="L118" s="895">
        <f>SUMIFS(BV_Data_An_Cour!$P:$P,BV_Data_An_Cour!$U:$U,$B118,BV_Data_An_Cour!$V:$V,$C118,BV_Data_An_Cour!$W:$W,$L$2)</f>
        <v>2068.5500000000002</v>
      </c>
      <c r="M118" s="930"/>
      <c r="N118" s="904">
        <f t="shared" si="44"/>
        <v>2068.5500000000002</v>
      </c>
      <c r="O118" s="253"/>
      <c r="P118" s="291">
        <f t="shared" si="45"/>
        <v>95.28014084507042</v>
      </c>
      <c r="Q118" s="256" cm="1">
        <f t="array" ref="Q118">+SUMPRODUCT(('Réel 2024'!$A$8:$A$501=$A118)*('Réel 2024'!$C$3:$AO$3=Q$2),'Réel 2024'!$C$8:$AO$501)</f>
        <v>6764.89</v>
      </c>
      <c r="R118" s="253"/>
      <c r="S118" s="276">
        <f t="shared" si="46"/>
        <v>-4696.34</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0.41518708612193606</v>
      </c>
      <c r="F122" s="307">
        <f>SUM(F112:F121)</f>
        <v>172717.82782672541</v>
      </c>
      <c r="G122" s="308"/>
      <c r="H122" s="306"/>
      <c r="I122" s="307"/>
      <c r="J122" s="308" t="s">
        <v>119</v>
      </c>
      <c r="K122" s="306">
        <f>L122/L$108</f>
        <v>0.52657378467479765</v>
      </c>
      <c r="L122" s="307">
        <f>SUM(L112:L121)</f>
        <v>103322.96</v>
      </c>
      <c r="M122" s="311"/>
      <c r="N122" s="307">
        <f t="shared" si="44"/>
        <v>-69394.8678267254</v>
      </c>
      <c r="O122" s="308" t="s">
        <v>119</v>
      </c>
      <c r="P122" s="306">
        <f>Q122/Q$108</f>
        <v>0.47351949380816011</v>
      </c>
      <c r="Q122" s="307">
        <f>SUM(Q112:Q121)</f>
        <v>120250.81999999999</v>
      </c>
      <c r="R122" s="311"/>
      <c r="S122" s="307">
        <f t="shared" si="46"/>
        <v>-16927.859999999986</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34971.100641025638</v>
      </c>
      <c r="G123" s="253"/>
      <c r="H123" s="41"/>
      <c r="I123" s="254"/>
      <c r="J123" s="253"/>
      <c r="K123" s="41"/>
      <c r="L123" s="256">
        <f>SUMIFS(BV_Data_An_Cour!$P:$P,BV_Data_An_Cour!$U:$U,$B123,BV_Data_An_Cour!$V:$V,$C123,BV_Data_An_Cour!$W:$W,$L$2)</f>
        <v>24981.439999999999</v>
      </c>
      <c r="M123" s="253"/>
      <c r="N123" s="276">
        <f t="shared" si="44"/>
        <v>-9989.6606410256391</v>
      </c>
      <c r="O123" s="253"/>
      <c r="P123" s="41"/>
      <c r="Q123" s="256" cm="1">
        <f t="array" ref="Q123">+SUMPRODUCT(('Réel 2024'!$A$8:$A$501=$A123)*('Réel 2024'!$C$3:$AO$3=Q$2),'Réel 2024'!$C$8:$AO$501)</f>
        <v>28389.06</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16629.006147848206</v>
      </c>
      <c r="G124" s="298"/>
      <c r="H124" s="41"/>
      <c r="I124" s="248"/>
      <c r="J124" s="253"/>
      <c r="K124" s="41"/>
      <c r="L124" s="248">
        <f>SUMIFS(BV_Data_An_Cour!$P:$P,BV_Data_An_Cour!$U:$U,$B124,BV_Data_An_Cour!$V:$V,$C124,BV_Data_An_Cour!$W:$W,$L$2)</f>
        <v>12361.37</v>
      </c>
      <c r="M124" s="253"/>
      <c r="N124" s="276">
        <f t="shared" si="44"/>
        <v>-4267.6361478482049</v>
      </c>
      <c r="O124" s="253"/>
      <c r="P124" s="41"/>
      <c r="Q124" s="248" cm="1">
        <f t="array" ref="Q124">+SUMPRODUCT(('Réel 2024'!$A$8:$A$501=$A124)*('Réel 2024'!$C$3:$AO$3=Q$2),'Réel 2024'!$C$8:$AO$501)</f>
        <v>16789.84</v>
      </c>
      <c r="R124" s="253"/>
      <c r="S124" s="276">
        <f t="shared" ref="S124:S153" si="48">L124-Q124</f>
        <v>-4428.4699999999993</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3623.6333333333332</v>
      </c>
      <c r="G125" s="316"/>
      <c r="H125" s="315"/>
      <c r="I125" s="254"/>
      <c r="J125" s="241"/>
      <c r="K125" s="315"/>
      <c r="L125" s="256">
        <f>SUMIFS(BV_Data_An_Cour!$P:$P,BV_Data_An_Cour!$U:$U,$B125,BV_Data_An_Cour!$V:$V,$C125,BV_Data_An_Cour!$W:$W,$L$2)</f>
        <v>20200.34</v>
      </c>
      <c r="M125" s="241"/>
      <c r="N125" s="317">
        <f t="shared" si="44"/>
        <v>16576.706666666665</v>
      </c>
      <c r="O125" s="241"/>
      <c r="P125" s="315"/>
      <c r="Q125" s="256" cm="1">
        <f t="array" ref="Q125">+SUMPRODUCT(('Réel 2024'!$A$8:$A$501=$A125)*('Réel 2024'!$C$3:$AO$3=Q$2),'Réel 2024'!$C$8:$AO$501)</f>
        <v>14396</v>
      </c>
      <c r="R125" s="241"/>
      <c r="S125" s="317">
        <f t="shared" si="48"/>
        <v>5804.34</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21232.866771139743</v>
      </c>
      <c r="G130" s="298"/>
      <c r="H130" s="41"/>
      <c r="I130" s="254"/>
      <c r="J130" s="253"/>
      <c r="K130" s="41"/>
      <c r="L130" s="256">
        <f>SUMIFS(BV_Data_An_Cour!$P:$P,BV_Data_An_Cour!$U:$U,$B130,BV_Data_An_Cour!$V:$V,$C130,BV_Data_An_Cour!$W:$W,$L$2)</f>
        <v>20321.36</v>
      </c>
      <c r="M130" s="253"/>
      <c r="N130" s="276">
        <f t="shared" si="44"/>
        <v>-911.50677113974234</v>
      </c>
      <c r="O130" s="253"/>
      <c r="P130" s="41"/>
      <c r="Q130" s="256" cm="1">
        <f t="array" ref="Q130">+SUMPRODUCT(('Réel 2024'!$A$8:$A$501=$A130)*('Réel 2024'!$C$3:$AO$3=Q$2),'Réel 2024'!$C$8:$AO$501)</f>
        <v>22175.27</v>
      </c>
      <c r="R130" s="253"/>
      <c r="S130" s="276">
        <f t="shared" si="48"/>
        <v>-1853.9099999999999</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25816.172814249207</v>
      </c>
      <c r="G131" s="316"/>
      <c r="H131" s="315"/>
      <c r="I131" s="271"/>
      <c r="J131" s="241"/>
      <c r="K131" s="315"/>
      <c r="L131" s="272">
        <f>SUMIFS(BV_Data_An_Cour!$P:$P,BV_Data_An_Cour!$U:$U,$B131,BV_Data_An_Cour!$V:$V,$C131,BV_Data_An_Cour!$W:$W,$L$2)</f>
        <v>25801.91</v>
      </c>
      <c r="M131" s="241"/>
      <c r="N131" s="317">
        <f t="shared" si="44"/>
        <v>-14.262814249206713</v>
      </c>
      <c r="O131" s="241"/>
      <c r="P131" s="315"/>
      <c r="Q131" s="272" cm="1">
        <f t="array" ref="Q131">+SUMPRODUCT(('Réel 2024'!$A$8:$A$501=$A131)*('Réel 2024'!$C$3:$AO$3=Q$2),'Réel 2024'!$C$8:$AO$501)</f>
        <v>25444.879999999997</v>
      </c>
      <c r="R131" s="241"/>
      <c r="S131" s="317">
        <f t="shared" si="48"/>
        <v>357.03000000000247</v>
      </c>
      <c r="T131" s="41"/>
      <c r="U131" s="254">
        <f>L131-Print_Mois!L131</f>
        <v>17832.37</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13300.941210819699</v>
      </c>
      <c r="G132" s="298"/>
      <c r="H132" s="41"/>
      <c r="I132" s="254"/>
      <c r="J132" s="253"/>
      <c r="K132" s="41"/>
      <c r="L132" s="256">
        <f>SUMIFS(BV_Data_An_Cour!$P:$P,BV_Data_An_Cour!$U:$U,$B132,BV_Data_An_Cour!$V:$V,$C132,BV_Data_An_Cour!$W:$W,$L$2)</f>
        <v>12314.400000000001</v>
      </c>
      <c r="M132" s="253"/>
      <c r="N132" s="276">
        <f t="shared" si="44"/>
        <v>-986.54121081969788</v>
      </c>
      <c r="O132" s="253"/>
      <c r="P132" s="41"/>
      <c r="Q132" s="256" cm="1">
        <f t="array" ref="Q132">+SUMPRODUCT(('Réel 2024'!$A$8:$A$501=$A132)*('Réel 2024'!$C$3:$AO$3=Q$2),'Réel 2024'!$C$8:$AO$501)</f>
        <v>12923.46</v>
      </c>
      <c r="R132" s="253"/>
      <c r="S132" s="276">
        <f t="shared" si="48"/>
        <v>-609.05999999999767</v>
      </c>
      <c r="T132" s="41"/>
      <c r="U132" s="254">
        <f>L132-Print_Mois!L132</f>
        <v>8410.2400000000016</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5799.2851974038076</v>
      </c>
      <c r="G133" s="298"/>
      <c r="H133" s="41"/>
      <c r="I133" s="254"/>
      <c r="J133" s="253"/>
      <c r="K133" s="41"/>
      <c r="L133" s="256">
        <f>SUMIFS(BV_Data_An_Cour!$P:$P,BV_Data_An_Cour!$U:$U,$B133,BV_Data_An_Cour!$V:$V,$C133,BV_Data_An_Cour!$W:$W,$L$2)</f>
        <v>3266.57</v>
      </c>
      <c r="M133" s="253"/>
      <c r="N133" s="276">
        <f t="shared" si="44"/>
        <v>-2532.7151974038075</v>
      </c>
      <c r="O133" s="253"/>
      <c r="P133" s="41"/>
      <c r="Q133" s="256" cm="1">
        <f t="array" ref="Q133">+SUMPRODUCT(('Réel 2024'!$A$8:$A$501=$A133)*('Réel 2024'!$C$3:$AO$3=Q$2),'Réel 2024'!$C$8:$AO$501)</f>
        <v>4032.63</v>
      </c>
      <c r="R133" s="253"/>
      <c r="S133" s="276">
        <f t="shared" si="48"/>
        <v>-766.06</v>
      </c>
      <c r="T133" s="41"/>
      <c r="U133" s="254">
        <f>L133-Print_Mois!L133</f>
        <v>2612.7000000000003</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0.29176203393225875</v>
      </c>
      <c r="F135" s="307">
        <f>+SUM(F123:F134)</f>
        <v>121373.00611581963</v>
      </c>
      <c r="G135" s="308"/>
      <c r="H135" s="306"/>
      <c r="I135" s="307"/>
      <c r="J135" s="308" t="s">
        <v>119</v>
      </c>
      <c r="K135" s="306">
        <f>L135/L$108</f>
        <v>0.60773084186604431</v>
      </c>
      <c r="L135" s="307">
        <f>SUM(L123:L134)</f>
        <v>119247.39000000001</v>
      </c>
      <c r="M135" s="355"/>
      <c r="N135" s="320">
        <f t="shared" si="44"/>
        <v>-2125.6161158196192</v>
      </c>
      <c r="O135" s="308" t="s">
        <v>119</v>
      </c>
      <c r="P135" s="306">
        <f>Q135/Q$108</f>
        <v>0.48887803815812658</v>
      </c>
      <c r="Q135" s="307">
        <f>+SUM(Q123:Q134)</f>
        <v>124151.13999999998</v>
      </c>
      <c r="R135" s="355"/>
      <c r="S135" s="320">
        <f t="shared" si="48"/>
        <v>-4903.7499999999709</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3852.459866666667</v>
      </c>
      <c r="G138" s="300"/>
      <c r="H138" s="318"/>
      <c r="I138" s="248"/>
      <c r="J138" s="246"/>
      <c r="K138" s="318"/>
      <c r="L138" s="248">
        <f>SUMIFS(BV_Data_An_Cour!$P:$P,BV_Data_An_Cour!$U:$U,$B138,BV_Data_An_Cour!$V:$V,$C138,BV_Data_An_Cour!$W:$W,$L$2)</f>
        <v>5830.25</v>
      </c>
      <c r="M138" s="246"/>
      <c r="N138" s="296">
        <f t="shared" si="44"/>
        <v>1977.790133333333</v>
      </c>
      <c r="O138" s="246"/>
      <c r="P138" s="318"/>
      <c r="Q138" s="248" cm="1">
        <f t="array" ref="Q138">+SUMPRODUCT(('Réel 2024'!$A$8:$A$501=$A138)*('Réel 2024'!$C$3:$AO$3=Q$2),'Réel 2024'!$C$8:$AO$501)</f>
        <v>8789.68</v>
      </c>
      <c r="R138" s="246"/>
      <c r="S138" s="296">
        <f t="shared" si="48"/>
        <v>-2959.4300000000003</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11184</v>
      </c>
      <c r="G139" s="298"/>
      <c r="H139" s="41"/>
      <c r="I139" s="254"/>
      <c r="J139" s="253"/>
      <c r="K139" s="41"/>
      <c r="L139" s="256">
        <f>SUMIFS(BV_Data_An_Cour!$P:$P,BV_Data_An_Cour!$U:$U,$B139,BV_Data_An_Cour!$V:$V,$C139,BV_Data_An_Cour!$W:$W,$L$2)</f>
        <v>11536.48</v>
      </c>
      <c r="M139" s="253"/>
      <c r="N139" s="276">
        <f t="shared" si="44"/>
        <v>352.47999999999956</v>
      </c>
      <c r="O139" s="253"/>
      <c r="P139" s="41"/>
      <c r="Q139" s="256" cm="1">
        <f t="array" ref="Q139">+SUMPRODUCT(('Réel 2024'!$A$8:$A$501=$A139)*('Réel 2024'!$C$3:$AO$3=Q$2),'Réel 2024'!$C$8:$AO$501)</f>
        <v>9320.619999999999</v>
      </c>
      <c r="R139" s="253"/>
      <c r="S139" s="276">
        <f t="shared" si="48"/>
        <v>2215.8600000000006</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2250</v>
      </c>
      <c r="G140" s="298"/>
      <c r="H140" s="41"/>
      <c r="I140" s="254"/>
      <c r="J140" s="253"/>
      <c r="K140" s="41"/>
      <c r="L140" s="256">
        <f>SUMIFS(BV_Data_An_Cour!$P:$P,BV_Data_An_Cour!$U:$U,$B140,BV_Data_An_Cour!$V:$V,$C140,BV_Data_An_Cour!$W:$W,$L$2)</f>
        <v>1138.23</v>
      </c>
      <c r="M140" s="253"/>
      <c r="N140" s="276">
        <f t="shared" si="44"/>
        <v>-1111.77</v>
      </c>
      <c r="O140" s="253"/>
      <c r="P140" s="41"/>
      <c r="Q140" s="256" cm="1">
        <f t="array" ref="Q140">+SUMPRODUCT(('Réel 2024'!$A$8:$A$501=$A140)*('Réel 2024'!$C$3:$AO$3=Q$2),'Réel 2024'!$C$8:$AO$501)</f>
        <v>1516.36</v>
      </c>
      <c r="R140" s="253"/>
      <c r="S140" s="276">
        <f t="shared" si="48"/>
        <v>-378.12999999999988</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4982.76</v>
      </c>
      <c r="G141" s="300"/>
      <c r="H141" s="318"/>
      <c r="I141" s="248"/>
      <c r="J141" s="246"/>
      <c r="K141" s="318"/>
      <c r="L141" s="248">
        <f>SUMIFS(BV_Data_An_Cour!$P:$P,BV_Data_An_Cour!$U:$U,$B141,BV_Data_An_Cour!$V:$V,$C141,BV_Data_An_Cour!$W:$W,$L$2)</f>
        <v>5941</v>
      </c>
      <c r="M141" s="246"/>
      <c r="N141" s="296">
        <f t="shared" si="44"/>
        <v>958.23999999999978</v>
      </c>
      <c r="O141" s="246"/>
      <c r="P141" s="318"/>
      <c r="Q141" s="248" cm="1">
        <f t="array" ref="Q141">+SUMPRODUCT(('Réel 2024'!$A$8:$A$501=$A141)*('Réel 2024'!$C$3:$AO$3=Q$2),'Réel 2024'!$C$8:$AO$501)</f>
        <v>9309.18</v>
      </c>
      <c r="R141" s="246"/>
      <c r="S141" s="296">
        <f t="shared" si="48"/>
        <v>-3368.1800000000003</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150</v>
      </c>
      <c r="G142" s="298"/>
      <c r="H142" s="41"/>
      <c r="I142" s="254"/>
      <c r="J142" s="253"/>
      <c r="K142" s="41"/>
      <c r="L142" s="256">
        <f>SUMIFS(BV_Data_An_Cour!$P:$P,BV_Data_An_Cour!$U:$U,$B142,BV_Data_An_Cour!$V:$V,$C142,BV_Data_An_Cour!$W:$W,$L$2)</f>
        <v>0</v>
      </c>
      <c r="M142" s="253"/>
      <c r="N142" s="276">
        <f t="shared" si="44"/>
        <v>-150</v>
      </c>
      <c r="O142" s="253"/>
      <c r="P142" s="41"/>
      <c r="Q142" s="256" cm="1">
        <f t="array" ref="Q142">+SUMPRODUCT(('Réel 2024'!$A$8:$A$501=$A142)*('Réel 2024'!$C$3:$AO$3=Q$2),'Réel 2024'!$C$8:$AO$501)</f>
        <v>306.39</v>
      </c>
      <c r="R142" s="253"/>
      <c r="S142" s="276">
        <f t="shared" si="48"/>
        <v>-306.39</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0</v>
      </c>
      <c r="G143" s="298"/>
      <c r="H143" s="41"/>
      <c r="I143" s="254"/>
      <c r="J143" s="253"/>
      <c r="K143" s="41"/>
      <c r="L143" s="256">
        <f>SUMIFS(BV_Data_An_Cour!$P:$P,BV_Data_An_Cour!$U:$U,$B143,BV_Data_An_Cour!$V:$V,$C143,BV_Data_An_Cour!$W:$W,$L$2)</f>
        <v>0</v>
      </c>
      <c r="M143" s="253"/>
      <c r="N143" s="276">
        <f t="shared" si="44"/>
        <v>0</v>
      </c>
      <c r="O143" s="253"/>
      <c r="P143" s="41"/>
      <c r="Q143" s="256" cm="1">
        <f t="array" ref="Q143">+SUMPRODUCT(('Réel 2024'!$A$8:$A$501=$A143)*('Réel 2024'!$C$3:$AO$3=Q$2),'Réel 2024'!$C$8:$AO$501)</f>
        <v>0</v>
      </c>
      <c r="R143" s="253"/>
      <c r="S143" s="276">
        <f t="shared" si="4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816</v>
      </c>
      <c r="G144" s="298"/>
      <c r="H144" s="41"/>
      <c r="I144" s="254"/>
      <c r="J144" s="253"/>
      <c r="K144" s="41"/>
      <c r="L144" s="256">
        <f>SUMIFS(BV_Data_An_Cour!$P:$P,BV_Data_An_Cour!$U:$U,$B144,BV_Data_An_Cour!$V:$V,$C144,BV_Data_An_Cour!$W:$W,$L$2)</f>
        <v>2247.44</v>
      </c>
      <c r="M144" s="253"/>
      <c r="N144" s="276">
        <f t="shared" si="44"/>
        <v>1431.44</v>
      </c>
      <c r="O144" s="253"/>
      <c r="P144" s="41"/>
      <c r="Q144" s="256" cm="1">
        <f t="array" ref="Q144">+SUMPRODUCT(('Réel 2024'!$A$8:$A$501=$A144)*('Réel 2024'!$C$3:$AO$3=Q$2),'Réel 2024'!$C$8:$AO$501)</f>
        <v>655.03</v>
      </c>
      <c r="R144" s="253"/>
      <c r="S144" s="276">
        <f t="shared" si="48"/>
        <v>1592.41</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262.5</v>
      </c>
      <c r="G145" s="298"/>
      <c r="H145" s="41"/>
      <c r="I145" s="254"/>
      <c r="J145" s="253"/>
      <c r="K145" s="41"/>
      <c r="L145" s="256">
        <f>SUMIFS(BV_Data_An_Cour!$P:$P,BV_Data_An_Cour!$U:$U,$B145,BV_Data_An_Cour!$V:$V,$C145,BV_Data_An_Cour!$W:$W,$L$2)</f>
        <v>332.04</v>
      </c>
      <c r="M145" s="253"/>
      <c r="N145" s="276">
        <f t="shared" si="44"/>
        <v>69.54000000000002</v>
      </c>
      <c r="O145" s="253"/>
      <c r="P145" s="41"/>
      <c r="Q145" s="256" cm="1">
        <f t="array" ref="Q145">+SUMPRODUCT(('Réel 2024'!$A$8:$A$501=$A145)*('Réel 2024'!$C$3:$AO$3=Q$2),'Réel 2024'!$C$8:$AO$501)</f>
        <v>282.57</v>
      </c>
      <c r="R145" s="253"/>
      <c r="S145" s="276">
        <f t="shared" si="48"/>
        <v>49.470000000000027</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256.40999999999997</v>
      </c>
      <c r="G146" s="298"/>
      <c r="H146" s="41"/>
      <c r="I146" s="254"/>
      <c r="J146" s="253"/>
      <c r="K146" s="41"/>
      <c r="L146" s="256">
        <f>SUMIFS(BV_Data_An_Cour!$P:$P,BV_Data_An_Cour!$U:$U,$B146,BV_Data_An_Cour!$V:$V,$C146,BV_Data_An_Cour!$W:$W,$L$2)</f>
        <v>368.12</v>
      </c>
      <c r="M146" s="253"/>
      <c r="N146" s="276">
        <f t="shared" si="44"/>
        <v>111.71000000000004</v>
      </c>
      <c r="O146" s="253"/>
      <c r="P146" s="41"/>
      <c r="Q146" s="256" cm="1">
        <f t="array" ref="Q146">+SUMPRODUCT(('Réel 2024'!$A$8:$A$501=$A146)*('Réel 2024'!$C$3:$AO$3=Q$2),'Réel 2024'!$C$8:$AO$501)</f>
        <v>637.41999999999996</v>
      </c>
      <c r="R146" s="253"/>
      <c r="S146" s="276">
        <f t="shared" si="48"/>
        <v>-269.29999999999995</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135</v>
      </c>
      <c r="G147" s="298"/>
      <c r="H147" s="41"/>
      <c r="I147" s="254"/>
      <c r="J147" s="253"/>
      <c r="K147" s="41"/>
      <c r="L147" s="256">
        <f>SUMIFS(BV_Data_An_Cour!$P:$P,BV_Data_An_Cour!$U:$U,$B147,BV_Data_An_Cour!$V:$V,$C147,BV_Data_An_Cour!$W:$W,$L$2)</f>
        <v>333.45</v>
      </c>
      <c r="M147" s="253"/>
      <c r="N147" s="276">
        <f t="shared" si="44"/>
        <v>198.45</v>
      </c>
      <c r="O147" s="253"/>
      <c r="P147" s="41"/>
      <c r="Q147" s="256" cm="1">
        <f t="array" ref="Q147">+SUMPRODUCT(('Réel 2024'!$A$8:$A$501=$A147)*('Réel 2024'!$C$3:$AO$3=Q$2),'Réel 2024'!$C$8:$AO$501)</f>
        <v>86.93</v>
      </c>
      <c r="R147" s="253"/>
      <c r="S147" s="276">
        <f t="shared" si="48"/>
        <v>246.51999999999998</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1250</v>
      </c>
      <c r="G148" s="298"/>
      <c r="H148" s="41"/>
      <c r="I148" s="254"/>
      <c r="J148" s="253"/>
      <c r="K148" s="41"/>
      <c r="L148" s="256">
        <f>SUMIFS(BV_Data_An_Cour!$P:$P,BV_Data_An_Cour!$U:$U,$B148,BV_Data_An_Cour!$V:$V,$C148,BV_Data_An_Cour!$W:$W,$L$2)</f>
        <v>1056.93</v>
      </c>
      <c r="M148" s="253"/>
      <c r="N148" s="276">
        <f t="shared" si="44"/>
        <v>-193.06999999999994</v>
      </c>
      <c r="O148" s="253"/>
      <c r="P148" s="41"/>
      <c r="Q148" s="256" cm="1">
        <f t="array" ref="Q148">+SUMPRODUCT(('Réel 2024'!$A$8:$A$501=$A148)*('Réel 2024'!$C$3:$AO$3=Q$2),'Réel 2024'!$C$8:$AO$501)</f>
        <v>533.92000000000007</v>
      </c>
      <c r="R148" s="253"/>
      <c r="S148" s="276">
        <f t="shared" si="48"/>
        <v>523.01</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2174.1648388925123</v>
      </c>
      <c r="G149" s="298"/>
      <c r="H149" s="41"/>
      <c r="I149" s="254"/>
      <c r="J149" s="253"/>
      <c r="K149" s="41"/>
      <c r="L149" s="895">
        <f>SUMIFS(BV_Data_An_Cour!$P:$P,BV_Data_An_Cour!$U:$U,$B149,BV_Data_An_Cour!$V:$V,$C149,BV_Data_An_Cour!$W:$W,L$2)</f>
        <v>2950.38</v>
      </c>
      <c r="M149" s="930"/>
      <c r="N149" s="904">
        <f t="shared" si="44"/>
        <v>776.2151611074878</v>
      </c>
      <c r="O149" s="253"/>
      <c r="P149" s="41"/>
      <c r="Q149" s="256" cm="1">
        <f t="array" ref="Q149">+SUMPRODUCT(('Réel 2024'!$A$8:$A$501=$A149)*('Réel 2024'!$C$3:$AO$3=Q$2),'Réel 2024'!$C$8:$AO$501)</f>
        <v>1975.07</v>
      </c>
      <c r="R149" s="253"/>
      <c r="S149" s="276">
        <f t="shared" si="48"/>
        <v>975.31000000000017</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6.5656958426824952E-2</v>
      </c>
      <c r="F153" s="307">
        <f>+SUM(F136:F152)</f>
        <v>27313.294705559179</v>
      </c>
      <c r="G153" s="308"/>
      <c r="H153" s="306"/>
      <c r="I153" s="307"/>
      <c r="J153" s="308" t="s">
        <v>119</v>
      </c>
      <c r="K153" s="306">
        <f>L153/L$108</f>
        <v>0.16173037422157788</v>
      </c>
      <c r="L153" s="307">
        <f>+SUM(L136:L152)</f>
        <v>31734.32</v>
      </c>
      <c r="M153" s="311"/>
      <c r="N153" s="307">
        <f t="shared" si="44"/>
        <v>4421.0252944408203</v>
      </c>
      <c r="O153" s="308" t="s">
        <v>119</v>
      </c>
      <c r="P153" s="306">
        <f>Q153/Q$108</f>
        <v>0.13157321792006077</v>
      </c>
      <c r="Q153" s="307">
        <f>+SUM(Q136:Q152)</f>
        <v>33413.17</v>
      </c>
      <c r="R153" s="311"/>
      <c r="S153" s="307">
        <f t="shared" si="48"/>
        <v>-1678.8499999999985</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0.77260607848101981</v>
      </c>
      <c r="F155" s="307">
        <f>F122+F135+F153</f>
        <v>321404.12864810426</v>
      </c>
      <c r="G155" s="308"/>
      <c r="H155" s="306"/>
      <c r="I155" s="307"/>
      <c r="J155" s="308" t="s">
        <v>119</v>
      </c>
      <c r="K155" s="306">
        <f>L155/L$108</f>
        <v>1.29603500076242</v>
      </c>
      <c r="L155" s="307">
        <f>L122+L135+L153</f>
        <v>254304.67000000004</v>
      </c>
      <c r="M155" s="311"/>
      <c r="N155" s="320">
        <f t="shared" ref="N155:N162" si="49">L155-F155</f>
        <v>-67099.458648104221</v>
      </c>
      <c r="O155" s="308" t="s">
        <v>119</v>
      </c>
      <c r="P155" s="306">
        <f>Q155/Q$108</f>
        <v>1.0939707498863473</v>
      </c>
      <c r="Q155" s="307">
        <f>Q122+Q135+Q153</f>
        <v>277815.12999999995</v>
      </c>
      <c r="R155" s="311"/>
      <c r="S155" s="320">
        <f t="shared" ref="S155:S162" si="50">L155-Q155</f>
        <v>-23510.459999999905</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51875.7</v>
      </c>
      <c r="G159" s="298"/>
      <c r="H159" s="41"/>
      <c r="I159" s="254"/>
      <c r="J159" s="253"/>
      <c r="K159" s="41"/>
      <c r="L159" s="256">
        <f>-SUMIFS(BV_Data_An_Cour!$P:$P,BV_Data_An_Cour!$U:$U,$B159,BV_Data_An_Cour!$V:$V,$C159,BV_Data_An_Cour!$W:$W,L$2)</f>
        <v>33321</v>
      </c>
      <c r="M159" s="253"/>
      <c r="N159" s="276">
        <f t="shared" si="49"/>
        <v>-18554.699999999997</v>
      </c>
      <c r="O159" s="253"/>
      <c r="P159" s="41"/>
      <c r="Q159" s="256" cm="1">
        <f t="array" ref="Q159">+SUMPRODUCT(('Réel 2024'!$A$8:$A$501=$A159)*('Réel 2024'!$C$3:$AO$3=Q$2),'Réel 2024'!$C$8:$AO$501)</f>
        <v>33471</v>
      </c>
      <c r="R159" s="253"/>
      <c r="S159" s="276">
        <f t="shared" si="50"/>
        <v>-150</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51875.7</v>
      </c>
      <c r="G163" s="308"/>
      <c r="H163" s="306"/>
      <c r="I163" s="307"/>
      <c r="J163" s="308"/>
      <c r="K163" s="306"/>
      <c r="L163" s="307">
        <f>+SUM(L156:L162)</f>
        <v>33321</v>
      </c>
      <c r="M163" s="311"/>
      <c r="N163" s="307">
        <f>SUM(N156:N159)</f>
        <v>-18554.699999999997</v>
      </c>
      <c r="O163" s="308"/>
      <c r="P163" s="306"/>
      <c r="Q163" s="307">
        <f>+SUM(Q156:Q162)</f>
        <v>33471</v>
      </c>
      <c r="R163" s="311"/>
      <c r="S163" s="307">
        <f>+SUM(S156:S162)</f>
        <v>-150</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146471.57135189575</v>
      </c>
      <c r="G165" s="361"/>
      <c r="H165" s="333"/>
      <c r="I165" s="335"/>
      <c r="J165" s="332"/>
      <c r="K165" s="334"/>
      <c r="L165" s="335">
        <f>L108-L155+L163</f>
        <v>-24766.230000000069</v>
      </c>
      <c r="M165" s="332"/>
      <c r="N165" s="335">
        <f>L165-F165</f>
        <v>-171237.80135189582</v>
      </c>
      <c r="O165" s="332"/>
      <c r="P165" s="334"/>
      <c r="Q165" s="335">
        <f>Q108-Q155+Q163</f>
        <v>9607.0199999997567</v>
      </c>
      <c r="R165" s="332"/>
      <c r="S165" s="335">
        <f>L165-Q165</f>
        <v>-34373.249999999825</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Mars 2026</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99" t="s">
        <v>343</v>
      </c>
      <c r="E170" s="1300"/>
      <c r="F170" s="1301"/>
      <c r="G170" s="1304"/>
      <c r="H170" s="1300"/>
      <c r="I170" s="1301"/>
      <c r="J170" s="1304" t="s">
        <v>344</v>
      </c>
      <c r="K170" s="1300"/>
      <c r="L170" s="1301"/>
      <c r="M170" s="1304" t="s">
        <v>3310</v>
      </c>
      <c r="N170" s="1301"/>
      <c r="O170" s="1299" t="s">
        <v>345</v>
      </c>
      <c r="P170" s="1300"/>
      <c r="Q170" s="1301"/>
      <c r="R170" s="1302" t="s">
        <v>3312</v>
      </c>
      <c r="S170" s="1303"/>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948.86547367492506</v>
      </c>
      <c r="E172" s="291" cm="1">
        <f t="array" ref="E172">+SUMPRODUCT(('Budget original'!$A$8:$A$501=$A172)*('Budget original'!$C$3:$AO$3=E$2),'Budget original'!$C$8:$AO$501)</f>
        <v>332102.91578622372</v>
      </c>
      <c r="F172" s="291" cm="1">
        <f t="array" ref="F172">+SUMPRODUCT(('Budget original'!$A$8:$A$501=$A172)*('Budget original'!$C$3:$AO$3=F$2),'Budget original'!$C$8:$AO$501)</f>
        <v>261364.99472375814</v>
      </c>
      <c r="G172" s="322"/>
      <c r="H172" s="291"/>
      <c r="I172" s="291"/>
      <c r="J172" s="277">
        <f>-SUMIFS(BV_Data_An_Cour!$P:$P,BV_Data_An_Cour!$U:$U,$B172,BV_Data_An_Cour!$V:$V,$C172,BV_Data_An_Cour!$W:$W,J$2)</f>
        <v>888</v>
      </c>
      <c r="K172" s="254">
        <f>-SUMIFS(BV_Data_An_Cour!$P:$P,BV_Data_An_Cour!$X:$X,"Oui",BV_Data_An_Cour!$U:$U,$B172,BV_Data_An_Cour!$V:$V,$C172)</f>
        <v>324481.91000000003</v>
      </c>
      <c r="L172" s="256">
        <f>-SUMIFS(BV_Data_An_Cour!$P:$P,BV_Data_An_Cour!$U:$U,$B172,BV_Data_An_Cour!$V:$V,$C172,BV_Data_An_Cour!$W:$W,$L$2)</f>
        <v>256471.64000000004</v>
      </c>
      <c r="M172" s="292">
        <f>(K172-E172)/E172</f>
        <v>-2.2947723202554973E-2</v>
      </c>
      <c r="N172" s="276">
        <f>L172-F172</f>
        <v>-4893.3547237580933</v>
      </c>
      <c r="O172" s="277" cm="1">
        <f t="array" ref="O172">+SUMPRODUCT(('Réel 2024'!$A$8:$A$501=$A172)*('Réel 2024'!$C$3:$AO$3=O$2),'Réel 2024'!$C$8:$AO$501)</f>
        <v>843</v>
      </c>
      <c r="P172" s="254" cm="1">
        <f t="array" ref="P172">+SUMPRODUCT(('Réel 2024'!$A$8:$A$501=$A172)*('Réel 2024'!$C$3:$AO$3=P$2),'Réel 2024'!$C$8:$AO$501)</f>
        <v>314008.2</v>
      </c>
      <c r="Q172" s="256" cm="1">
        <f t="array" ref="Q172">+SUMPRODUCT(('Réel 2024'!$A$8:$A$501=$A172)*('Réel 2024'!$C$3:$AO$3=Q$2),'Réel 2024'!$C$8:$AO$501)</f>
        <v>248265.72</v>
      </c>
      <c r="R172" s="292">
        <f>IF(O172=0,0,J172/O172)</f>
        <v>1.0533807829181494</v>
      </c>
      <c r="S172" s="276">
        <f>L172-Q172</f>
        <v>8205.9200000000419</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0.78700000000000025</v>
      </c>
      <c r="G173" s="253"/>
      <c r="H173" s="349"/>
      <c r="I173" s="362"/>
      <c r="J173" s="277"/>
      <c r="K173" s="41"/>
      <c r="L173" s="362">
        <f>IF(L172=0,0,L172/K172)</f>
        <v>0.79040350816475413</v>
      </c>
      <c r="M173" s="292"/>
      <c r="N173" s="276"/>
      <c r="O173" s="277"/>
      <c r="P173" s="41"/>
      <c r="Q173" s="362">
        <f>Q172/P172</f>
        <v>0.79063451209235935</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956"/>
      <c r="E174" s="403">
        <f>IFERROR(E172/D172,0)</f>
        <v>349.99999999999994</v>
      </c>
      <c r="F174" s="364"/>
      <c r="G174" s="246"/>
      <c r="H174" s="403"/>
      <c r="I174" s="364"/>
      <c r="J174" s="365"/>
      <c r="K174" s="606">
        <f>IFERROR(K172/J172,0)</f>
        <v>365.40755630630633</v>
      </c>
      <c r="L174" s="364"/>
      <c r="M174" s="295"/>
      <c r="N174" s="296"/>
      <c r="O174" s="365"/>
      <c r="P174" s="606">
        <f>IFERROR(P172/O172,0)</f>
        <v>372.48896797153026</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957" cm="1">
        <f t="array" ref="D175">+SUMPRODUCT(('Budget original'!$A$8:$A$501=$A175)*('Budget original'!$C$3:$AO$3=D$2),'Budget original'!$C$8:$AO$501)</f>
        <v>800.33941111632078</v>
      </c>
      <c r="E175" s="291" cm="1">
        <f t="array" ref="E175">+SUMPRODUCT(('Budget original'!$A$8:$A$501=$A175)*('Budget original'!$C$3:$AO$3=E$2),'Budget original'!$C$8:$AO$501)</f>
        <v>240101.82333489624</v>
      </c>
      <c r="F175" s="291" cm="1">
        <f t="array" ref="F175">+SUMPRODUCT(('Budget original'!$A$8:$A$501=$A175)*('Budget original'!$C$3:$AO$3=F$2),'Budget original'!$C$8:$AO$501)</f>
        <v>154865.67605100805</v>
      </c>
      <c r="G175" s="367"/>
      <c r="H175" s="291"/>
      <c r="I175" s="291"/>
      <c r="J175" s="367">
        <f>-SUMIFS(BV_Data_An_Cour!$P:$P,BV_Data_An_Cour!$U:$U,$B175,BV_Data_An_Cour!$V:$V,$C175,BV_Data_An_Cour!$W:$W,J$2)</f>
        <v>558</v>
      </c>
      <c r="K175" s="271">
        <f>-SUMIFS(BV_Data_An_Cour!$P:$P,BV_Data_An_Cour!$X:$X,"Oui",BV_Data_An_Cour!$U:$U,$B175,BV_Data_An_Cour!$V:$V,$C175)</f>
        <v>214893.81</v>
      </c>
      <c r="L175" s="256">
        <f>-SUMIFS(BV_Data_An_Cour!$P:$P,BV_Data_An_Cour!$U:$U,$B175,BV_Data_An_Cour!$V:$V,$C175,BV_Data_An_Cour!$W:$W,$L$2)</f>
        <v>137692.76</v>
      </c>
      <c r="M175" s="292">
        <f>(K175-E175)/E175</f>
        <v>-0.1049888459186579</v>
      </c>
      <c r="N175" s="317">
        <f>L175-F175</f>
        <v>-17172.91605100804</v>
      </c>
      <c r="O175" s="367" cm="1">
        <f t="array" ref="O175">+SUMPRODUCT(('Réel 2024'!$A$8:$A$501=$A175)*('Réel 2024'!$C$3:$AO$3=O$2),'Réel 2024'!$C$8:$AO$501)</f>
        <v>776</v>
      </c>
      <c r="P175" s="271" cm="1">
        <f t="array" ref="P175">+SUMPRODUCT(('Réel 2024'!$A$8:$A$501=$A175)*('Réel 2024'!$C$3:$AO$3=P$2),'Réel 2024'!$C$8:$AO$501)</f>
        <v>228858.26</v>
      </c>
      <c r="Q175" s="256" cm="1">
        <f t="array" ref="Q175">+SUMPRODUCT(('Réel 2024'!$A$8:$A$501=$A175)*('Réel 2024'!$C$3:$AO$3=Q$2),'Réel 2024'!$C$8:$AO$501)</f>
        <v>152613.22999999989</v>
      </c>
      <c r="R175" s="292">
        <f>IF(O175=0,0,J175/O175)</f>
        <v>0.71907216494845361</v>
      </c>
      <c r="S175" s="276">
        <f>L175-Q175</f>
        <v>-14920.469999999885</v>
      </c>
      <c r="T175" s="291"/>
      <c r="U175" s="41" t="s">
        <v>462</v>
      </c>
      <c r="V175" s="254">
        <f>+K175+J297</f>
        <v>489394.68</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0.64499999999999991</v>
      </c>
      <c r="G176" s="253"/>
      <c r="H176" s="41"/>
      <c r="I176" s="362"/>
      <c r="J176" s="253"/>
      <c r="K176" s="41"/>
      <c r="L176" s="362">
        <f>IF(L175=0,0,L175/K175)</f>
        <v>0.64074791172440015</v>
      </c>
      <c r="M176" s="264"/>
      <c r="N176" s="265"/>
      <c r="O176" s="253"/>
      <c r="P176" s="41"/>
      <c r="Q176" s="362">
        <f>Q175/P175</f>
        <v>0.6668460644592854</v>
      </c>
      <c r="R176" s="264"/>
      <c r="S176" s="265"/>
      <c r="T176" s="41"/>
      <c r="U176" s="41" t="s">
        <v>463</v>
      </c>
      <c r="V176" s="254">
        <f>+L175+L297</f>
        <v>201467.83000000002</v>
      </c>
      <c r="W176" s="368">
        <f>+V176/V175</f>
        <v>0.41166738878322096</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956"/>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706.58297547540371</v>
      </c>
      <c r="E178" s="291" cm="1">
        <f t="array" ref="E178">+SUMPRODUCT(('Budget original'!$A$8:$A$501=$A178)*('Budget original'!$C$3:$AO$3=E$2),'Budget original'!$C$8:$AO$501)</f>
        <v>220453.88834832597</v>
      </c>
      <c r="F178" s="291" cm="1">
        <f t="array" ref="F178">+SUMPRODUCT(('Budget original'!$A$8:$A$501=$A178)*('Budget original'!$C$3:$AO$3=F$2),'Budget original'!$C$8:$AO$501)</f>
        <v>165340.41626124448</v>
      </c>
      <c r="G178" s="253"/>
      <c r="H178" s="291"/>
      <c r="I178" s="291"/>
      <c r="J178" s="277">
        <f>-SUMIFS(BV_Data_An_Cour!$P:$P,BV_Data_An_Cour!$U:$U,$B178,BV_Data_An_Cour!$V:$V,$C178,BV_Data_An_Cour!$W:$W,J$2)</f>
        <v>874</v>
      </c>
      <c r="K178" s="271">
        <f>-SUMIFS(BV_Data_An_Cour!$P:$P,BV_Data_An_Cour!$X:$X,"Oui",BV_Data_An_Cour!$U:$U,$B178,BV_Data_An_Cour!$V:$V,$C178)</f>
        <v>263739.36</v>
      </c>
      <c r="L178" s="256">
        <f>-SUMIFS(BV_Data_An_Cour!$P:$P,BV_Data_An_Cour!$U:$U,$B178,BV_Data_An_Cour!$V:$V,$C178,BV_Data_An_Cour!$W:$W,$L$2)</f>
        <v>201944.28999999998</v>
      </c>
      <c r="M178" s="292">
        <f>(K178-E178)/E178</f>
        <v>0.1963470545971103</v>
      </c>
      <c r="N178" s="276">
        <f>L178-F178</f>
        <v>36603.873738755501</v>
      </c>
      <c r="O178" s="277" cm="1">
        <f t="array" ref="O178">+SUMPRODUCT(('Réel 2024'!$A$8:$A$501=$A178)*('Réel 2024'!$C$3:$AO$3=O$2),'Réel 2024'!$C$8:$AO$501)</f>
        <v>628</v>
      </c>
      <c r="P178" s="271" cm="1">
        <f t="array" ref="P178">+SUMPRODUCT(('Réel 2024'!$A$8:$A$501=$A178)*('Réel 2024'!$C$3:$AO$3=P$2),'Réel 2024'!$C$8:$AO$501)</f>
        <v>195109.61</v>
      </c>
      <c r="Q178" s="256" cm="1">
        <f t="array" ref="Q178">+SUMPRODUCT(('Réel 2024'!$A$8:$A$501=$A178)*('Réel 2024'!$C$3:$AO$3=Q$2),'Réel 2024'!$C$8:$AO$501)</f>
        <v>148580.5199999999</v>
      </c>
      <c r="R178" s="292">
        <f>IF(O178=0,0,J178/O178)</f>
        <v>1.39171974522293</v>
      </c>
      <c r="S178" s="276">
        <f>L178-Q178</f>
        <v>53363.770000000077</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0.75</v>
      </c>
      <c r="G179" s="253"/>
      <c r="H179" s="349"/>
      <c r="I179" s="362"/>
      <c r="J179" s="277"/>
      <c r="K179" s="349"/>
      <c r="L179" s="362">
        <f>IF(L178=0,0,L178/K178)</f>
        <v>0.76569644364041833</v>
      </c>
      <c r="M179" s="292"/>
      <c r="N179" s="276">
        <f>L179-F179</f>
        <v>1.5696443640418334E-2</v>
      </c>
      <c r="O179" s="277"/>
      <c r="P179" s="349"/>
      <c r="Q179" s="362">
        <f>Q178/P178</f>
        <v>0.76152333039874309</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957" cm="1">
        <f t="array" ref="D181">+SUMPRODUCT(('Budget original'!$A$8:$A$501=$A181)*('Budget original'!$C$3:$AO$3=D$2),'Budget original'!$C$8:$AO$501)</f>
        <v>0</v>
      </c>
      <c r="E181" s="291" cm="1">
        <f t="array" ref="E181">+SUMPRODUCT(('Budget original'!$A$8:$A$501=$A181)*('Budget original'!$C$3:$AO$3=E$2),'Budget original'!$C$8:$AO$501)</f>
        <v>15312.940487915721</v>
      </c>
      <c r="F181" s="291" cm="1">
        <f t="array" ref="F181">+SUMPRODUCT(('Budget original'!$A$8:$A$501=$A181)*('Budget original'!$C$3:$AO$3=F$2),'Budget original'!$C$8:$AO$501)</f>
        <v>11944.093580574263</v>
      </c>
      <c r="G181" s="241"/>
      <c r="H181" s="291"/>
      <c r="I181" s="291"/>
      <c r="J181" s="367">
        <f>-SUMIFS(BV_Data_An_Cour!$P:$P,BV_Data_An_Cour!$U:$U,$B181,BV_Data_An_Cour!$V:$V,$C181,BV_Data_An_Cour!$W:$W,J$2)</f>
        <v>0</v>
      </c>
      <c r="K181" s="271">
        <f>-SUMIFS(BV_Data_An_Cour!$P:$P,BV_Data_An_Cour!$X:$X,"Oui",BV_Data_An_Cour!$U:$U,$B181,BV_Data_An_Cour!$V:$V,$C181)</f>
        <v>20187.71</v>
      </c>
      <c r="L181" s="272">
        <f>-SUMIFS(BV_Data_An_Cour!$P:$P,BV_Data_An_Cour!$U:$U,$B181,BV_Data_An_Cour!$V:$V,$C181,BV_Data_An_Cour!$W:$W,$L$2)</f>
        <v>15402.82</v>
      </c>
      <c r="M181" s="371">
        <f>IF(E181=0,0,(K181-E181)/E181)</f>
        <v>0.31834313703048905</v>
      </c>
      <c r="N181" s="317">
        <f>L181-F181</f>
        <v>3458.7264194257368</v>
      </c>
      <c r="O181" s="367" cm="1">
        <f t="array" ref="O181">+SUMPRODUCT(('Réel 2024'!$A$8:$A$501=$A181)*('Réel 2024'!$C$3:$AO$3=O$2),'Réel 2024'!$C$8:$AO$501)</f>
        <v>0</v>
      </c>
      <c r="P181" s="271" cm="1">
        <f t="array" ref="P181">+SUMPRODUCT(('Réel 2024'!$A$8:$A$501=$A181)*('Réel 2024'!$C$3:$AO$3=P$2),'Réel 2024'!$C$8:$AO$501)</f>
        <v>15883.45</v>
      </c>
      <c r="Q181" s="272" cm="1">
        <f t="array" ref="Q181">+SUMPRODUCT(('Réel 2024'!$A$8:$A$501=$A181)*('Réel 2024'!$C$3:$AO$3=Q$2),'Réel 2024'!$C$8:$AO$501)</f>
        <v>12026.079999999991</v>
      </c>
      <c r="R181" s="292">
        <f>IF(O181=0,0,J181/O181)</f>
        <v>0</v>
      </c>
      <c r="S181" s="317">
        <f>L181-Q181</f>
        <v>3376.7400000000089</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0.78</v>
      </c>
      <c r="G182" s="270"/>
      <c r="H182" s="372"/>
      <c r="I182" s="362"/>
      <c r="J182" s="373"/>
      <c r="K182" s="372">
        <f>IF(J182&lt;=0,0,L182/J182)</f>
        <v>0</v>
      </c>
      <c r="L182" s="362">
        <f>IF(L181=0,0,L181/K181)</f>
        <v>0.76298005073383757</v>
      </c>
      <c r="M182" s="277">
        <f>J182-D182</f>
        <v>0</v>
      </c>
      <c r="N182" s="374"/>
      <c r="O182" s="373"/>
      <c r="P182" s="372"/>
      <c r="Q182" s="362">
        <f>IFERROR(Q181/P181,0)</f>
        <v>0.75714533051698407</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-8993.1993075267455</v>
      </c>
      <c r="G184" s="253"/>
      <c r="H184" s="291"/>
      <c r="I184" s="291"/>
      <c r="J184" s="277"/>
      <c r="K184" s="291"/>
      <c r="L184" s="291">
        <f>-SUMIFS(BV_Data_An_Cour!$P:$P,BV_Data_An_Cour!$U:$U,$B184,BV_Data_An_Cour!$V:$V,$C184,BV_Data_An_Cour!$W:$W,$L$2)</f>
        <v>-6423.92</v>
      </c>
      <c r="M184" s="373"/>
      <c r="N184" s="276">
        <f>L184-F184</f>
        <v>2569.2793075267455</v>
      </c>
      <c r="O184" s="277"/>
      <c r="P184" s="291"/>
      <c r="Q184" s="291" cm="1">
        <f t="array" ref="Q184">+SUMPRODUCT(('Réel 2024'!$A$8:$A$501=$A184)*('Réel 2024'!$C$3:$AO$3=Q$2),'Réel 2024'!$C$8:$AO$501)</f>
        <v>-5383.3</v>
      </c>
      <c r="R184" s="379"/>
      <c r="S184" s="276">
        <f t="shared" ref="S184:S185" si="52">L184-Q184</f>
        <v>-1040.6199999999999</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2455.7878602666497</v>
      </c>
      <c r="E185" s="381">
        <f>E172+E175+E178+E181+E184</f>
        <v>807971.56795736169</v>
      </c>
      <c r="F185" s="382">
        <f t="shared" ref="F185" si="54">F172+F175+F178+F181+F184</f>
        <v>584521.98130905826</v>
      </c>
      <c r="G185" s="383"/>
      <c r="H185" s="381"/>
      <c r="I185" s="382"/>
      <c r="J185" s="383">
        <f t="shared" ref="J185:L185" si="55">J172+J175+J178+J181+J184</f>
        <v>2320</v>
      </c>
      <c r="K185" s="381">
        <f t="shared" si="55"/>
        <v>823302.78999999992</v>
      </c>
      <c r="L185" s="382">
        <f t="shared" si="55"/>
        <v>605087.58999999985</v>
      </c>
      <c r="M185" s="384">
        <f>(K185-E185)/E185</f>
        <v>1.8974952400116245E-2</v>
      </c>
      <c r="N185" s="382">
        <f>L185-F185</f>
        <v>20565.60869094159</v>
      </c>
      <c r="O185" s="383">
        <f t="shared" ref="O185" si="56">O172+O175+O178+O181+O184</f>
        <v>2247</v>
      </c>
      <c r="P185" s="381">
        <f>P172+P175+P178+P181+P184</f>
        <v>753859.5199999999</v>
      </c>
      <c r="Q185" s="382">
        <f t="shared" ref="Q185" si="57">Q172+Q175+Q178+Q181+Q184</f>
        <v>556102.24999999965</v>
      </c>
      <c r="R185" s="264">
        <f>IF(O185=0,0,J185/O185)</f>
        <v>1.0324877614597241</v>
      </c>
      <c r="S185" s="382">
        <f t="shared" si="52"/>
        <v>48985.3400000002</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329.00706980025222</v>
      </c>
      <c r="F186" s="388">
        <f>F185/E185</f>
        <v>0.72344375036214725</v>
      </c>
      <c r="G186" s="389"/>
      <c r="H186" s="609"/>
      <c r="I186" s="265"/>
      <c r="J186" s="389"/>
      <c r="K186" s="609">
        <f>IF(J185=0,0,K185/J185)</f>
        <v>354.87189224137927</v>
      </c>
      <c r="L186" s="265">
        <f>IF(L185=0,0,L185/K185)</f>
        <v>0.73495146299698544</v>
      </c>
      <c r="M186" s="389"/>
      <c r="N186" s="388">
        <f>N185/F185</f>
        <v>3.5183636113879174E-2</v>
      </c>
      <c r="O186" s="389"/>
      <c r="P186" s="609">
        <f>IF(O185=0,0,P185/O185)</f>
        <v>335.4960035603026</v>
      </c>
      <c r="Q186" s="265">
        <f>Q185/P185</f>
        <v>0.73767357875907669</v>
      </c>
      <c r="R186" s="389"/>
      <c r="S186" s="265">
        <f>IF(Q185=0,0,(S185/Q185))</f>
        <v>8.8086930056478344E-2</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52028.29385291053</v>
      </c>
      <c r="F188" s="291" cm="1">
        <f t="array" ref="F188">+SUMPRODUCT(('Budget original'!$A$8:$A$501=$A188)*('Budget original'!$C$3:$AO$3=F$2),'Budget original'!$C$8:$AO$501)</f>
        <v>10405.658770582106</v>
      </c>
      <c r="G188" s="277"/>
      <c r="H188" s="291"/>
      <c r="I188" s="291"/>
      <c r="J188" s="277"/>
      <c r="K188" s="254">
        <f>-SUMIFS(BV_Data_An_Cour!$P:$P,BV_Data_An_Cour!$X:$X,"Oui",BV_Data_An_Cour!$U:$U,$B188,BV_Data_An_Cour!$V:$V,$C188)</f>
        <v>38941.369999999995</v>
      </c>
      <c r="L188" s="256">
        <f>-SUMIFS(BV_Data_An_Cour!$P:$P,BV_Data_An_Cour!$U:$U,$B188,BV_Data_An_Cour!$V:$V,$C188,BV_Data_An_Cour!$W:$W,$L$2)</f>
        <v>7488.2199999999939</v>
      </c>
      <c r="M188" s="292">
        <f>IF(E188=0,0,(K188-E188)/E188)</f>
        <v>-0.25153474934059239</v>
      </c>
      <c r="N188" s="276">
        <f>L188-F188</f>
        <v>-2917.4387705821118</v>
      </c>
      <c r="O188" s="277"/>
      <c r="P188" s="254" cm="1">
        <f t="array" ref="P188">+SUMPRODUCT(('Réel 2024'!$A$8:$A$501=$A188)*('Réel 2024'!$C$3:$AO$3=P$2),'Réel 2024'!$C$8:$AO$501)</f>
        <v>46419.75</v>
      </c>
      <c r="Q188" s="256" cm="1">
        <f t="array" ref="Q188">+SUMPRODUCT(('Réel 2024'!$A$8:$A$501=$A188)*('Réel 2024'!$C$3:$AO$3=Q$2),'Réel 2024'!$C$8:$AO$501)</f>
        <v>8347.5199999999895</v>
      </c>
      <c r="R188" s="292">
        <f>IF(O188=0,0,J188/O188)</f>
        <v>0</v>
      </c>
      <c r="S188" s="276">
        <f>L188-Q188</f>
        <v>-859.29999999999563</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0.19999999999999998</v>
      </c>
      <c r="G189" s="253"/>
      <c r="H189" s="349"/>
      <c r="I189" s="362"/>
      <c r="J189" s="373"/>
      <c r="K189" s="372"/>
      <c r="L189" s="362">
        <f>IF(L188=0,0,L188/K188)</f>
        <v>0.19229472409419585</v>
      </c>
      <c r="M189" s="373"/>
      <c r="N189" s="374"/>
      <c r="O189" s="373"/>
      <c r="P189" s="372"/>
      <c r="Q189" s="362">
        <f>IFERROR(Q188/P188,0)</f>
        <v>0.17982690557359721</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14135.021988845281</v>
      </c>
      <c r="F191" s="291" cm="1">
        <f t="array" ref="F191">+SUMPRODUCT(('Budget original'!$A$8:$A$501=$A191)*('Budget original'!$C$3:$AO$3=F$2),'Budget original'!$C$8:$AO$501)</f>
        <v>9894.5153921916972</v>
      </c>
      <c r="G191" s="253"/>
      <c r="H191" s="291"/>
      <c r="I191" s="291"/>
      <c r="J191" s="373"/>
      <c r="K191" s="254">
        <f>-SUMIFS(BV_Data_An_Cour!$P:$P,BV_Data_An_Cour!$X:$X,"Oui",BV_Data_An_Cour!$U:$U,$B191,BV_Data_An_Cour!$V:$V,$C191)</f>
        <v>15274.35</v>
      </c>
      <c r="L191" s="256">
        <f>-SUMIFS(BV_Data_An_Cour!$P:$P,BV_Data_An_Cour!$U:$U,$B191,BV_Data_An_Cour!$V:$V,$C191,BV_Data_An_Cour!$W:$W,$L$2)</f>
        <v>12028.94</v>
      </c>
      <c r="M191" s="373"/>
      <c r="N191" s="374"/>
      <c r="O191" s="373"/>
      <c r="P191" s="254" cm="1">
        <f t="array" ref="P191">+SUMPRODUCT(('Réel 2024'!$A$8:$A$501=$A191)*('Réel 2024'!$C$3:$AO$3=P$2),'Réel 2024'!$C$8:$AO$501)</f>
        <v>22533.85</v>
      </c>
      <c r="Q191" s="254" cm="1">
        <f t="array" ref="Q191">+SUMPRODUCT(('Réel 2024'!$A$8:$A$501=$A191)*('Réel 2024'!$C$3:$AO$3=Q$2),'Réel 2024'!$C$8:$AO$501)</f>
        <v>17177.34</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0.70000000000000007</v>
      </c>
      <c r="G192" s="253"/>
      <c r="H192" s="349"/>
      <c r="I192" s="362"/>
      <c r="J192" s="373"/>
      <c r="K192" s="372"/>
      <c r="L192" s="362">
        <f>IF(L191=0,0,L191/K191)</f>
        <v>0.78752549208313283</v>
      </c>
      <c r="M192" s="373"/>
      <c r="N192" s="374"/>
      <c r="O192" s="373"/>
      <c r="P192" s="372"/>
      <c r="Q192" s="362">
        <f>IF(Q191=0,0,Q191/P191)</f>
        <v>0.76229050961109623</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874134.88379911752</v>
      </c>
      <c r="F194" s="281">
        <f t="shared" si="58"/>
        <v>604822.15547183203</v>
      </c>
      <c r="G194" s="282"/>
      <c r="H194" s="279"/>
      <c r="I194" s="281"/>
      <c r="J194" s="282"/>
      <c r="K194" s="279">
        <f t="shared" ref="K194:L194" si="59">K185+K188+K191</f>
        <v>877518.50999999989</v>
      </c>
      <c r="L194" s="281">
        <f t="shared" si="59"/>
        <v>624604.74999999977</v>
      </c>
      <c r="M194" s="399">
        <f>L195-F195</f>
        <v>1.987585618597687E-2</v>
      </c>
      <c r="N194" s="281">
        <f>L194-F194</f>
        <v>19782.594528167741</v>
      </c>
      <c r="O194" s="282"/>
      <c r="P194" s="279">
        <f t="shared" ref="P194" si="60">P185+P188+P191</f>
        <v>822813.11999999988</v>
      </c>
      <c r="Q194" s="281">
        <f>Q185+Q188+Q191</f>
        <v>581627.10999999964</v>
      </c>
      <c r="R194" s="399">
        <f>L195-Q195</f>
        <v>4.9089508704113216E-3</v>
      </c>
      <c r="S194" s="281">
        <f>L194-Q194</f>
        <v>42977.64000000013</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0.69190941430364483</v>
      </c>
      <c r="G195" s="283"/>
      <c r="H195" s="284"/>
      <c r="I195" s="287"/>
      <c r="J195" s="283"/>
      <c r="K195" s="284"/>
      <c r="L195" s="287">
        <f>L194/K194</f>
        <v>0.7117852704896217</v>
      </c>
      <c r="M195" s="286"/>
      <c r="N195" s="287">
        <f>N194/F194</f>
        <v>3.2708118161999214E-2</v>
      </c>
      <c r="O195" s="283"/>
      <c r="P195" s="284"/>
      <c r="Q195" s="287">
        <f>Q194/P194</f>
        <v>0.70687631961921038</v>
      </c>
      <c r="R195" s="286"/>
      <c r="S195" s="287">
        <f>L194/S194</f>
        <v>14.533249150023078</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24360.457211538465</v>
      </c>
      <c r="G198" s="253"/>
      <c r="H198" s="41"/>
      <c r="I198" s="254"/>
      <c r="J198" s="253"/>
      <c r="K198" s="41"/>
      <c r="L198" s="256">
        <f>SUMIFS(BV_Data_An_Cour!$P:$P,BV_Data_An_Cour!$U:$U,$B198,BV_Data_An_Cour!$V:$V,$C198,BV_Data_An_Cour!$W:$W,$L$2)</f>
        <v>38963.15</v>
      </c>
      <c r="M198" s="253"/>
      <c r="N198" s="276">
        <f t="shared" ref="N198:N229" si="61">L198-F198</f>
        <v>14602.692788461536</v>
      </c>
      <c r="O198" s="253"/>
      <c r="P198" s="41"/>
      <c r="Q198" s="256" cm="1">
        <f t="array" ref="Q198">+SUMPRODUCT(('Réel 2024'!$A$8:$A$501=$A198)*('Réel 2024'!$C$3:$AO$3=Q$2),'Réel 2024'!$C$8:$AO$501)</f>
        <v>46614.11</v>
      </c>
      <c r="R198" s="253"/>
      <c r="S198" s="256">
        <f t="shared" ref="S198:S229" si="62">L198-Q198</f>
        <v>-7650.9599999999991</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39356.83634016</v>
      </c>
      <c r="G199" s="298"/>
      <c r="H199" s="41"/>
      <c r="I199" s="248"/>
      <c r="J199" s="253"/>
      <c r="K199" s="41"/>
      <c r="L199" s="256">
        <f>SUMIFS(BV_Data_An_Cour!$P:$P,BV_Data_An_Cour!$U:$U,$B199,BV_Data_An_Cour!$V:$V,$C199,BV_Data_An_Cour!$W:$W,$L$2)</f>
        <v>46984.24</v>
      </c>
      <c r="M199" s="253"/>
      <c r="N199" s="276">
        <f t="shared" si="61"/>
        <v>7627.403659839998</v>
      </c>
      <c r="O199" s="253"/>
      <c r="P199" s="41"/>
      <c r="Q199" s="256" cm="1">
        <f t="array" ref="Q199">+SUMPRODUCT(('Réel 2024'!$A$8:$A$501=$A199)*('Réel 2024'!$C$3:$AO$3=Q$2),'Réel 2024'!$C$8:$AO$501)</f>
        <v>26129.619999999995</v>
      </c>
      <c r="R199" s="253"/>
      <c r="S199" s="276">
        <f t="shared" si="62"/>
        <v>20854.620000000003</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75003.180760666655</v>
      </c>
      <c r="G200" s="316"/>
      <c r="H200" s="315"/>
      <c r="I200" s="254"/>
      <c r="J200" s="241"/>
      <c r="K200" s="315"/>
      <c r="L200" s="272">
        <f>SUMIFS(BV_Data_An_Cour!$P:$P,BV_Data_An_Cour!$U:$U,$B200,BV_Data_An_Cour!$V:$V,$C200,BV_Data_An_Cour!$W:$W,$L$2)</f>
        <v>48643.12</v>
      </c>
      <c r="M200" s="241"/>
      <c r="N200" s="317">
        <f t="shared" si="61"/>
        <v>-26360.060760666653</v>
      </c>
      <c r="O200" s="241"/>
      <c r="P200" s="315"/>
      <c r="Q200" s="272" cm="1">
        <f t="array" ref="Q200">+SUMPRODUCT(('Réel 2024'!$A$8:$A$501=$A200)*('Réel 2024'!$C$3:$AO$3=Q$2),'Réel 2024'!$C$8:$AO$501)</f>
        <v>47100.479999999996</v>
      </c>
      <c r="R200" s="241"/>
      <c r="S200" s="317">
        <f t="shared" si="62"/>
        <v>1542.6400000000067</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81894.810600994009</v>
      </c>
      <c r="G201" s="298"/>
      <c r="H201" s="41"/>
      <c r="I201" s="254"/>
      <c r="J201" s="253"/>
      <c r="K201" s="41"/>
      <c r="L201" s="256">
        <f>SUMIFS(BV_Data_An_Cour!$P:$P,BV_Data_An_Cour!$U:$U,$B201,BV_Data_An_Cour!$V:$V,$C201,BV_Data_An_Cour!$W:$W,$L$2)</f>
        <v>54969.01</v>
      </c>
      <c r="M201" s="253"/>
      <c r="N201" s="276">
        <f t="shared" si="61"/>
        <v>-26925.800600994007</v>
      </c>
      <c r="O201" s="253"/>
      <c r="P201" s="41"/>
      <c r="Q201" s="256" cm="1">
        <f t="array" ref="Q201">+SUMPRODUCT(('Réel 2024'!$A$8:$A$501=$A201)*('Réel 2024'!$C$3:$AO$3=Q$2),'Réel 2024'!$C$8:$AO$501)</f>
        <v>46992.75</v>
      </c>
      <c r="R201" s="253"/>
      <c r="S201" s="276">
        <f t="shared" si="62"/>
        <v>7976.260000000002</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51401.405273604483</v>
      </c>
      <c r="G205" s="298"/>
      <c r="H205" s="41"/>
      <c r="I205" s="254"/>
      <c r="J205" s="253"/>
      <c r="K205" s="41"/>
      <c r="L205" s="256">
        <f>SUMIFS(BV_Data_An_Cour!$P:$P,BV_Data_An_Cour!$U:$U,$B205,BV_Data_An_Cour!$V:$V,$C205,BV_Data_An_Cour!$W:$W,$L$2)</f>
        <v>70696.02</v>
      </c>
      <c r="M205" s="253"/>
      <c r="N205" s="276">
        <f t="shared" si="61"/>
        <v>19294.614726395521</v>
      </c>
      <c r="O205" s="253"/>
      <c r="P205" s="41"/>
      <c r="Q205" s="256" cm="1">
        <f t="array" ref="Q205">+SUMPRODUCT(('Réel 2024'!$A$8:$A$501=$A205)*('Réel 2024'!$C$3:$AO$3=Q$2),'Réel 2024'!$C$8:$AO$501)</f>
        <v>42373.619999999995</v>
      </c>
      <c r="R205" s="253"/>
      <c r="S205" s="276">
        <f t="shared" si="62"/>
        <v>28322.400000000009</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62496.86279962484</v>
      </c>
      <c r="G206" s="316"/>
      <c r="H206" s="315"/>
      <c r="I206" s="272"/>
      <c r="J206" s="241"/>
      <c r="K206" s="315"/>
      <c r="L206" s="272">
        <f>SUMIFS(BV_Data_An_Cour!$P:$P,BV_Data_An_Cour!$U:$U,$B206,BV_Data_An_Cour!$V:$V,$C206,BV_Data_An_Cour!$W:$W,$L$2)</f>
        <v>64784.77</v>
      </c>
      <c r="M206" s="241"/>
      <c r="N206" s="317">
        <f t="shared" si="61"/>
        <v>2287.9072003751571</v>
      </c>
      <c r="O206" s="241"/>
      <c r="P206" s="315"/>
      <c r="Q206" s="272" cm="1">
        <f t="array" ref="Q206">+SUMPRODUCT(('Réel 2024'!$A$8:$A$501=$A206)*('Réel 2024'!$C$3:$AO$3=Q$2),'Réel 2024'!$C$8:$AO$501)</f>
        <v>51085.08</v>
      </c>
      <c r="R206" s="241"/>
      <c r="S206" s="317">
        <f t="shared" si="62"/>
        <v>13699.689999999995</v>
      </c>
      <c r="T206" s="41"/>
      <c r="V206" s="254">
        <f>L206-Print_Mois!L206</f>
        <v>43153.659999999996</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32199.47061632845</v>
      </c>
      <c r="G207" s="298"/>
      <c r="H207" s="41"/>
      <c r="I207" s="254"/>
      <c r="J207" s="253"/>
      <c r="K207" s="41"/>
      <c r="L207" s="256">
        <f>SUMIFS(BV_Data_An_Cour!$P:$P,BV_Data_An_Cour!$U:$U,$B207,BV_Data_An_Cour!$V:$V,$C207,BV_Data_An_Cour!$W:$W,$L$2)</f>
        <v>34939.729999999996</v>
      </c>
      <c r="M207" s="253"/>
      <c r="N207" s="276">
        <f t="shared" si="61"/>
        <v>2740.2593836715459</v>
      </c>
      <c r="O207" s="253"/>
      <c r="P207" s="41"/>
      <c r="Q207" s="256" cm="1">
        <f t="array" ref="Q207">+SUMPRODUCT(('Réel 2024'!$A$8:$A$501=$A207)*('Réel 2024'!$C$3:$AO$3=Q$2),'Réel 2024'!$C$8:$AO$501)</f>
        <v>26698.12</v>
      </c>
      <c r="R207" s="253"/>
      <c r="S207" s="276">
        <f t="shared" si="62"/>
        <v>8241.6099999999969</v>
      </c>
      <c r="T207" s="41"/>
      <c r="V207" s="254">
        <f>L207-Print_Mois!L207</f>
        <v>24753.489999999998</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14039.150339046157</v>
      </c>
      <c r="G208" s="298"/>
      <c r="H208" s="41"/>
      <c r="I208" s="254"/>
      <c r="J208" s="253"/>
      <c r="K208" s="41"/>
      <c r="L208" s="256">
        <f>SUMIFS(BV_Data_An_Cour!$P:$P,BV_Data_An_Cour!$U:$U,$B208,BV_Data_An_Cour!$V:$V,$C208,BV_Data_An_Cour!$W:$W,$L$2)</f>
        <v>10408.93</v>
      </c>
      <c r="M208" s="253"/>
      <c r="N208" s="276">
        <f t="shared" si="61"/>
        <v>-3630.2203390461564</v>
      </c>
      <c r="O208" s="253"/>
      <c r="P208" s="41"/>
      <c r="Q208" s="256" cm="1">
        <f t="array" ref="Q208">+SUMPRODUCT(('Réel 2024'!$A$8:$A$501=$A208)*('Réel 2024'!$C$3:$AO$3=Q$2),'Réel 2024'!$C$8:$AO$501)</f>
        <v>11850.34</v>
      </c>
      <c r="R208" s="253"/>
      <c r="S208" s="276">
        <f t="shared" si="62"/>
        <v>-1441.4099999999999</v>
      </c>
      <c r="T208" s="41"/>
      <c r="V208" s="254">
        <f>L208-Print_Mois!L208</f>
        <v>7379.92</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0.62952749084552273</v>
      </c>
      <c r="F210" s="307">
        <f>+SUM(F198:F209)</f>
        <v>380752.17394196306</v>
      </c>
      <c r="G210" s="308"/>
      <c r="H210" s="306"/>
      <c r="I210" s="307"/>
      <c r="J210" s="308" t="s">
        <v>175</v>
      </c>
      <c r="K210" s="306">
        <f>L210/L$194</f>
        <v>0.59299736353269838</v>
      </c>
      <c r="L210" s="307">
        <f>+SUM(L198:L209)</f>
        <v>370388.97000000003</v>
      </c>
      <c r="M210" s="355"/>
      <c r="N210" s="320">
        <f t="shared" si="61"/>
        <v>-10363.203941963031</v>
      </c>
      <c r="O210" s="308" t="s">
        <v>175</v>
      </c>
      <c r="P210" s="306">
        <f>Q210/Q$194</f>
        <v>0.5138070678995692</v>
      </c>
      <c r="Q210" s="307">
        <f>+SUM(Q198:Q209)</f>
        <v>298844.12</v>
      </c>
      <c r="R210" s="355"/>
      <c r="S210" s="320">
        <f t="shared" si="62"/>
        <v>71544.850000000035</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25909.25</v>
      </c>
      <c r="G211" s="298"/>
      <c r="H211" s="41"/>
      <c r="I211" s="254"/>
      <c r="J211" s="253"/>
      <c r="K211" s="41"/>
      <c r="L211" s="256">
        <f>SUMIFS(BV_Data_An_Cour!$P:$P,BV_Data_An_Cour!$U:$U,$B211,BV_Data_An_Cour!$V:$V,$C211,BV_Data_An_Cour!$W:$W,$L$2)</f>
        <v>16830.46</v>
      </c>
      <c r="M211" s="253"/>
      <c r="N211" s="276">
        <f t="shared" si="61"/>
        <v>-9078.7900000000009</v>
      </c>
      <c r="O211" s="253"/>
      <c r="P211" s="41"/>
      <c r="Q211" s="256" cm="1">
        <f t="array" ref="Q211">+SUMPRODUCT(('Réel 2024'!$A$8:$A$501=$A211)*('Réel 2024'!$C$3:$AO$3=Q$2),'Réel 2024'!$C$8:$AO$501)</f>
        <v>39945.869999999995</v>
      </c>
      <c r="R211" s="253"/>
      <c r="S211" s="276">
        <f t="shared" si="62"/>
        <v>-23115.409999999996</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10266.532209971128</v>
      </c>
      <c r="G212" s="298"/>
      <c r="H212" s="41"/>
      <c r="I212" s="254"/>
      <c r="J212" s="253"/>
      <c r="K212" s="41"/>
      <c r="L212" s="610">
        <f>SUMIFS(BV_Data_An_Cour!$P:$P,BV_Data_An_Cour!$U:$U,$B212,BV_Data_An_Cour!$V:$V,$C212,BV_Data_An_Cour!$W:$W,$L$2)</f>
        <v>7170.93</v>
      </c>
      <c r="M212" s="253"/>
      <c r="N212" s="276">
        <f t="shared" si="61"/>
        <v>-3095.6022099711281</v>
      </c>
      <c r="O212" s="253"/>
      <c r="P212" s="41"/>
      <c r="Q212" s="256" cm="1">
        <f t="array" ref="Q212">+SUMPRODUCT(('Réel 2024'!$A$8:$A$501=$A212)*('Réel 2024'!$C$3:$AO$3=Q$2),'Réel 2024'!$C$8:$AO$501)</f>
        <v>10016.649999999991</v>
      </c>
      <c r="R212" s="253"/>
      <c r="S212" s="276">
        <f t="shared" si="62"/>
        <v>-2845.7199999999903</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36251.218066666668</v>
      </c>
      <c r="G213" s="300"/>
      <c r="H213" s="318"/>
      <c r="I213" s="248"/>
      <c r="J213" s="246"/>
      <c r="K213" s="318"/>
      <c r="L213" s="256">
        <f>SUMIFS(BV_Data_An_Cour!$P:$P,BV_Data_An_Cour!$U:$U,$B213,BV_Data_An_Cour!$V:$V,$C213,BV_Data_An_Cour!$W:$W,$L$2)</f>
        <v>37551.19</v>
      </c>
      <c r="M213" s="246"/>
      <c r="N213" s="296">
        <f t="shared" si="61"/>
        <v>1299.9719333333342</v>
      </c>
      <c r="O213" s="246"/>
      <c r="P213" s="318"/>
      <c r="Q213" s="256" cm="1">
        <f t="array" ref="Q213">+SUMPRODUCT(('Réel 2024'!$A$8:$A$501=$A213)*('Réel 2024'!$C$3:$AO$3=Q$2),'Réel 2024'!$C$8:$AO$501)</f>
        <v>25258.080000000002</v>
      </c>
      <c r="R213" s="246"/>
      <c r="S213" s="296">
        <f t="shared" si="62"/>
        <v>12293.11</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19068</v>
      </c>
      <c r="G214" s="298"/>
      <c r="H214" s="41"/>
      <c r="I214" s="254"/>
      <c r="J214" s="253"/>
      <c r="K214" s="41"/>
      <c r="L214" s="272">
        <f>SUMIFS(BV_Data_An_Cour!$P:$P,BV_Data_An_Cour!$U:$U,$B214,BV_Data_An_Cour!$V:$V,$C214,BV_Data_An_Cour!$W:$W,$L$2)</f>
        <v>13960.93</v>
      </c>
      <c r="M214" s="253"/>
      <c r="N214" s="276">
        <f t="shared" si="61"/>
        <v>-5107.07</v>
      </c>
      <c r="O214" s="253"/>
      <c r="P214" s="41"/>
      <c r="Q214" s="272" cm="1">
        <f t="array" ref="Q214">+SUMPRODUCT(('Réel 2024'!$A$8:$A$501=$A214)*('Réel 2024'!$C$3:$AO$3=Q$2),'Réel 2024'!$C$8:$AO$501)</f>
        <v>14963.619999999999</v>
      </c>
      <c r="R214" s="253"/>
      <c r="S214" s="276">
        <f t="shared" si="62"/>
        <v>-1002.6899999999987</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3750</v>
      </c>
      <c r="G215" s="298"/>
      <c r="H215" s="41"/>
      <c r="I215" s="254"/>
      <c r="J215" s="253"/>
      <c r="K215" s="41"/>
      <c r="L215" s="256">
        <f>SUMIFS(BV_Data_An_Cour!$P:$P,BV_Data_An_Cour!$U:$U,$B215,BV_Data_An_Cour!$V:$V,$C215,BV_Data_An_Cour!$W:$W,$L$2)</f>
        <v>2276.39</v>
      </c>
      <c r="M215" s="253"/>
      <c r="N215" s="276">
        <f t="shared" si="61"/>
        <v>-1473.6100000000001</v>
      </c>
      <c r="O215" s="253"/>
      <c r="P215" s="41"/>
      <c r="Q215" s="256" cm="1">
        <f t="array" ref="Q215">+SUMPRODUCT(('Réel 2024'!$A$8:$A$501=$A215)*('Réel 2024'!$C$3:$AO$3=Q$2),'Réel 2024'!$C$8:$AO$501)</f>
        <v>2897.06</v>
      </c>
      <c r="R215" s="253"/>
      <c r="S215" s="276">
        <f t="shared" si="62"/>
        <v>-620.67000000000007</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45965.520000000004</v>
      </c>
      <c r="G216" s="300"/>
      <c r="H216" s="318"/>
      <c r="I216" s="248"/>
      <c r="J216" s="246"/>
      <c r="K216" s="318"/>
      <c r="L216" s="256">
        <f>SUMIFS(BV_Data_An_Cour!$P:$P,BV_Data_An_Cour!$U:$U,$B216,BV_Data_An_Cour!$V:$V,$C216,BV_Data_An_Cour!$W:$W,$L$2)</f>
        <v>51865.62</v>
      </c>
      <c r="M216" s="246"/>
      <c r="N216" s="296">
        <f t="shared" si="61"/>
        <v>5900.0999999999985</v>
      </c>
      <c r="O216" s="246"/>
      <c r="P216" s="318"/>
      <c r="Q216" s="256" cm="1">
        <f t="array" ref="Q216">+SUMPRODUCT(('Réel 2024'!$A$8:$A$501=$A216)*('Réel 2024'!$C$3:$AO$3=Q$2),'Réel 2024'!$C$8:$AO$501)</f>
        <v>45388.369999999995</v>
      </c>
      <c r="R216" s="246"/>
      <c r="S216" s="296">
        <f t="shared" si="62"/>
        <v>6477.2500000000073</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15000</v>
      </c>
      <c r="G218" s="298"/>
      <c r="H218" s="41"/>
      <c r="I218" s="254"/>
      <c r="J218" s="253"/>
      <c r="K218" s="41"/>
      <c r="L218" s="256">
        <f>SUMIFS(BV_Data_An_Cour!$P:$P,BV_Data_An_Cour!$U:$U,$B218,BV_Data_An_Cour!$V:$V,$C218,BV_Data_An_Cour!$W:$W,$L$2)</f>
        <v>28500.54</v>
      </c>
      <c r="M218" s="253"/>
      <c r="N218" s="276">
        <f t="shared" si="61"/>
        <v>13500.54</v>
      </c>
      <c r="O218" s="253"/>
      <c r="P218" s="41"/>
      <c r="Q218" s="256" cm="1">
        <f t="array" ref="Q218">+SUMPRODUCT(('Réel 2024'!$A$8:$A$501=$A218)*('Réel 2024'!$C$3:$AO$3=Q$2),'Réel 2024'!$C$8:$AO$501)</f>
        <v>15157.16</v>
      </c>
      <c r="R218" s="253"/>
      <c r="S218" s="276">
        <f t="shared" si="62"/>
        <v>13343.380000000001</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3000</v>
      </c>
      <c r="G219" s="298"/>
      <c r="H219" s="41"/>
      <c r="I219" s="254"/>
      <c r="J219" s="253"/>
      <c r="K219" s="41"/>
      <c r="L219" s="256">
        <f>SUMIFS(BV_Data_An_Cour!$P:$P,BV_Data_An_Cour!$U:$U,$B219,BV_Data_An_Cour!$V:$V,$C219,BV_Data_An_Cour!$W:$W,$L$2)</f>
        <v>2629.66</v>
      </c>
      <c r="M219" s="253"/>
      <c r="N219" s="276">
        <f t="shared" si="61"/>
        <v>-370.34000000000015</v>
      </c>
      <c r="O219" s="253"/>
      <c r="P219" s="41"/>
      <c r="Q219" s="256" cm="1">
        <f t="array" ref="Q219">+SUMPRODUCT(('Réel 2024'!$A$8:$A$501=$A219)*('Réel 2024'!$C$3:$AO$3=Q$2),'Réel 2024'!$C$8:$AO$501)</f>
        <v>1694.9299999999998</v>
      </c>
      <c r="R219" s="253"/>
      <c r="S219" s="276">
        <f t="shared" si="62"/>
        <v>934.73</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2499</v>
      </c>
      <c r="G220" s="298"/>
      <c r="H220" s="41"/>
      <c r="I220" s="254"/>
      <c r="J220" s="253"/>
      <c r="K220" s="41"/>
      <c r="L220" s="256">
        <f>SUMIFS(BV_Data_An_Cour!$P:$P,BV_Data_An_Cour!$U:$U,$B220,BV_Data_An_Cour!$V:$V,$C220,BV_Data_An_Cour!$W:$W,$L$2)</f>
        <v>1858.88</v>
      </c>
      <c r="M220" s="253"/>
      <c r="N220" s="276">
        <f t="shared" si="61"/>
        <v>-640.11999999999989</v>
      </c>
      <c r="O220" s="253"/>
      <c r="P220" s="41"/>
      <c r="Q220" s="256" cm="1">
        <f t="array" ref="Q220">+SUMPRODUCT(('Réel 2024'!$A$8:$A$501=$A220)*('Réel 2024'!$C$3:$AO$3=Q$2),'Réel 2024'!$C$8:$AO$501)</f>
        <v>2235.09</v>
      </c>
      <c r="R220" s="253"/>
      <c r="S220" s="276">
        <f t="shared" si="62"/>
        <v>-376.21000000000004</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682.5</v>
      </c>
      <c r="G221" s="298"/>
      <c r="H221" s="41"/>
      <c r="I221" s="254"/>
      <c r="J221" s="253"/>
      <c r="K221" s="41"/>
      <c r="L221" s="256">
        <f>SUMIFS(BV_Data_An_Cour!$P:$P,BV_Data_An_Cour!$U:$U,$B221,BV_Data_An_Cour!$V:$V,$C221,BV_Data_An_Cour!$W:$W,$L$2)</f>
        <v>848.62</v>
      </c>
      <c r="M221" s="253"/>
      <c r="N221" s="276">
        <f t="shared" si="61"/>
        <v>166.12</v>
      </c>
      <c r="O221" s="253"/>
      <c r="P221" s="41"/>
      <c r="Q221" s="256" cm="1">
        <f t="array" ref="Q221">+SUMPRODUCT(('Réel 2024'!$A$8:$A$501=$A221)*('Réel 2024'!$C$3:$AO$3=Q$2),'Réel 2024'!$C$8:$AO$501)</f>
        <v>685.15</v>
      </c>
      <c r="R221" s="253"/>
      <c r="S221" s="276">
        <f t="shared" si="62"/>
        <v>163.47000000000003</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512.81999999999994</v>
      </c>
      <c r="G222" s="298"/>
      <c r="H222" s="41"/>
      <c r="I222" s="254"/>
      <c r="J222" s="253"/>
      <c r="K222" s="41"/>
      <c r="L222" s="256">
        <f>SUMIFS(BV_Data_An_Cour!$P:$P,BV_Data_An_Cour!$U:$U,$B222,BV_Data_An_Cour!$V:$V,$C222,BV_Data_An_Cour!$W:$W,$L$2)</f>
        <v>724.49</v>
      </c>
      <c r="M222" s="253"/>
      <c r="N222" s="276">
        <f t="shared" si="61"/>
        <v>211.67000000000007</v>
      </c>
      <c r="O222" s="253"/>
      <c r="P222" s="41"/>
      <c r="Q222" s="256" cm="1">
        <f t="array" ref="Q222">+SUMPRODUCT(('Réel 2024'!$A$8:$A$501=$A222)*('Réel 2024'!$C$3:$AO$3=Q$2),'Réel 2024'!$C$8:$AO$501)</f>
        <v>1372.12</v>
      </c>
      <c r="R222" s="253"/>
      <c r="S222" s="276">
        <f t="shared" si="62"/>
        <v>-647.62999999999988</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270</v>
      </c>
      <c r="G223" s="298"/>
      <c r="H223" s="41"/>
      <c r="I223" s="254"/>
      <c r="J223" s="253"/>
      <c r="K223" s="41"/>
      <c r="L223" s="256">
        <f>SUMIFS(BV_Data_An_Cour!$P:$P,BV_Data_An_Cour!$U:$U,$B223,BV_Data_An_Cour!$V:$V,$C223,BV_Data_An_Cour!$W:$W,$L$2)</f>
        <v>666.93</v>
      </c>
      <c r="M223" s="253"/>
      <c r="N223" s="276">
        <f t="shared" si="61"/>
        <v>396.92999999999995</v>
      </c>
      <c r="O223" s="253"/>
      <c r="P223" s="41"/>
      <c r="Q223" s="256" cm="1">
        <f t="array" ref="Q223">+SUMPRODUCT(('Réel 2024'!$A$8:$A$501=$A223)*('Réel 2024'!$C$3:$AO$3=Q$2),'Réel 2024'!$C$8:$AO$501)</f>
        <v>173.88</v>
      </c>
      <c r="R223" s="253"/>
      <c r="S223" s="276">
        <f t="shared" si="62"/>
        <v>493.04999999999995</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5000</v>
      </c>
      <c r="G224" s="298"/>
      <c r="H224" s="41"/>
      <c r="I224" s="254"/>
      <c r="J224" s="253"/>
      <c r="K224" s="41"/>
      <c r="L224" s="256">
        <f>SUMIFS(BV_Data_An_Cour!$P:$P,BV_Data_An_Cour!$U:$U,$B224,BV_Data_An_Cour!$V:$V,$C224,BV_Data_An_Cour!$W:$W,$L$2)</f>
        <v>2338.61</v>
      </c>
      <c r="M224" s="253"/>
      <c r="N224" s="276">
        <f t="shared" si="61"/>
        <v>-2661.39</v>
      </c>
      <c r="O224" s="253"/>
      <c r="P224" s="41"/>
      <c r="Q224" s="256" cm="1">
        <f t="array" ref="Q224">+SUMPRODUCT(('Réel 2024'!$A$8:$A$501=$A224)*('Réel 2024'!$C$3:$AO$3=Q$2),'Réel 2024'!$C$8:$AO$501)</f>
        <v>2689.56</v>
      </c>
      <c r="R224" s="253"/>
      <c r="S224" s="276">
        <f t="shared" si="62"/>
        <v>-350.94999999999982</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5019.5996828253847</v>
      </c>
      <c r="G225" s="298"/>
      <c r="H225" s="41"/>
      <c r="I225" s="254"/>
      <c r="J225" s="253"/>
      <c r="K225" s="41"/>
      <c r="L225" s="256">
        <f>SUMIFS(BV_Data_An_Cour!$P:$P,BV_Data_An_Cour!$U:$U,$B225,BV_Data_An_Cour!$V:$V,$C225,BV_Data_An_Cour!$W:$W,L$2)</f>
        <v>6598.99</v>
      </c>
      <c r="M225" s="253"/>
      <c r="N225" s="276">
        <f t="shared" si="61"/>
        <v>1579.3903171746151</v>
      </c>
      <c r="O225" s="253"/>
      <c r="P225" s="41"/>
      <c r="Q225" s="256" cm="1">
        <f t="array" ref="Q225">+SUMPRODUCT(('Réel 2024'!$A$8:$A$501=$A225)*('Réel 2024'!$C$3:$AO$3=Q$2),'Réel 2024'!$C$8:$AO$501)</f>
        <v>4344</v>
      </c>
      <c r="R225" s="253"/>
      <c r="S225" s="276">
        <f t="shared" si="62"/>
        <v>2254.9899999999998</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0.2863559781872595</v>
      </c>
      <c r="F229" s="307">
        <f>+SUM(F211:F228)</f>
        <v>173194.4399594632</v>
      </c>
      <c r="G229" s="308"/>
      <c r="H229" s="306"/>
      <c r="I229" s="307"/>
      <c r="J229" s="308" t="s">
        <v>175</v>
      </c>
      <c r="K229" s="306">
        <f>L229/L$194</f>
        <v>0.27829157559240475</v>
      </c>
      <c r="L229" s="307">
        <f>+SUM(L211:L228)</f>
        <v>173822.24</v>
      </c>
      <c r="M229" s="311"/>
      <c r="N229" s="307">
        <f t="shared" si="61"/>
        <v>627.80004053679295</v>
      </c>
      <c r="O229" s="308" t="s">
        <v>175</v>
      </c>
      <c r="P229" s="306">
        <f>Q229/Q$194</f>
        <v>0.28681871448529977</v>
      </c>
      <c r="Q229" s="307">
        <f>+SUM(Q211:Q228)</f>
        <v>166821.53999999995</v>
      </c>
      <c r="R229" s="311"/>
      <c r="S229" s="307">
        <f t="shared" si="62"/>
        <v>7000.7000000000407</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0.91588346903278228</v>
      </c>
      <c r="F231" s="307">
        <f>F210+F229</f>
        <v>553946.61390142632</v>
      </c>
      <c r="G231" s="308"/>
      <c r="H231" s="306"/>
      <c r="I231" s="307"/>
      <c r="J231" s="308" t="s">
        <v>119</v>
      </c>
      <c r="K231" s="306">
        <f>L231/L$194</f>
        <v>0.87128893912510297</v>
      </c>
      <c r="L231" s="307">
        <f>L210+L229</f>
        <v>544211.21</v>
      </c>
      <c r="M231" s="311"/>
      <c r="N231" s="320">
        <f>L231-F231</f>
        <v>-9735.4039014263544</v>
      </c>
      <c r="O231" s="308" t="s">
        <v>119</v>
      </c>
      <c r="P231" s="306">
        <f>Q231/Q$194</f>
        <v>0.80062578238486892</v>
      </c>
      <c r="Q231" s="307">
        <f>Q210+Q229</f>
        <v>465665.65999999992</v>
      </c>
      <c r="R231" s="311"/>
      <c r="S231" s="320">
        <f>L231-Q231</f>
        <v>78545.550000000047</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50875.541570405709</v>
      </c>
      <c r="G233" s="361"/>
      <c r="H233" s="333"/>
      <c r="I233" s="335"/>
      <c r="J233" s="332"/>
      <c r="K233" s="334"/>
      <c r="L233" s="335">
        <f>L194-L231</f>
        <v>80393.539999999804</v>
      </c>
      <c r="M233" s="332"/>
      <c r="N233" s="335">
        <f>L233-F233</f>
        <v>29517.998429594096</v>
      </c>
      <c r="O233" s="332"/>
      <c r="P233" s="334"/>
      <c r="Q233" s="335">
        <f>Q194-Q231</f>
        <v>115961.44999999972</v>
      </c>
      <c r="R233" s="332"/>
      <c r="S233" s="335">
        <f>L233-Q233</f>
        <v>-35567.909999999916</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Mars 2026</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99" t="s">
        <v>343</v>
      </c>
      <c r="E238" s="1300"/>
      <c r="F238" s="1301"/>
      <c r="G238" s="1304"/>
      <c r="H238" s="1300"/>
      <c r="I238" s="1301"/>
      <c r="J238" s="1304" t="s">
        <v>344</v>
      </c>
      <c r="K238" s="1300"/>
      <c r="L238" s="1301"/>
      <c r="M238" s="1304" t="s">
        <v>3310</v>
      </c>
      <c r="N238" s="1301"/>
      <c r="O238" s="1299" t="s">
        <v>345</v>
      </c>
      <c r="P238" s="1300"/>
      <c r="Q238" s="1301"/>
      <c r="R238" s="1302" t="s">
        <v>3312</v>
      </c>
      <c r="S238" s="1303"/>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226800</v>
      </c>
      <c r="F241" s="291" cm="1">
        <f t="array" ref="F241">+SUMPRODUCT(('Budget original'!$A$8:$A$501=$A241)*('Budget original'!$C$3:$AO$3=F$2),'Budget original'!$C$8:$AO$501)</f>
        <v>36288</v>
      </c>
      <c r="G241" s="322"/>
      <c r="H241" s="291"/>
      <c r="I241" s="291"/>
      <c r="J241" s="277">
        <f>-SUMIFS(BV_Data_An_Cour!$P:$P,BV_Data_An_Cour!$U:$U,$B241,BV_Data_An_Cour!$V:$V,$C241,BV_Data_An_Cour!$W:$W,J$2)</f>
        <v>126</v>
      </c>
      <c r="K241" s="254">
        <f>-SUMIFS(BV_Data_An_Cour!$P:$P,BV_Data_An_Cour!$X:$X,"Oui",BV_Data_An_Cour!$U:$U,$B241,BV_Data_An_Cour!$V:$V,$C241)</f>
        <v>321481.07</v>
      </c>
      <c r="L241" s="256">
        <f>-SUMIFS(BV_Data_An_Cour!$P:$P,BV_Data_An_Cour!$U:$U,$B241,BV_Data_An_Cour!$V:$V,$C241,BV_Data_An_Cour!$W:$W,$L$2)</f>
        <v>44986.680000000029</v>
      </c>
      <c r="M241" s="292">
        <f>IFERROR((K241-E241)/E241,0)</f>
        <v>0.41746503527336865</v>
      </c>
      <c r="N241" s="276">
        <f>L241-F241</f>
        <v>8698.6800000000294</v>
      </c>
      <c r="O241" s="277" cm="1">
        <f t="array" ref="O241">+SUMPRODUCT(('Réel 2024'!$A$8:$A$501=$A241)*('Réel 2024'!$C$3:$AO$3=O$2),'Réel 2024'!$C$8:$AO$501)</f>
        <v>30</v>
      </c>
      <c r="P241" s="254" cm="1">
        <f t="array" ref="P241">+SUMPRODUCT(('Réel 2024'!$A$8:$A$501=$A241)*('Réel 2024'!$C$3:$AO$3=P$2),'Réel 2024'!$C$8:$AO$501)</f>
        <v>49723.389999999898</v>
      </c>
      <c r="Q241" s="256" cm="1">
        <f t="array" ref="Q241">+SUMPRODUCT(('Réel 2024'!$A$8:$A$501=$A241)*('Réel 2024'!$C$3:$AO$3=Q$2),'Réel 2024'!$C$8:$AO$501)</f>
        <v>9928.2999999999902</v>
      </c>
      <c r="R241" s="292">
        <f>IF(O241=0,0,J241/O241)</f>
        <v>4.2</v>
      </c>
      <c r="S241" s="276">
        <f>L241-Q241</f>
        <v>35058.380000000041</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0.16</v>
      </c>
      <c r="G242" s="253"/>
      <c r="H242" s="349"/>
      <c r="I242" s="362"/>
      <c r="J242" s="277"/>
      <c r="K242" s="41"/>
      <c r="L242" s="362">
        <f>IFERROR(L241/K241,0)</f>
        <v>0.13993570445687525</v>
      </c>
      <c r="M242" s="292"/>
      <c r="N242" s="276">
        <f>IFERROR(N241/M241,0)</f>
        <v>20836.906722748343</v>
      </c>
      <c r="O242" s="277"/>
      <c r="P242" s="41"/>
      <c r="Q242" s="362">
        <f>IFERROR(Q241/P241,0)</f>
        <v>0.19967061779174772</v>
      </c>
      <c r="R242" s="277"/>
      <c r="S242" s="276">
        <f>IFERROR(S241/R241,0)</f>
        <v>8347.2333333333427</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SUMIFS(BV_Data_An_Cour!$C$1:$C$364,BV_Data_An_Cour!$V$1:$V$364,$C244,BV_Data_An_Cour!$U$1:$U$364,$K$236)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SUMIFS(BV_Data_An_Cour!$C$1:$C$364,BV_Data_An_Cour!$V$1:$V$364,$C247,BV_Data_An_Cour!$U$1:$U$364,$K$236)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226800</v>
      </c>
      <c r="F250" s="281">
        <f t="shared" si="64"/>
        <v>36288</v>
      </c>
      <c r="G250" s="282"/>
      <c r="H250" s="279"/>
      <c r="I250" s="281"/>
      <c r="J250" s="282"/>
      <c r="K250" s="279">
        <f t="shared" ref="K250:L250" si="65">K244+K247+K241</f>
        <v>321481.07</v>
      </c>
      <c r="L250" s="281">
        <f t="shared" si="65"/>
        <v>44986.680000000029</v>
      </c>
      <c r="M250" s="399">
        <f>L251-F251</f>
        <v>-2.0064295543124749E-2</v>
      </c>
      <c r="N250" s="281">
        <f>L250-F250</f>
        <v>8698.6800000000294</v>
      </c>
      <c r="O250" s="282"/>
      <c r="P250" s="279">
        <f t="shared" ref="P250:Q250" si="66">P244+P247+P241</f>
        <v>49723.389999999898</v>
      </c>
      <c r="Q250" s="281">
        <f t="shared" si="66"/>
        <v>9928.2999999999902</v>
      </c>
      <c r="R250" s="399">
        <f>L251-Q251</f>
        <v>-5.9734913334872464E-2</v>
      </c>
      <c r="S250" s="281">
        <f>L250-Q250</f>
        <v>35058.380000000041</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0.16</v>
      </c>
      <c r="G251" s="283"/>
      <c r="H251" s="284"/>
      <c r="I251" s="287"/>
      <c r="J251" s="283"/>
      <c r="K251" s="284"/>
      <c r="L251" s="287">
        <f>IF(K250=0,0,L250/K250)</f>
        <v>0.13993570445687525</v>
      </c>
      <c r="M251" s="286"/>
      <c r="N251" s="287">
        <f>N250/F250</f>
        <v>0.23971230158730239</v>
      </c>
      <c r="O251" s="283"/>
      <c r="P251" s="284"/>
      <c r="Q251" s="287">
        <f>Q250/P250</f>
        <v>0.19967061779174772</v>
      </c>
      <c r="R251" s="286"/>
      <c r="S251" s="287">
        <f>IF(Q250=0,0,(S250/Q250))</f>
        <v>3.5311563913258137</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322.10208333333338</v>
      </c>
      <c r="G254" s="253"/>
      <c r="H254" s="41"/>
      <c r="I254" s="254"/>
      <c r="J254" s="253"/>
      <c r="K254" s="41"/>
      <c r="L254" s="256">
        <f>SUMIFS(BV_Data_An_Cour!$P:$P,BV_Data_An_Cour!$U:$U,$B254,BV_Data_An_Cour!$V:$V,$C254,BV_Data_An_Cour!$W:$W,$L$2)</f>
        <v>1041.8800000000001</v>
      </c>
      <c r="M254" s="253"/>
      <c r="N254" s="276">
        <f t="shared" ref="N254:N284" si="67">L254-F254</f>
        <v>719.77791666666667</v>
      </c>
      <c r="O254" s="253"/>
      <c r="P254" s="41"/>
      <c r="Q254" s="256" cm="1">
        <f t="array" ref="Q254">+SUMPRODUCT(('Réel 2024'!$A$8:$A$501=$A254)*('Réel 2024'!$C$3:$AO$3=Q$2),'Réel 2024'!$C$8:$AO$501)</f>
        <v>2705.64</v>
      </c>
      <c r="R254" s="253"/>
      <c r="S254" s="256">
        <f t="shared" ref="S254:S285" si="68">L254-Q254</f>
        <v>-1663.7599999999998</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17225.341260906662</v>
      </c>
      <c r="G255" s="298"/>
      <c r="H255" s="41"/>
      <c r="I255" s="248"/>
      <c r="J255" s="253"/>
      <c r="K255" s="41"/>
      <c r="L255" s="256">
        <f>SUMIFS(BV_Data_An_Cour!$P:$P,BV_Data_An_Cour!$U:$U,$B255,BV_Data_An_Cour!$V:$V,$C255,BV_Data_An_Cour!$W:$W,$L$2)</f>
        <v>17288.23</v>
      </c>
      <c r="M255" s="253"/>
      <c r="N255" s="276">
        <f t="shared" si="67"/>
        <v>62.88873909333779</v>
      </c>
      <c r="O255" s="253"/>
      <c r="P255" s="41"/>
      <c r="Q255" s="256" cm="1">
        <f t="array" ref="Q255">+SUMPRODUCT(('Réel 2024'!$A$8:$A$501=$A255)*('Réel 2024'!$C$3:$AO$3=Q$2),'Réel 2024'!$C$8:$AO$501)</f>
        <v>11169.99</v>
      </c>
      <c r="R255" s="253"/>
      <c r="S255" s="276">
        <f t="shared" si="68"/>
        <v>6118.24</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18.991666666666667</v>
      </c>
      <c r="G256" s="316"/>
      <c r="H256" s="315"/>
      <c r="I256" s="254"/>
      <c r="J256" s="241"/>
      <c r="K256" s="315"/>
      <c r="L256" s="272">
        <f>SUMIFS(BV_Data_An_Cour!$P:$P,BV_Data_An_Cour!$U:$U,$B256,BV_Data_An_Cour!$V:$V,$C256,BV_Data_An_Cour!$W:$W,$L$2)</f>
        <v>0.08</v>
      </c>
      <c r="M256" s="241"/>
      <c r="N256" s="317">
        <f t="shared" si="67"/>
        <v>-18.911666666666669</v>
      </c>
      <c r="O256" s="241"/>
      <c r="P256" s="315"/>
      <c r="Q256" s="272" cm="1">
        <f t="array" ref="Q256">+SUMPRODUCT(('Réel 2024'!$A$8:$A$501=$A256)*('Réel 2024'!$C$3:$AO$3=Q$2),'Réel 2024'!$C$8:$AO$501)</f>
        <v>0.24</v>
      </c>
      <c r="R256" s="241"/>
      <c r="S256" s="317">
        <f t="shared" si="68"/>
        <v>-0.15999999999999998</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2104.9061905552139</v>
      </c>
      <c r="G261" s="298"/>
      <c r="H261" s="41"/>
      <c r="I261" s="248"/>
      <c r="J261" s="253"/>
      <c r="K261" s="41"/>
      <c r="L261" s="256">
        <f>SUMIFS(BV_Data_An_Cour!$P:$P,BV_Data_An_Cour!$U:$U,$B261,BV_Data_An_Cour!$V:$V,$C261,BV_Data_An_Cour!$W:$W,$L$2)</f>
        <v>2185.1</v>
      </c>
      <c r="M261" s="253"/>
      <c r="N261" s="276">
        <f t="shared" si="67"/>
        <v>80.193809444785984</v>
      </c>
      <c r="O261" s="253"/>
      <c r="P261" s="41"/>
      <c r="Q261" s="256" cm="1">
        <f t="array" ref="Q261">+SUMPRODUCT(('Réel 2024'!$A$8:$A$501=$A261)*('Réel 2024'!$C$3:$AO$3=Q$2),'Réel 2024'!$C$8:$AO$501)</f>
        <v>1013.6700000000001</v>
      </c>
      <c r="R261" s="253"/>
      <c r="S261" s="276">
        <f t="shared" si="68"/>
        <v>1171.4299999999998</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2559.2692008512731</v>
      </c>
      <c r="G262" s="316"/>
      <c r="H262" s="315"/>
      <c r="I262" s="254"/>
      <c r="J262" s="241"/>
      <c r="K262" s="315"/>
      <c r="L262" s="272">
        <f>SUMIFS(BV_Data_An_Cour!$P:$P,BV_Data_An_Cour!$U:$U,$B262,BV_Data_An_Cour!$V:$V,$C262,BV_Data_An_Cour!$W:$W,$L$2)</f>
        <v>3849.21</v>
      </c>
      <c r="M262" s="241"/>
      <c r="N262" s="317">
        <f t="shared" si="67"/>
        <v>1289.9407991487269</v>
      </c>
      <c r="O262" s="241"/>
      <c r="P262" s="315"/>
      <c r="Q262" s="272" cm="1">
        <f t="array" ref="Q262">+SUMPRODUCT(('Réel 2024'!$A$8:$A$501=$A262)*('Réel 2024'!$C$3:$AO$3=Q$2),'Réel 2024'!$C$8:$AO$501)</f>
        <v>4263.99</v>
      </c>
      <c r="R262" s="241"/>
      <c r="S262" s="317">
        <f t="shared" si="68"/>
        <v>-414.77999999999975</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1318.5800013081559</v>
      </c>
      <c r="G263" s="298"/>
      <c r="H263" s="41"/>
      <c r="I263" s="254"/>
      <c r="J263" s="253"/>
      <c r="K263" s="41"/>
      <c r="L263" s="256">
        <f>SUMIFS(BV_Data_An_Cour!$P:$P,BV_Data_An_Cour!$U:$U,$B263,BV_Data_An_Cour!$V:$V,$C263,BV_Data_An_Cour!$W:$W,$L$2)</f>
        <v>972.39</v>
      </c>
      <c r="M263" s="253"/>
      <c r="N263" s="276">
        <f t="shared" si="67"/>
        <v>-346.19000130815596</v>
      </c>
      <c r="O263" s="253"/>
      <c r="P263" s="41"/>
      <c r="Q263" s="256" cm="1">
        <f t="array" ref="Q263">+SUMPRODUCT(('Réel 2024'!$A$8:$A$501=$A263)*('Réel 2024'!$C$3:$AO$3=Q$2),'Réel 2024'!$C$8:$AO$501)</f>
        <v>1276.57</v>
      </c>
      <c r="R263" s="253"/>
      <c r="S263" s="276">
        <f t="shared" si="68"/>
        <v>-304.17999999999995</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574.90829874195265</v>
      </c>
      <c r="G264" s="298"/>
      <c r="H264" s="41"/>
      <c r="I264" s="254"/>
      <c r="J264" s="253"/>
      <c r="K264" s="41"/>
      <c r="L264" s="256">
        <f>SUMIFS(BV_Data_An_Cour!$P:$P,BV_Data_An_Cour!$U:$U,$B264,BV_Data_An_Cour!$V:$V,$C264,BV_Data_An_Cour!$W:$W,$L$2)</f>
        <v>810.41</v>
      </c>
      <c r="M264" s="253"/>
      <c r="N264" s="276">
        <f t="shared" si="67"/>
        <v>235.50170125804732</v>
      </c>
      <c r="O264" s="253"/>
      <c r="P264" s="41"/>
      <c r="Q264" s="256" cm="1">
        <f t="array" ref="Q264">+SUMPRODUCT(('Réel 2024'!$A$8:$A$501=$A264)*('Réel 2024'!$C$3:$AO$3=Q$2),'Réel 2024'!$C$8:$AO$501)</f>
        <v>714.66</v>
      </c>
      <c r="R264" s="253"/>
      <c r="S264" s="276">
        <f t="shared" si="68"/>
        <v>95.75</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24124.098702363259</v>
      </c>
      <c r="G266" s="308"/>
      <c r="H266" s="306"/>
      <c r="I266" s="307"/>
      <c r="J266" s="308" t="s">
        <v>119</v>
      </c>
      <c r="K266" s="306">
        <f>IF(L244=0,0,L266/L$244)</f>
        <v>0</v>
      </c>
      <c r="L266" s="307">
        <f>+SUM(L254:L265)</f>
        <v>26147.3</v>
      </c>
      <c r="M266" s="355"/>
      <c r="N266" s="320">
        <f t="shared" si="67"/>
        <v>2023.2012976367405</v>
      </c>
      <c r="O266" s="308" t="s">
        <v>119</v>
      </c>
      <c r="P266" s="306" t="e">
        <f>Q266/Q$244</f>
        <v>#DIV/0!</v>
      </c>
      <c r="Q266" s="307">
        <f>+SUM(Q254:Q265)</f>
        <v>21144.76</v>
      </c>
      <c r="R266" s="355"/>
      <c r="S266" s="320">
        <f t="shared" si="68"/>
        <v>5002.5400000000009</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0</v>
      </c>
      <c r="G267" s="298"/>
      <c r="H267" s="41"/>
      <c r="I267" s="254"/>
      <c r="J267" s="253"/>
      <c r="K267" s="41"/>
      <c r="L267" s="256">
        <f>SUMIFS(BV_Data_An_Cour!$P:$P,BV_Data_An_Cour!$U:$U,$B267,BV_Data_An_Cour!$V:$V,$C267,BV_Data_An_Cour!$W:$W,$L$2)</f>
        <v>628.12</v>
      </c>
      <c r="M267" s="253"/>
      <c r="N267" s="276">
        <f t="shared" si="67"/>
        <v>628.12</v>
      </c>
      <c r="O267" s="253"/>
      <c r="P267" s="41"/>
      <c r="Q267" s="256" cm="1">
        <f t="array" ref="Q267">+SUMPRODUCT(('Réel 2024'!$A$8:$A$501=$A267)*('Réel 2024'!$C$3:$AO$3=Q$2),'Réel 2024'!$C$8:$AO$501)</f>
        <v>71.75</v>
      </c>
      <c r="R267" s="253"/>
      <c r="S267" s="276">
        <f t="shared" si="68"/>
        <v>556.37</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1685.0339438417132</v>
      </c>
      <c r="G268" s="298"/>
      <c r="H268" s="41"/>
      <c r="I268" s="254"/>
      <c r="J268" s="253"/>
      <c r="K268" s="41"/>
      <c r="L268" s="256">
        <f>SUMIFS(BV_Data_An_Cour!$P:$P,BV_Data_An_Cour!$U:$U,$B268,BV_Data_An_Cour!$V:$V,$C268,BV_Data_An_Cour!$W:$W,$L$2)</f>
        <v>1425.41</v>
      </c>
      <c r="M268" s="253"/>
      <c r="N268" s="276">
        <f t="shared" si="67"/>
        <v>-259.62394384171307</v>
      </c>
      <c r="O268" s="253"/>
      <c r="P268" s="41"/>
      <c r="Q268" s="256" cm="1">
        <f t="array" ref="Q268">+SUMPRODUCT(('Réel 2024'!$A$8:$A$501=$A268)*('Réel 2024'!$C$3:$AO$3=Q$2),'Réel 2024'!$C$8:$AO$501)</f>
        <v>11717.2</v>
      </c>
      <c r="R268" s="253"/>
      <c r="S268" s="276">
        <f t="shared" si="68"/>
        <v>-10291.790000000001</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373.51080000000002</v>
      </c>
      <c r="G269" s="300"/>
      <c r="H269" s="318"/>
      <c r="I269" s="248"/>
      <c r="J269" s="246"/>
      <c r="K269" s="318"/>
      <c r="L269" s="256">
        <f>SUMIFS(BV_Data_An_Cour!$P:$P,BV_Data_An_Cour!$U:$U,$B269,BV_Data_An_Cour!$V:$V,$C269,BV_Data_An_Cour!$W:$W,$L$2)</f>
        <v>457.41</v>
      </c>
      <c r="M269" s="246"/>
      <c r="N269" s="296">
        <f t="shared" si="67"/>
        <v>83.899200000000008</v>
      </c>
      <c r="O269" s="246"/>
      <c r="P269" s="318"/>
      <c r="Q269" s="256" cm="1">
        <f t="array" ref="Q269">+SUMPRODUCT(('Réel 2024'!$A$8:$A$501=$A269)*('Réel 2024'!$C$3:$AO$3=Q$2),'Réel 2024'!$C$8:$AO$501)</f>
        <v>493.45000000000005</v>
      </c>
      <c r="R269" s="246"/>
      <c r="S269" s="296">
        <f t="shared" si="68"/>
        <v>-36.04000000000002</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5836.5</v>
      </c>
      <c r="G270" s="298"/>
      <c r="H270" s="41"/>
      <c r="I270" s="254"/>
      <c r="J270" s="253"/>
      <c r="K270" s="41"/>
      <c r="L270" s="272">
        <f>SUMIFS(BV_Data_An_Cour!$P:$P,BV_Data_An_Cour!$U:$U,$B270,BV_Data_An_Cour!$V:$V,$C270,BV_Data_An_Cour!$W:$W,$L$2)</f>
        <v>3997.87</v>
      </c>
      <c r="M270" s="253"/>
      <c r="N270" s="276">
        <f t="shared" si="67"/>
        <v>-1838.63</v>
      </c>
      <c r="O270" s="253"/>
      <c r="P270" s="41"/>
      <c r="Q270" s="272" cm="1">
        <f t="array" ref="Q270">+SUMPRODUCT(('Réel 2024'!$A$8:$A$501=$A270)*('Réel 2024'!$C$3:$AO$3=Q$2),'Réel 2024'!$C$8:$AO$501)</f>
        <v>4999.82</v>
      </c>
      <c r="R270" s="253"/>
      <c r="S270" s="276">
        <f t="shared" si="68"/>
        <v>-1001.9499999999998</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750</v>
      </c>
      <c r="G271" s="298"/>
      <c r="H271" s="41"/>
      <c r="I271" s="254"/>
      <c r="J271" s="253"/>
      <c r="K271" s="41"/>
      <c r="L271" s="256">
        <f>SUMIFS(BV_Data_An_Cour!$P:$P,BV_Data_An_Cour!$U:$U,$B271,BV_Data_An_Cour!$V:$V,$C271,BV_Data_An_Cour!$W:$W,$L$2)</f>
        <v>663.94</v>
      </c>
      <c r="M271" s="253"/>
      <c r="N271" s="276">
        <f t="shared" si="67"/>
        <v>-86.059999999999945</v>
      </c>
      <c r="O271" s="253"/>
      <c r="P271" s="41"/>
      <c r="Q271" s="256" cm="1">
        <f t="array" ref="Q271">+SUMPRODUCT(('Réel 2024'!$A$8:$A$501=$A271)*('Réel 2024'!$C$3:$AO$3=Q$2),'Réel 2024'!$C$8:$AO$501)</f>
        <v>687.86</v>
      </c>
      <c r="R271" s="253"/>
      <c r="S271" s="276">
        <f t="shared" si="68"/>
        <v>-23.919999999999959</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2906.6100000000006</v>
      </c>
      <c r="G272" s="300"/>
      <c r="H272" s="318"/>
      <c r="I272" s="248"/>
      <c r="J272" s="246"/>
      <c r="K272" s="318"/>
      <c r="L272" s="256">
        <f>SUMIFS(BV_Data_An_Cour!$P:$P,BV_Data_An_Cour!$U:$U,$B272,BV_Data_An_Cour!$V:$V,$C272,BV_Data_An_Cour!$W:$W,$L$2)</f>
        <v>2499.6999999999998</v>
      </c>
      <c r="M272" s="246"/>
      <c r="N272" s="296">
        <f t="shared" si="67"/>
        <v>-406.91000000000076</v>
      </c>
      <c r="O272" s="246"/>
      <c r="P272" s="318"/>
      <c r="Q272" s="248" cm="1">
        <f t="array" ref="Q272">+SUMPRODUCT(('Réel 2024'!$A$8:$A$501=$A272)*('Réel 2024'!$C$3:$AO$3=Q$2),'Réel 2024'!$C$8:$AO$501)</f>
        <v>3090.34</v>
      </c>
      <c r="R272" s="246"/>
      <c r="S272" s="296">
        <f t="shared" si="68"/>
        <v>-590.64000000000033</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0</v>
      </c>
      <c r="G274" s="298"/>
      <c r="H274" s="41"/>
      <c r="I274" s="254"/>
      <c r="J274" s="253"/>
      <c r="K274" s="41"/>
      <c r="L274" s="256">
        <f>SUMIFS(BV_Data_An_Cour!$P:$P,BV_Data_An_Cour!$U:$U,$B274,BV_Data_An_Cour!$V:$V,$C274,BV_Data_An_Cour!$W:$W,$L$2)</f>
        <v>0</v>
      </c>
      <c r="M274" s="253"/>
      <c r="N274" s="276">
        <f t="shared" si="67"/>
        <v>0</v>
      </c>
      <c r="O274" s="253"/>
      <c r="P274" s="41"/>
      <c r="Q274" s="256" cm="1">
        <f t="array" ref="Q274">+SUMPRODUCT(('Réel 2024'!$A$8:$A$501=$A274)*('Réel 2024'!$C$3:$AO$3=Q$2),'Réel 2024'!$C$8:$AO$501)</f>
        <v>0</v>
      </c>
      <c r="R274" s="253"/>
      <c r="S274" s="276">
        <f t="shared" si="68"/>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0</v>
      </c>
      <c r="G275" s="298"/>
      <c r="H275" s="41"/>
      <c r="I275" s="254"/>
      <c r="J275" s="253"/>
      <c r="K275" s="41"/>
      <c r="L275" s="256">
        <f>SUMIFS(BV_Data_An_Cour!$P:$P,BV_Data_An_Cour!$U:$U,$B275,BV_Data_An_Cour!$V:$V,$C275,BV_Data_An_Cour!$W:$W,$L$2)</f>
        <v>0</v>
      </c>
      <c r="M275" s="253"/>
      <c r="N275" s="276">
        <f t="shared" si="67"/>
        <v>0</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357</v>
      </c>
      <c r="G276" s="298"/>
      <c r="H276" s="41"/>
      <c r="I276" s="254"/>
      <c r="J276" s="253"/>
      <c r="K276" s="41"/>
      <c r="L276" s="256">
        <f>SUMIFS(BV_Data_An_Cour!$P:$P,BV_Data_An_Cour!$U:$U,$B276,BV_Data_An_Cour!$V:$V,$C276,BV_Data_An_Cour!$W:$W,$L$2)</f>
        <v>83.91</v>
      </c>
      <c r="M276" s="253"/>
      <c r="N276" s="276">
        <f t="shared" si="67"/>
        <v>-273.09000000000003</v>
      </c>
      <c r="O276" s="253"/>
      <c r="P276" s="41"/>
      <c r="Q276" s="256" cm="1">
        <f t="array" ref="Q276">+SUMPRODUCT(('Réel 2024'!$A$8:$A$501=$A276)*('Réel 2024'!$C$3:$AO$3=Q$2),'Réel 2024'!$C$8:$AO$501)</f>
        <v>382.12</v>
      </c>
      <c r="R276" s="253"/>
      <c r="S276" s="276">
        <f t="shared" si="68"/>
        <v>-298.21000000000004</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91.875</v>
      </c>
      <c r="G277" s="298"/>
      <c r="H277" s="41"/>
      <c r="I277" s="254"/>
      <c r="J277" s="253"/>
      <c r="K277" s="41"/>
      <c r="L277" s="256">
        <f>SUMIFS(BV_Data_An_Cour!$P:$P,BV_Data_An_Cour!$U:$U,$B277,BV_Data_An_Cour!$V:$V,$C277,BV_Data_An_Cour!$W:$W,$L$2)</f>
        <v>123.69</v>
      </c>
      <c r="M277" s="253"/>
      <c r="N277" s="276">
        <f t="shared" si="67"/>
        <v>31.814999999999998</v>
      </c>
      <c r="O277" s="253"/>
      <c r="P277" s="41"/>
      <c r="Q277" s="256" cm="1">
        <f t="array" ref="Q277">+SUMPRODUCT(('Réel 2024'!$A$8:$A$501=$A277)*('Réel 2024'!$C$3:$AO$3=Q$2),'Réel 2024'!$C$8:$AO$501)</f>
        <v>94.839999999999989</v>
      </c>
      <c r="R277" s="253"/>
      <c r="S277" s="276">
        <f t="shared" si="68"/>
        <v>28.850000000000009</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149.57250000000002</v>
      </c>
      <c r="G278" s="298"/>
      <c r="H278" s="41"/>
      <c r="I278" s="254"/>
      <c r="J278" s="253"/>
      <c r="K278" s="41"/>
      <c r="L278" s="256">
        <f>SUMIFS(BV_Data_An_Cour!$P:$P,BV_Data_An_Cour!$U:$U,$B278,BV_Data_An_Cour!$V:$V,$C278,BV_Data_An_Cour!$W:$W,$L$2)</f>
        <v>84.5</v>
      </c>
      <c r="M278" s="253"/>
      <c r="N278" s="276">
        <f t="shared" si="67"/>
        <v>-65.072500000000019</v>
      </c>
      <c r="O278" s="253"/>
      <c r="P278" s="41"/>
      <c r="Q278" s="256" cm="1">
        <f t="array" ref="Q278">+SUMPRODUCT(('Réel 2024'!$A$8:$A$501=$A278)*('Réel 2024'!$C$3:$AO$3=Q$2),'Réel 2024'!$C$8:$AO$501)</f>
        <v>345.51</v>
      </c>
      <c r="R278" s="253"/>
      <c r="S278" s="276">
        <f t="shared" si="68"/>
        <v>-261.01</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78.750000000000014</v>
      </c>
      <c r="G279" s="298"/>
      <c r="H279" s="41"/>
      <c r="I279" s="254"/>
      <c r="J279" s="253"/>
      <c r="K279" s="41"/>
      <c r="L279" s="256">
        <f>SUMIFS(BV_Data_An_Cour!$P:$P,BV_Data_An_Cour!$U:$U,$B279,BV_Data_An_Cour!$V:$V,$C279,BV_Data_An_Cour!$W:$W,$L$2)</f>
        <v>194.53</v>
      </c>
      <c r="M279" s="253"/>
      <c r="N279" s="276">
        <f t="shared" si="67"/>
        <v>115.77999999999999</v>
      </c>
      <c r="O279" s="253"/>
      <c r="P279" s="41"/>
      <c r="Q279" s="256" cm="1">
        <f t="array" ref="Q279">+SUMPRODUCT(('Réel 2024'!$A$8:$A$501=$A279)*('Réel 2024'!$C$3:$AO$3=Q$2),'Réel 2024'!$C$8:$AO$501)</f>
        <v>50.73</v>
      </c>
      <c r="R279" s="253"/>
      <c r="S279" s="276">
        <f t="shared" si="68"/>
        <v>143.80000000000001</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500</v>
      </c>
      <c r="G280" s="298"/>
      <c r="H280" s="41"/>
      <c r="I280" s="254"/>
      <c r="J280" s="253"/>
      <c r="K280" s="41"/>
      <c r="L280" s="256">
        <f>SUMIFS(BV_Data_An_Cour!$P:$P,BV_Data_An_Cour!$U:$U,$B280,BV_Data_An_Cour!$V:$V,$C280,BV_Data_An_Cour!$W:$W,$L$2)</f>
        <v>324.88</v>
      </c>
      <c r="M280" s="253"/>
      <c r="N280" s="276">
        <f t="shared" si="67"/>
        <v>-175.12</v>
      </c>
      <c r="O280" s="253"/>
      <c r="P280" s="41"/>
      <c r="Q280" s="256" cm="1">
        <f t="array" ref="Q280">+SUMPRODUCT(('Réel 2024'!$A$8:$A$501=$A280)*('Réel 2024'!$C$3:$AO$3=Q$2),'Réel 2024'!$C$8:$AO$501)</f>
        <v>237.66</v>
      </c>
      <c r="R280" s="253"/>
      <c r="S280" s="276">
        <f t="shared" si="68"/>
        <v>87.22</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547.37017394155919</v>
      </c>
      <c r="G281" s="298"/>
      <c r="H281" s="41"/>
      <c r="I281" s="254"/>
      <c r="J281" s="253"/>
      <c r="K281" s="41"/>
      <c r="L281" s="256">
        <f>SUMIFS(BV_Data_An_Cour!$P:$P,BV_Data_An_Cour!$U:$U,$B281,BV_Data_An_Cour!$V:$V,$C281,BV_Data_An_Cour!$W:$W,L$2)</f>
        <v>733.25</v>
      </c>
      <c r="M281" s="253"/>
      <c r="N281" s="276">
        <f t="shared" si="67"/>
        <v>185.87982605844081</v>
      </c>
      <c r="O281" s="253"/>
      <c r="P281" s="41"/>
      <c r="Q281" s="256" cm="1">
        <f t="array" ref="Q281">+SUMPRODUCT(('Réel 2024'!$A$8:$A$501=$A281)*('Réel 2024'!$C$3:$AO$3=Q$2),'Réel 2024'!$C$8:$AO$501)</f>
        <v>482.67999999999995</v>
      </c>
      <c r="R281" s="253"/>
      <c r="S281" s="276">
        <f t="shared" si="68"/>
        <v>250.57000000000005</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0.36585709925549148</v>
      </c>
      <c r="F285" s="307">
        <f>+SUM(F267:F284)</f>
        <v>13276.222417783274</v>
      </c>
      <c r="G285" s="308"/>
      <c r="H285" s="306"/>
      <c r="I285" s="307"/>
      <c r="J285" s="308" t="s">
        <v>119</v>
      </c>
      <c r="K285" s="306">
        <f>IF(L262=0,0,L285/L$241)</f>
        <v>0.24934513949462361</v>
      </c>
      <c r="L285" s="307">
        <f>+SUM(L267:L284)</f>
        <v>11217.210000000001</v>
      </c>
      <c r="M285" s="311"/>
      <c r="N285" s="307">
        <f>+SUM(N267:N284)</f>
        <v>-2059.0124177832731</v>
      </c>
      <c r="O285" s="308" t="s">
        <v>119</v>
      </c>
      <c r="P285" s="306">
        <f>IF(Q250=0,0,Q285/Q$250)</f>
        <v>2.2817561918958957</v>
      </c>
      <c r="Q285" s="307">
        <f>+SUM(Q267:Q284)</f>
        <v>22653.96</v>
      </c>
      <c r="R285" s="311"/>
      <c r="S285" s="307">
        <f t="shared" si="68"/>
        <v>-11436.749999999998</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1.0306525881874595</v>
      </c>
      <c r="F287" s="307">
        <f>F266+F285</f>
        <v>37400.321120146531</v>
      </c>
      <c r="G287" s="308"/>
      <c r="H287" s="306"/>
      <c r="I287" s="307"/>
      <c r="J287" s="308" t="s">
        <v>119</v>
      </c>
      <c r="K287" s="306" t="e">
        <f>IF(L264=0,0,L287/L$244)</f>
        <v>#DIV/0!</v>
      </c>
      <c r="L287" s="307">
        <f>L266+L285</f>
        <v>37364.51</v>
      </c>
      <c r="M287" s="311"/>
      <c r="N287" s="320">
        <f>L287-F287</f>
        <v>-35.811120146528992</v>
      </c>
      <c r="O287" s="308" t="s">
        <v>119</v>
      </c>
      <c r="P287" s="306">
        <f>IF(Q250=0,0,Q287/Q$250)</f>
        <v>4.4115024727294747</v>
      </c>
      <c r="Q287" s="307">
        <f>Q266+Q285</f>
        <v>43798.720000000001</v>
      </c>
      <c r="R287" s="311"/>
      <c r="S287" s="320">
        <f>L287-Q287</f>
        <v>-6434.2099999999991</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-1112.321120146531</v>
      </c>
      <c r="G289" s="361"/>
      <c r="H289" s="333"/>
      <c r="I289" s="335"/>
      <c r="J289" s="332"/>
      <c r="K289" s="334"/>
      <c r="L289" s="335">
        <f>L250-L287</f>
        <v>7622.1700000000274</v>
      </c>
      <c r="M289" s="332"/>
      <c r="N289" s="335">
        <f>L289-F289</f>
        <v>8734.4911201465584</v>
      </c>
      <c r="O289" s="332"/>
      <c r="P289" s="334"/>
      <c r="Q289" s="335">
        <f>Q250-Q287</f>
        <v>-33870.420000000013</v>
      </c>
      <c r="R289" s="332"/>
      <c r="S289" s="335">
        <f>L289-Q289</f>
        <v>41492.59000000004</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Mars 2026</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99" t="s">
        <v>343</v>
      </c>
      <c r="E293" s="1300"/>
      <c r="F293" s="1301"/>
      <c r="G293" s="1304"/>
      <c r="H293" s="1300"/>
      <c r="I293" s="1301"/>
      <c r="J293" s="1304" t="s">
        <v>344</v>
      </c>
      <c r="K293" s="1300"/>
      <c r="L293" s="1301"/>
      <c r="M293" s="1304" t="s">
        <v>3310</v>
      </c>
      <c r="N293" s="1301"/>
      <c r="O293" s="1299" t="s">
        <v>345</v>
      </c>
      <c r="P293" s="1300"/>
      <c r="Q293" s="1301"/>
      <c r="R293" s="1302" t="s">
        <v>3312</v>
      </c>
      <c r="S293" s="1303"/>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225422.88782914111</v>
      </c>
      <c r="E295" s="353">
        <f t="shared" ref="E295:E303" si="70">IF(D295=0,0,F295/D295)</f>
        <v>0.35</v>
      </c>
      <c r="F295" s="276" cm="1">
        <f t="array" ref="F295">+SUMPRODUCT(('Budget original'!$A$8:$A$501=$A295)*('Budget original'!$C$3:$AO$3=F$2),'Budget original'!$C$8:$AO$501)</f>
        <v>78898.010740199388</v>
      </c>
      <c r="G295" s="291"/>
      <c r="H295" s="353"/>
      <c r="I295" s="276"/>
      <c r="J295" s="254">
        <f>-SUMIFS(BV_Data_An_Cour!$P:$P,BV_Data_An_Cour!$X:$X,"Oui",BV_Data_An_Cour!$U:$U,$B295,BV_Data_An_Cour!$V:$V,$C295)</f>
        <v>213096.52000000002</v>
      </c>
      <c r="K295" s="353">
        <f t="shared" ref="K295:K304" si="71">IF(J295&lt;=0,0,L295/J295)</f>
        <v>0.36674798818863868</v>
      </c>
      <c r="L295" s="256">
        <f>-SUMIFS(BV_Data_An_Cour!$P:$P,BV_Data_An_Cour!$U:$U,$B295,BV_Data_An_Cour!$V:$V,$C295,BV_Data_An_Cour!$W:$W,$L$2)</f>
        <v>78152.720000000016</v>
      </c>
      <c r="M295" s="292">
        <f t="shared" ref="M295:M301" si="72">(+J295-D295)/D295</f>
        <v>-5.4681083841334868E-2</v>
      </c>
      <c r="N295" s="276">
        <f t="shared" ref="N295:N304" si="73">L295-F295</f>
        <v>-745.29074019937252</v>
      </c>
      <c r="O295" s="254" cm="1">
        <f t="array" ref="O295">+SUMPRODUCT(('Réel 2024'!$A$8:$A$501=$A295)*('Réel 2024'!$C$3:$AO$3=O$2),'Réel 2024'!$C$8:$AO$501)</f>
        <v>204282.76</v>
      </c>
      <c r="P295" s="353">
        <f t="shared" ref="P295:P303" si="74">IF(O295=0,0,Q295/O295)</f>
        <v>0.30400191381788605</v>
      </c>
      <c r="Q295" s="256" cm="1">
        <f t="array" ref="Q295">+SUMPRODUCT(('Réel 2024'!$A$8:$A$501=$A295)*('Réel 2024'!$C$3:$AO$3=Q$2),'Réel 2024'!$C$8:$AO$501)</f>
        <v>62102.349999999897</v>
      </c>
      <c r="R295" s="292">
        <f t="shared" ref="R295:R304" si="75">IF(O295=0,0,(J295-O295)/O295)</f>
        <v>4.3144903661963489E-2</v>
      </c>
      <c r="S295" s="276">
        <f t="shared" ref="S295:S304" si="76">L295-Q295</f>
        <v>16050.370000000119</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126000</v>
      </c>
      <c r="E296" s="353">
        <f t="shared" si="70"/>
        <v>0.23400000000000001</v>
      </c>
      <c r="F296" s="276" cm="1">
        <f t="array" ref="F296">+SUMPRODUCT(('Budget original'!$A$8:$A$501=$A296)*('Budget original'!$C$3:$AO$3=F$2),'Budget original'!$C$8:$AO$501)</f>
        <v>29484</v>
      </c>
      <c r="G296" s="291"/>
      <c r="H296" s="353"/>
      <c r="I296" s="276"/>
      <c r="J296" s="254">
        <f>-SUMIFS(BV_Data_An_Cour!$P:$P,BV_Data_An_Cour!$X:$X,"Oui",BV_Data_An_Cour!$U:$U,$B296,BV_Data_An_Cour!$V:$V,$C296)</f>
        <v>209993.69999999998</v>
      </c>
      <c r="K296" s="353">
        <f t="shared" si="71"/>
        <v>0.23427583779894337</v>
      </c>
      <c r="L296" s="256">
        <f>-SUMIFS(BV_Data_An_Cour!$P:$P,BV_Data_An_Cour!$U:$U,$B296,BV_Data_An_Cour!$V:$V,$C296,BV_Data_An_Cour!$W:$W,$L$2)</f>
        <v>49196.449999999968</v>
      </c>
      <c r="M296" s="292">
        <f t="shared" si="72"/>
        <v>0.66661666666666652</v>
      </c>
      <c r="N296" s="276">
        <f t="shared" si="73"/>
        <v>19712.449999999968</v>
      </c>
      <c r="O296" s="254" cm="1">
        <f t="array" ref="O296">+SUMPRODUCT(('Réel 2024'!$A$8:$A$501=$A296)*('Réel 2024'!$C$3:$AO$3=O$2),'Réel 2024'!$C$8:$AO$501)</f>
        <v>18231.3</v>
      </c>
      <c r="P296" s="353">
        <f t="shared" si="74"/>
        <v>0.23360155337249619</v>
      </c>
      <c r="Q296" s="256" cm="1">
        <f t="array" ref="Q296">+SUMPRODUCT(('Réel 2024'!$A$8:$A$501=$A296)*('Réel 2024'!$C$3:$AO$3=Q$2),'Réel 2024'!$C$8:$AO$501)</f>
        <v>4258.8599999999897</v>
      </c>
      <c r="R296" s="292">
        <f t="shared" si="75"/>
        <v>10.518306429053331</v>
      </c>
      <c r="S296" s="276">
        <f t="shared" si="76"/>
        <v>44937.589999999982</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226408.76609267236</v>
      </c>
      <c r="E297" s="353">
        <f t="shared" si="70"/>
        <v>0.23299999999999998</v>
      </c>
      <c r="F297" s="276" cm="1">
        <f t="array" ref="F297">+SUMPRODUCT(('Budget original'!$A$8:$A$501=$A297)*('Budget original'!$C$3:$AO$3=F$2),'Budget original'!$C$8:$AO$501)</f>
        <v>52753.242499592656</v>
      </c>
      <c r="G297" s="291"/>
      <c r="H297" s="353"/>
      <c r="I297" s="276"/>
      <c r="J297" s="254">
        <f>-SUMIFS(BV_Data_An_Cour!$P:$P,BV_Data_An_Cour!$X:$X,"Oui",BV_Data_An_Cour!$U:$U,$B297,BV_Data_An_Cour!$V:$V,$C297)</f>
        <v>274500.87</v>
      </c>
      <c r="K297" s="353">
        <f t="shared" si="71"/>
        <v>0.23233103049910192</v>
      </c>
      <c r="L297" s="256">
        <f>-SUMIFS(BV_Data_An_Cour!$P:$P,BV_Data_An_Cour!$U:$U,$B297,BV_Data_An_Cour!$V:$V,$C297,BV_Data_An_Cour!$W:$W,$L$2)</f>
        <v>63775.070000000007</v>
      </c>
      <c r="M297" s="292">
        <f t="shared" si="72"/>
        <v>0.2124127291416042</v>
      </c>
      <c r="N297" s="276">
        <f t="shared" si="73"/>
        <v>11021.827500407351</v>
      </c>
      <c r="O297" s="254" cm="1">
        <f t="array" ref="O297">+SUMPRODUCT(('Réel 2024'!$A$8:$A$501=$A297)*('Réel 2024'!$C$3:$AO$3=O$2),'Réel 2024'!$C$8:$AO$501)</f>
        <v>310746.27</v>
      </c>
      <c r="P297" s="353">
        <f t="shared" si="74"/>
        <v>0.23102121225783306</v>
      </c>
      <c r="Q297" s="256" cm="1">
        <f t="array" ref="Q297">+SUMPRODUCT(('Réel 2024'!$A$8:$A$501=$A297)*('Réel 2024'!$C$3:$AO$3=Q$2),'Réel 2024'!$C$8:$AO$501)</f>
        <v>71788.979999999909</v>
      </c>
      <c r="R297" s="292">
        <f t="shared" si="75"/>
        <v>-0.11663985540357417</v>
      </c>
      <c r="S297" s="276">
        <f t="shared" si="76"/>
        <v>-8013.9099999999016</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212942.46524433553</v>
      </c>
      <c r="E298" s="353">
        <f t="shared" si="70"/>
        <v>0.28499999999999998</v>
      </c>
      <c r="F298" s="276" cm="1">
        <f t="array" ref="F298">+SUMPRODUCT(('Budget original'!$A$8:$A$501=$A298)*('Budget original'!$C$3:$AO$3=F$2),'Budget original'!$C$8:$AO$501)</f>
        <v>60688.602594635624</v>
      </c>
      <c r="G298" s="291"/>
      <c r="H298" s="353"/>
      <c r="I298" s="276"/>
      <c r="J298" s="254">
        <f>-SUMIFS(BV_Data_An_Cour!$P:$P,BV_Data_An_Cour!$X:$X,"Oui",BV_Data_An_Cour!$U:$U,$B298,BV_Data_An_Cour!$V:$V,$C298)</f>
        <v>184988.65</v>
      </c>
      <c r="K298" s="353">
        <f t="shared" si="71"/>
        <v>0.28401488415640636</v>
      </c>
      <c r="L298" s="256">
        <f>-SUMIFS(BV_Data_An_Cour!$P:$P,BV_Data_An_Cour!$U:$U,$B298,BV_Data_An_Cour!$V:$V,$C298,BV_Data_An_Cour!$W:$W,$L$2)</f>
        <v>52539.53</v>
      </c>
      <c r="M298" s="292">
        <f t="shared" si="72"/>
        <v>-0.13127402846708205</v>
      </c>
      <c r="N298" s="276">
        <f t="shared" si="73"/>
        <v>-8149.0725946356251</v>
      </c>
      <c r="O298" s="254" cm="1">
        <f t="array" ref="O298">+SUMPRODUCT(('Réel 2024'!$A$8:$A$501=$A298)*('Réel 2024'!$C$3:$AO$3=O$2),'Réel 2024'!$C$8:$AO$501)</f>
        <v>191370.25</v>
      </c>
      <c r="P298" s="353">
        <f t="shared" si="74"/>
        <v>0.2674041027798203</v>
      </c>
      <c r="Q298" s="256" cm="1">
        <f t="array" ref="Q298">+SUMPRODUCT(('Réel 2024'!$A$8:$A$501=$A298)*('Réel 2024'!$C$3:$AO$3=Q$2),'Réel 2024'!$C$8:$AO$501)</f>
        <v>51173.1899999999</v>
      </c>
      <c r="R298" s="292">
        <f t="shared" si="75"/>
        <v>-3.334687601651775E-2</v>
      </c>
      <c r="S298" s="276">
        <f t="shared" si="76"/>
        <v>1366.3400000000984</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47424.441073031208</v>
      </c>
      <c r="E299" s="353">
        <f t="shared" si="70"/>
        <v>0.28500000000000003</v>
      </c>
      <c r="F299" s="276" cm="1">
        <f t="array" ref="F299">+SUMPRODUCT(('Budget original'!$A$8:$A$501=$A299)*('Budget original'!$C$3:$AO$3=F$2),'Budget original'!$C$8:$AO$501)</f>
        <v>13515.965705813895</v>
      </c>
      <c r="G299" s="291"/>
      <c r="H299" s="353"/>
      <c r="I299" s="276"/>
      <c r="J299" s="254">
        <f>-SUMIFS(BV_Data_An_Cour!$P:$P,BV_Data_An_Cour!$X:$X,"Oui",BV_Data_An_Cour!$U:$U,$B299,BV_Data_An_Cour!$V:$V,$C299)</f>
        <v>30686.76</v>
      </c>
      <c r="K299" s="353">
        <f t="shared" si="71"/>
        <v>0.30874096841764981</v>
      </c>
      <c r="L299" s="256">
        <f>-SUMIFS(BV_Data_An_Cour!$P:$P,BV_Data_An_Cour!$U:$U,$B299,BV_Data_An_Cour!$V:$V,$C299,BV_Data_An_Cour!$W:$W,$L$2)</f>
        <v>9474.2599999999984</v>
      </c>
      <c r="M299" s="292">
        <f t="shared" si="72"/>
        <v>-0.35293364970303054</v>
      </c>
      <c r="N299" s="276">
        <f t="shared" si="73"/>
        <v>-4041.7057058138962</v>
      </c>
      <c r="O299" s="254" cm="1">
        <f t="array" ref="O299">+SUMPRODUCT(('Réel 2024'!$A$8:$A$501=$A299)*('Réel 2024'!$C$3:$AO$3=O$2),'Réel 2024'!$C$8:$AO$501)</f>
        <v>43978.17</v>
      </c>
      <c r="P299" s="353">
        <f t="shared" si="74"/>
        <v>0.31665142046610834</v>
      </c>
      <c r="Q299" s="256" cm="1">
        <f t="array" ref="Q299">+SUMPRODUCT(('Réel 2024'!$A$8:$A$501=$A299)*('Réel 2024'!$C$3:$AO$3=Q$2),'Réel 2024'!$C$8:$AO$501)</f>
        <v>13925.749999999991</v>
      </c>
      <c r="R299" s="292">
        <f t="shared" si="75"/>
        <v>-0.3022274460260625</v>
      </c>
      <c r="S299" s="276">
        <f t="shared" si="76"/>
        <v>-4451.4899999999925</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524743.42918779375</v>
      </c>
      <c r="E300" s="353">
        <f t="shared" si="70"/>
        <v>0.13499999999999998</v>
      </c>
      <c r="F300" s="276" cm="1">
        <f t="array" ref="F300">+SUMPRODUCT(('Budget original'!$A$8:$A$501=$A300)*('Budget original'!$C$3:$AO$3=F$2),'Budget original'!$C$8:$AO$501)</f>
        <v>70840.362940352148</v>
      </c>
      <c r="G300" s="291"/>
      <c r="H300" s="353"/>
      <c r="I300" s="276"/>
      <c r="J300" s="254">
        <f>-SUMIFS(BV_Data_An_Cour!$P:$P,BV_Data_An_Cour!$X:$X,"Oui",BV_Data_An_Cour!$U:$U,$B300,BV_Data_An_Cour!$V:$V,$C300)</f>
        <v>759738.78</v>
      </c>
      <c r="K300" s="353">
        <f t="shared" si="71"/>
        <v>0.15195187219480885</v>
      </c>
      <c r="L300" s="256">
        <f>-SUMIFS(BV_Data_An_Cour!$P:$P,BV_Data_An_Cour!$U:$U,$B300,BV_Data_An_Cour!$V:$V,$C300,BV_Data_An_Cour!$W:$W,$L$2)</f>
        <v>115443.73</v>
      </c>
      <c r="M300" s="292">
        <f t="shared" si="72"/>
        <v>0.44782904890478731</v>
      </c>
      <c r="N300" s="276">
        <f t="shared" si="73"/>
        <v>44603.367059647848</v>
      </c>
      <c r="O300" s="254" cm="1">
        <f t="array" ref="O300">+SUMPRODUCT(('Réel 2024'!$A$8:$A$501=$A300)*('Réel 2024'!$C$3:$AO$3=O$2),'Réel 2024'!$C$8:$AO$501)</f>
        <v>616155.51</v>
      </c>
      <c r="P300" s="353">
        <f t="shared" si="74"/>
        <v>0.13715638118695034</v>
      </c>
      <c r="Q300" s="256" cm="1">
        <f t="array" ref="Q300">+SUMPRODUCT(('Réel 2024'!$A$8:$A$501=$A300)*('Réel 2024'!$C$3:$AO$3=Q$2),'Réel 2024'!$C$8:$AO$501)</f>
        <v>84509.6599999998</v>
      </c>
      <c r="R300" s="292">
        <f t="shared" si="75"/>
        <v>0.23303089507387512</v>
      </c>
      <c r="S300" s="276">
        <f t="shared" si="76"/>
        <v>30934.070000000196</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44081.187851977629</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42583.59</v>
      </c>
      <c r="M302" s="292"/>
      <c r="N302" s="276">
        <f t="shared" si="73"/>
        <v>-1497.5978519776327</v>
      </c>
      <c r="O302" s="254" cm="1">
        <f t="array" ref="O302">+SUMPRODUCT(('Réel 2024'!$A$8:$A$501=$A302)*('Réel 2024'!$C$3:$AO$3=O$2),'Réel 2024'!$C$8:$AO$501)</f>
        <v>0</v>
      </c>
      <c r="P302" s="353">
        <f t="shared" si="74"/>
        <v>0</v>
      </c>
      <c r="Q302" s="256" cm="1">
        <f t="array" ref="Q302">+SUMPRODUCT(('Réel 2024'!$A$8:$A$501=$A302)*('Réel 2024'!$C$3:$AO$3=Q$2),'Réel 2024'!$C$8:$AO$501)</f>
        <v>17218.149999999991</v>
      </c>
      <c r="R302" s="292">
        <f t="shared" si="75"/>
        <v>0</v>
      </c>
      <c r="S302" s="276">
        <f t="shared" si="76"/>
        <v>25365.440000000006</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1362941.989426974</v>
      </c>
      <c r="E304" s="407">
        <f>IF(D304&lt;=0,0,F304/D304)</f>
        <v>0.25698920060407915</v>
      </c>
      <c r="F304" s="392">
        <f t="shared" ref="F304" si="77">SUM(F295:F303)</f>
        <v>350261.37233257137</v>
      </c>
      <c r="G304" s="390"/>
      <c r="H304" s="407"/>
      <c r="I304" s="392"/>
      <c r="J304" s="390">
        <f t="shared" ref="J304" si="78">SUM(J295:J303)</f>
        <v>1673005.28</v>
      </c>
      <c r="K304" s="407">
        <f t="shared" si="71"/>
        <v>0.24576452621835118</v>
      </c>
      <c r="L304" s="392">
        <f>SUM(L295:L303)</f>
        <v>411165.35</v>
      </c>
      <c r="M304" s="408">
        <f>(+J304-D304)/D304</f>
        <v>0.22749558893800531</v>
      </c>
      <c r="N304" s="392">
        <f t="shared" si="73"/>
        <v>60903.977667428611</v>
      </c>
      <c r="O304" s="390">
        <f>SUM(O295:O303)</f>
        <v>1384764.2600000002</v>
      </c>
      <c r="P304" s="407">
        <f>IF(O304&lt;=0,0,Q304/O304)</f>
        <v>0.22023744315873622</v>
      </c>
      <c r="Q304" s="392">
        <f t="shared" ref="Q304" si="79">SUM(Q295:Q303)</f>
        <v>304976.93999999948</v>
      </c>
      <c r="R304" s="408">
        <f t="shared" si="75"/>
        <v>0.20815168929908673</v>
      </c>
      <c r="S304" s="392">
        <f t="shared" si="76"/>
        <v>106188.4100000005</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0.17388151385874376</v>
      </c>
      <c r="O305" s="253"/>
      <c r="P305" s="41"/>
      <c r="Q305" s="263"/>
      <c r="R305" s="253"/>
      <c r="S305" s="265">
        <f>IF(Q304=0,0,S304/Q304)</f>
        <v>0.34818504638416492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135917.62015018126</v>
      </c>
      <c r="E307" s="353">
        <f t="shared" ref="E307:E308" si="80">IF(D307=0,0,F307/D307)</f>
        <v>0.17100000000000001</v>
      </c>
      <c r="F307" s="317" cm="1">
        <f t="array" ref="F307">+SUMPRODUCT(('Budget original'!$A$8:$A$501=$A307)*('Budget original'!$C$3:$AO$3=F$2),'Budget original'!$C$8:$AO$501)</f>
        <v>23241.913045680998</v>
      </c>
      <c r="G307" s="291"/>
      <c r="H307" s="353"/>
      <c r="I307" s="317"/>
      <c r="J307" s="254">
        <f>-SUMIFS(BV_Data_An_Cour!$P:$P,BV_Data_An_Cour!$X:$X,"Oui",BV_Data_An_Cour!$U:$U,$B307,BV_Data_An_Cour!$V:$V,$C307)</f>
        <v>163813.24000000002</v>
      </c>
      <c r="K307" s="353">
        <f t="shared" ref="K307:K309" si="81">IF(J307&lt;=0,0,L307/J307)</f>
        <v>0.18940227297866766</v>
      </c>
      <c r="L307" s="256">
        <f>-SUMIFS(BV_Data_An_Cour!$P:$P,BV_Data_An_Cour!$U:$U,$B307,BV_Data_An_Cour!$V:$V,$C307,BV_Data_An_Cour!$W:$W,$L$2)</f>
        <v>31026.600000000006</v>
      </c>
      <c r="M307" s="292">
        <f>(+J307-D307)/D307</f>
        <v>0.20523917222061189</v>
      </c>
      <c r="N307" s="276">
        <f>L307-F307</f>
        <v>7784.6869543190078</v>
      </c>
      <c r="O307" s="254" cm="1">
        <f t="array" ref="O307">+SUMPRODUCT(('Réel 2024'!$A$8:$A$501=$A307)*('Réel 2024'!$C$3:$AO$3=O$2),'Réel 2024'!$C$8:$AO$501)</f>
        <v>131840.18</v>
      </c>
      <c r="P307" s="353">
        <f t="shared" ref="P307:P308" si="82">IF(O307=0,0,Q307/O307)</f>
        <v>0.15846458947492323</v>
      </c>
      <c r="Q307" s="256" cm="1">
        <f t="array" ref="Q307">+SUMPRODUCT(('Réel 2024'!$A$8:$A$501=$A307)*('Réel 2024'!$C$3:$AO$3=Q$2),'Réel 2024'!$C$8:$AO$501)</f>
        <v>20891.999999999982</v>
      </c>
      <c r="R307" s="292">
        <f t="shared" ref="R307:R309" si="83">IF(O307=0,0,(J307-O307)/O307)</f>
        <v>0.2425137769077684</v>
      </c>
      <c r="S307" s="276">
        <f t="shared" ref="S307:S309" si="84">L307-Q307</f>
        <v>10134.600000000024</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46232.62939504227</v>
      </c>
      <c r="E308" s="353">
        <f t="shared" si="80"/>
        <v>0.27000000000000007</v>
      </c>
      <c r="F308" s="296" cm="1">
        <f t="array" ref="F308">+SUMPRODUCT(('Budget original'!$A$8:$A$501=$A308)*('Budget original'!$C$3:$AO$3=F$2),'Budget original'!$C$8:$AO$501)</f>
        <v>12482.809936661415</v>
      </c>
      <c r="G308" s="291"/>
      <c r="H308" s="353"/>
      <c r="I308" s="296"/>
      <c r="J308" s="254">
        <f>-SUMIFS(BV_Data_An_Cour!$P:$P,BV_Data_An_Cour!$X:$X,"Oui",BV_Data_An_Cour!$U:$U,$B308,BV_Data_An_Cour!$V:$V,$C308)</f>
        <v>49448.28</v>
      </c>
      <c r="K308" s="353">
        <f t="shared" si="81"/>
        <v>0.28127105735528102</v>
      </c>
      <c r="L308" s="256">
        <f>-SUMIFS(BV_Data_An_Cour!$P:$P,BV_Data_An_Cour!$U:$U,$B308,BV_Data_An_Cour!$V:$V,$C308,BV_Data_An_Cour!$W:$W,$L$2)</f>
        <v>13908.369999999995</v>
      </c>
      <c r="M308" s="292">
        <f>(+J308-D308)/D308</f>
        <v>6.9553703672812467E-2</v>
      </c>
      <c r="N308" s="276">
        <f>L308-F308</f>
        <v>1425.5600633385802</v>
      </c>
      <c r="O308" s="254" cm="1">
        <f t="array" ref="O308">+SUMPRODUCT(('Réel 2024'!$A$8:$A$501=$A308)*('Réel 2024'!$C$3:$AO$3=O$2),'Réel 2024'!$C$8:$AO$501)</f>
        <v>49348.12</v>
      </c>
      <c r="P308" s="353">
        <f t="shared" si="82"/>
        <v>0.25362019870260488</v>
      </c>
      <c r="Q308" s="256" cm="1">
        <f t="array" ref="Q308">+SUMPRODUCT(('Réel 2024'!$A$8:$A$501=$A308)*('Réel 2024'!$C$3:$AO$3=Q$2),'Réel 2024'!$C$8:$AO$501)</f>
        <v>12515.679999999989</v>
      </c>
      <c r="R308" s="292">
        <f t="shared" si="83"/>
        <v>2.0296619202513936E-3</v>
      </c>
      <c r="S308" s="276">
        <f t="shared" si="84"/>
        <v>1392.690000000006</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1545092.2389721975</v>
      </c>
      <c r="E309" s="407">
        <f>IF(D309&lt;=0,0,F309/D309)</f>
        <v>0.2498142735942247</v>
      </c>
      <c r="F309" s="392">
        <f t="shared" ref="F309" si="85">F304+F307+F308</f>
        <v>385986.09531491378</v>
      </c>
      <c r="G309" s="393"/>
      <c r="H309" s="407"/>
      <c r="I309" s="392"/>
      <c r="J309" s="393">
        <f t="shared" ref="J309" si="86">J304+J307+J308</f>
        <v>1886266.8</v>
      </c>
      <c r="K309" s="407">
        <f t="shared" si="81"/>
        <v>0.24180053426164314</v>
      </c>
      <c r="L309" s="392">
        <f>L304+L307+L308</f>
        <v>456100.31999999995</v>
      </c>
      <c r="M309" s="408">
        <f>(+J309-D309)/D309</f>
        <v>0.22081177577770594</v>
      </c>
      <c r="N309" s="392">
        <f>L309-F309</f>
        <v>70114.22468508617</v>
      </c>
      <c r="O309" s="393">
        <f>O304+O307+O308</f>
        <v>1565952.5600000003</v>
      </c>
      <c r="P309" s="407">
        <f>IF(O309&lt;=0,0,Q309/O309)</f>
        <v>0.2160886789571706</v>
      </c>
      <c r="Q309" s="392">
        <f t="shared" ref="Q309" si="87">Q304+Q307+Q308</f>
        <v>338384.61999999947</v>
      </c>
      <c r="R309" s="408">
        <f t="shared" si="83"/>
        <v>0.20454913397887334</v>
      </c>
      <c r="S309" s="392">
        <f t="shared" si="84"/>
        <v>117715.70000000048</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0.18164961260555826</v>
      </c>
      <c r="O310" s="253"/>
      <c r="P310" s="41"/>
      <c r="Q310" s="263"/>
      <c r="R310" s="253"/>
      <c r="S310" s="265">
        <f>IF(Q309=0,0,S309/Q309)</f>
        <v>0.34787544422084155</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1545092.2389721975</v>
      </c>
      <c r="E314" s="410">
        <f>IF(D314&lt;=0,0,F314/D314)</f>
        <v>0.2498142735942247</v>
      </c>
      <c r="F314" s="281">
        <f t="shared" ref="F314" si="88">F309+F312</f>
        <v>385986.09531491378</v>
      </c>
      <c r="G314" s="282"/>
      <c r="H314" s="410"/>
      <c r="I314" s="281"/>
      <c r="J314" s="282">
        <f t="shared" ref="J314" si="89">J309+J312</f>
        <v>1886266.8</v>
      </c>
      <c r="K314" s="410">
        <f>IF(J314&lt;=0,0,L314/J314)</f>
        <v>0.24180053426164314</v>
      </c>
      <c r="L314" s="281">
        <f>L309+L312</f>
        <v>456100.31999999995</v>
      </c>
      <c r="M314" s="411">
        <f>(+J314-D314)/D314</f>
        <v>0.22081177577770594</v>
      </c>
      <c r="N314" s="412">
        <f>L314-F314</f>
        <v>70114.22468508617</v>
      </c>
      <c r="O314" s="282">
        <f>O309+O312</f>
        <v>1565952.5600000003</v>
      </c>
      <c r="P314" s="410">
        <f>IF(O314&lt;=0,0,Q314/O314)</f>
        <v>0.2160886789571706</v>
      </c>
      <c r="Q314" s="281">
        <f t="shared" ref="Q314" si="90">Q309+Q312</f>
        <v>338384.61999999947</v>
      </c>
      <c r="R314" s="411">
        <f>IF(O314=0,0,(J314-O314)/O314)</f>
        <v>0.20454913397887334</v>
      </c>
      <c r="S314" s="412">
        <f>L314-Q314</f>
        <v>117715.70000000048</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0.18164961260555826</v>
      </c>
      <c r="O315" s="415"/>
      <c r="P315" s="414"/>
      <c r="Q315" s="335"/>
      <c r="R315" s="416"/>
      <c r="S315" s="287">
        <f>IF(Q314=0,0,S314/Q314)</f>
        <v>0.34787544422084155</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16884.508974358978</v>
      </c>
      <c r="G318" s="253"/>
      <c r="H318" s="41"/>
      <c r="I318" s="254"/>
      <c r="J318" s="253"/>
      <c r="K318" s="41"/>
      <c r="L318" s="256">
        <f>SUMIFS(BV_Data_An_Cour!$P:$P,BV_Data_An_Cour!$U:$U,$B318,BV_Data_An_Cour!$V:$V,$C318,BV_Data_An_Cour!$W:$W,$L$2)</f>
        <v>22295.81</v>
      </c>
      <c r="M318" s="253"/>
      <c r="N318" s="276">
        <f t="shared" ref="N318:N348" si="91">L318-F318</f>
        <v>5411.3010256410234</v>
      </c>
      <c r="O318" s="253"/>
      <c r="P318" s="41"/>
      <c r="Q318" s="256" cm="1">
        <f t="array" ref="Q318">+SUMPRODUCT(('Réel 2024'!$A$8:$A$501=$A318)*('Réel 2024'!$C$3:$AO$3=Q$2),'Réel 2024'!$C$8:$AO$501)</f>
        <v>28657.89</v>
      </c>
      <c r="R318" s="253"/>
      <c r="S318" s="256">
        <f t="shared" ref="S318:S348" si="92">L318-Q318</f>
        <v>-6362.0799999999981</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87346.097134945623</v>
      </c>
      <c r="G319" s="298"/>
      <c r="H319" s="41"/>
      <c r="I319" s="248"/>
      <c r="J319" s="253"/>
      <c r="K319" s="41"/>
      <c r="L319" s="256">
        <f>SUMIFS(BV_Data_An_Cour!$P:$P,BV_Data_An_Cour!$U:$U,$B319,BV_Data_An_Cour!$V:$V,$C319,BV_Data_An_Cour!$W:$W,$L$2)</f>
        <v>80851.429999999993</v>
      </c>
      <c r="M319" s="253"/>
      <c r="N319" s="276">
        <f t="shared" si="91"/>
        <v>-6494.6671349456301</v>
      </c>
      <c r="O319" s="253"/>
      <c r="P319" s="41"/>
      <c r="Q319" s="256" cm="1">
        <f t="array" ref="Q319">+SUMPRODUCT(('Réel 2024'!$A$8:$A$501=$A319)*('Réel 2024'!$C$3:$AO$3=Q$2),'Réel 2024'!$C$8:$AO$501)</f>
        <v>78530.34</v>
      </c>
      <c r="R319" s="253"/>
      <c r="S319" s="276">
        <f t="shared" si="92"/>
        <v>2321.0899999999965</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151.93333333333334</v>
      </c>
      <c r="G320" s="316"/>
      <c r="H320" s="315"/>
      <c r="I320" s="254"/>
      <c r="J320" s="241"/>
      <c r="K320" s="315"/>
      <c r="L320" s="272">
        <f>SUMIFS(BV_Data_An_Cour!$P:$P,BV_Data_An_Cour!$U:$U,$B320,BV_Data_An_Cour!$V:$V,$C320,BV_Data_An_Cour!$W:$W,$L$2)</f>
        <v>12977.3</v>
      </c>
      <c r="M320" s="241"/>
      <c r="N320" s="317">
        <f t="shared" si="91"/>
        <v>12825.366666666667</v>
      </c>
      <c r="O320" s="241"/>
      <c r="P320" s="315"/>
      <c r="Q320" s="272" cm="1">
        <f t="array" ref="Q320">+SUMPRODUCT(('Réel 2024'!$A$8:$A$501=$A320)*('Réel 2024'!$C$3:$AO$3=Q$2),'Réel 2024'!$C$8:$AO$501)</f>
        <v>341.76</v>
      </c>
      <c r="R320" s="241"/>
      <c r="S320" s="317">
        <f t="shared" si="92"/>
        <v>12635.539999999999</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12736.344761277869</v>
      </c>
      <c r="G325" s="298"/>
      <c r="H325" s="41"/>
      <c r="I325" s="248"/>
      <c r="J325" s="253"/>
      <c r="K325" s="41"/>
      <c r="L325" s="256">
        <f>SUMIFS(BV_Data_An_Cour!$P:$P,BV_Data_An_Cour!$U:$U,$B325,BV_Data_An_Cour!$V:$V,$C325,BV_Data_An_Cour!$W:$W,$L$2)</f>
        <v>13086.3</v>
      </c>
      <c r="M325" s="253"/>
      <c r="N325" s="276">
        <f t="shared" si="91"/>
        <v>349.95523872213016</v>
      </c>
      <c r="O325" s="253"/>
      <c r="P325" s="41"/>
      <c r="Q325" s="256" cm="1">
        <f t="array" ref="Q325">+SUMPRODUCT(('Réel 2024'!$A$8:$A$501=$A325)*('Réel 2024'!$C$3:$AO$3=Q$2),'Réel 2024'!$C$8:$AO$501)</f>
        <v>12121.24</v>
      </c>
      <c r="R325" s="253"/>
      <c r="S325" s="276">
        <f t="shared" si="92"/>
        <v>965.05999999999949</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15485.599797853267</v>
      </c>
      <c r="G326" s="316"/>
      <c r="H326" s="315"/>
      <c r="I326" s="254"/>
      <c r="J326" s="241"/>
      <c r="K326" s="315"/>
      <c r="L326" s="272">
        <f>SUMIFS(BV_Data_An_Cour!$P:$P,BV_Data_An_Cour!$U:$U,$B326,BV_Data_An_Cour!$V:$V,$C326,BV_Data_An_Cour!$W:$W,$L$2)</f>
        <v>18647.72</v>
      </c>
      <c r="M326" s="241"/>
      <c r="N326" s="317">
        <f t="shared" si="91"/>
        <v>3162.1202021467343</v>
      </c>
      <c r="O326" s="241"/>
      <c r="P326" s="315"/>
      <c r="Q326" s="272" cm="1">
        <f t="array" ref="Q326">+SUMPRODUCT(('Réel 2024'!$A$8:$A$501=$A326)*('Réel 2024'!$C$3:$AO$3=Q$2),'Réel 2024'!$C$8:$AO$501)</f>
        <v>22320.02</v>
      </c>
      <c r="R326" s="241"/>
      <c r="S326" s="317">
        <f t="shared" si="92"/>
        <v>-3672.2999999999993</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7978.4503306330953</v>
      </c>
      <c r="G327" s="298"/>
      <c r="H327" s="41"/>
      <c r="I327" s="254"/>
      <c r="J327" s="253"/>
      <c r="K327" s="41"/>
      <c r="L327" s="256">
        <f>SUMIFS(BV_Data_An_Cour!$P:$P,BV_Data_An_Cour!$U:$U,$B327,BV_Data_An_Cour!$V:$V,$C327,BV_Data_An_Cour!$W:$W,$L$2)</f>
        <v>5545.54</v>
      </c>
      <c r="M327" s="253"/>
      <c r="N327" s="276">
        <f t="shared" si="91"/>
        <v>-2432.9103306330953</v>
      </c>
      <c r="O327" s="253"/>
      <c r="P327" s="41"/>
      <c r="Q327" s="256" cm="1">
        <f t="array" ref="Q327">+SUMPRODUCT(('Réel 2024'!$A$8:$A$501=$A327)*('Réel 2024'!$C$3:$AO$3=Q$2),'Réel 2024'!$C$8:$AO$501)</f>
        <v>5317.29</v>
      </c>
      <c r="R327" s="253"/>
      <c r="S327" s="276">
        <f t="shared" si="92"/>
        <v>228.25</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3478.6492299525457</v>
      </c>
      <c r="G328" s="298"/>
      <c r="H328" s="41"/>
      <c r="I328" s="254"/>
      <c r="J328" s="253"/>
      <c r="K328" s="41"/>
      <c r="L328" s="256">
        <f>SUMIFS(BV_Data_An_Cour!$P:$P,BV_Data_An_Cour!$U:$U,$B328,BV_Data_An_Cour!$V:$V,$C328,BV_Data_An_Cour!$W:$W,$L$2)</f>
        <v>3618.81</v>
      </c>
      <c r="M328" s="253"/>
      <c r="N328" s="276">
        <f t="shared" si="91"/>
        <v>140.16077004745421</v>
      </c>
      <c r="O328" s="253"/>
      <c r="P328" s="41"/>
      <c r="Q328" s="256" cm="1">
        <f t="array" ref="Q328">+SUMPRODUCT(('Réel 2024'!$A$8:$A$501=$A328)*('Réel 2024'!$C$3:$AO$3=Q$2),'Réel 2024'!$C$8:$AO$501)</f>
        <v>3910.88</v>
      </c>
      <c r="R328" s="253"/>
      <c r="S328" s="276">
        <f t="shared" si="92"/>
        <v>-292.07000000000016</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0.37322998240343203</v>
      </c>
      <c r="F330" s="307">
        <f>+SUM(F318:F329)</f>
        <v>144061.5835623547</v>
      </c>
      <c r="G330" s="308"/>
      <c r="H330" s="306"/>
      <c r="I330" s="307"/>
      <c r="J330" s="308" t="s">
        <v>119</v>
      </c>
      <c r="K330" s="306">
        <f>L330/L$314</f>
        <v>0.34427274683780101</v>
      </c>
      <c r="L330" s="307">
        <f>+SUM(L318:L329)</f>
        <v>157022.91</v>
      </c>
      <c r="M330" s="355"/>
      <c r="N330" s="320">
        <f t="shared" si="91"/>
        <v>12961.326437645301</v>
      </c>
      <c r="O330" s="308" t="s">
        <v>119</v>
      </c>
      <c r="P330" s="306">
        <f>Q330/Q$314</f>
        <v>0.44682710461249758</v>
      </c>
      <c r="Q330" s="307">
        <f>+SUM(Q318:Q329)</f>
        <v>151199.42000000001</v>
      </c>
      <c r="R330" s="355"/>
      <c r="S330" s="320">
        <f t="shared" si="92"/>
        <v>5823.4899999999907</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14931.25</v>
      </c>
      <c r="G331" s="298"/>
      <c r="H331" s="41"/>
      <c r="I331" s="254"/>
      <c r="J331" s="253"/>
      <c r="K331" s="41"/>
      <c r="L331" s="256">
        <f>SUMIFS(BV_Data_An_Cour!$P:$P,BV_Data_An_Cour!$U:$U,$B331,BV_Data_An_Cour!$V:$V,$C331,BV_Data_An_Cour!$W:$W,$L$2)</f>
        <v>8636.94</v>
      </c>
      <c r="M331" s="253"/>
      <c r="N331" s="276">
        <f t="shared" si="91"/>
        <v>-6294.3099999999995</v>
      </c>
      <c r="O331" s="253"/>
      <c r="P331" s="41"/>
      <c r="Q331" s="256" cm="1">
        <f t="array" ref="Q331">+SUMPRODUCT(('Réel 2024'!$A$8:$A$501=$A331)*('Réel 2024'!$C$3:$AO$3=Q$2),'Réel 2024'!$C$8:$AO$501)</f>
        <v>15249.53</v>
      </c>
      <c r="R331" s="253"/>
      <c r="S331" s="276">
        <f t="shared" si="92"/>
        <v>-6612.59</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1684.577334604282</v>
      </c>
      <c r="G332" s="298"/>
      <c r="H332" s="41"/>
      <c r="I332" s="254"/>
      <c r="J332" s="253"/>
      <c r="K332" s="41"/>
      <c r="L332" s="256">
        <f>SUMIFS(BV_Data_An_Cour!$P:$P,BV_Data_An_Cour!$U:$U,$B332,BV_Data_An_Cour!$V:$V,$C332,BV_Data_An_Cour!$W:$W,$L$2)</f>
        <v>1081.76</v>
      </c>
      <c r="M332" s="253"/>
      <c r="N332" s="276">
        <f t="shared" si="91"/>
        <v>-602.817334604282</v>
      </c>
      <c r="O332" s="253"/>
      <c r="P332" s="41"/>
      <c r="Q332" s="256" cm="1">
        <f t="array" ref="Q332">+SUMPRODUCT(('Réel 2024'!$A$8:$A$501=$A332)*('Réel 2024'!$C$3:$AO$3=Q$2),'Réel 2024'!$C$8:$AO$501)</f>
        <v>6590.0599999999995</v>
      </c>
      <c r="R332" s="253"/>
      <c r="S332" s="276">
        <f t="shared" si="92"/>
        <v>-5508.2999999999993</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3792.9614666666675</v>
      </c>
      <c r="G333" s="300"/>
      <c r="H333" s="318"/>
      <c r="I333" s="248"/>
      <c r="J333" s="246"/>
      <c r="K333" s="318"/>
      <c r="L333" s="256">
        <f>SUMIFS(BV_Data_An_Cour!$P:$P,BV_Data_An_Cour!$U:$U,$B333,BV_Data_An_Cour!$V:$V,$C333,BV_Data_An_Cour!$W:$W,$L$2)</f>
        <v>4325.37</v>
      </c>
      <c r="M333" s="246"/>
      <c r="N333" s="296">
        <f t="shared" si="91"/>
        <v>532.40853333333234</v>
      </c>
      <c r="O333" s="246"/>
      <c r="P333" s="318"/>
      <c r="Q333" s="256" cm="1">
        <f t="array" ref="Q333">+SUMPRODUCT(('Réel 2024'!$A$8:$A$501=$A333)*('Réel 2024'!$C$3:$AO$3=Q$2),'Réel 2024'!$C$8:$AO$501)</f>
        <v>3695.3100000000004</v>
      </c>
      <c r="R333" s="246"/>
      <c r="S333" s="296">
        <f t="shared" si="92"/>
        <v>630.05999999999949</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21607.5</v>
      </c>
      <c r="G334" s="298"/>
      <c r="H334" s="41"/>
      <c r="I334" s="254"/>
      <c r="J334" s="253"/>
      <c r="K334" s="41"/>
      <c r="L334" s="272">
        <f>SUMIFS(BV_Data_An_Cour!$P:$P,BV_Data_An_Cour!$U:$U,$B334,BV_Data_An_Cour!$V:$V,$C334,BV_Data_An_Cour!$W:$W,$L$2)</f>
        <v>14374.57</v>
      </c>
      <c r="M334" s="253"/>
      <c r="N334" s="276">
        <f t="shared" si="91"/>
        <v>-7232.93</v>
      </c>
      <c r="O334" s="253"/>
      <c r="P334" s="41"/>
      <c r="Q334" s="272" cm="1">
        <f t="array" ref="Q334">+SUMPRODUCT(('Réel 2024'!$A$8:$A$501=$A334)*('Réel 2024'!$C$3:$AO$3=Q$2),'Réel 2024'!$C$8:$AO$501)</f>
        <v>20565.95</v>
      </c>
      <c r="R334" s="253"/>
      <c r="S334" s="276">
        <f t="shared" si="92"/>
        <v>-6191.380000000001</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3000</v>
      </c>
      <c r="G335" s="298"/>
      <c r="H335" s="41"/>
      <c r="I335" s="254"/>
      <c r="J335" s="253"/>
      <c r="K335" s="41"/>
      <c r="L335" s="256">
        <f>SUMIFS(BV_Data_An_Cour!$P:$P,BV_Data_An_Cour!$U:$U,$B335,BV_Data_An_Cour!$V:$V,$C335,BV_Data_An_Cour!$W:$W,$L$2)</f>
        <v>2371.2399999999998</v>
      </c>
      <c r="M335" s="253"/>
      <c r="N335" s="276">
        <f t="shared" si="91"/>
        <v>-628.76000000000022</v>
      </c>
      <c r="O335" s="253"/>
      <c r="P335" s="41"/>
      <c r="Q335" s="256" cm="1">
        <f t="array" ref="Q335">+SUMPRODUCT(('Réel 2024'!$A$8:$A$501=$A335)*('Réel 2024'!$C$3:$AO$3=Q$2),'Réel 2024'!$C$8:$AO$501)</f>
        <v>2456.69</v>
      </c>
      <c r="R335" s="253"/>
      <c r="S335" s="276">
        <f t="shared" si="92"/>
        <v>-85.450000000000273</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48612.423513413836</v>
      </c>
      <c r="G336" s="300"/>
      <c r="H336" s="318"/>
      <c r="I336" s="248"/>
      <c r="J336" s="246"/>
      <c r="K336" s="318"/>
      <c r="L336" s="248">
        <f>SUMIFS(BV_Data_An_Cour!$P:$P,BV_Data_An_Cour!$U:$U,$B336,BV_Data_An_Cour!$V:$V,$C336,BV_Data_An_Cour!$W:$W,$L$2)</f>
        <v>31137.21</v>
      </c>
      <c r="M336" s="246"/>
      <c r="N336" s="296">
        <f t="shared" si="91"/>
        <v>-17475.213513413837</v>
      </c>
      <c r="O336" s="246"/>
      <c r="P336" s="318"/>
      <c r="Q336" s="248" cm="1">
        <f t="array" ref="Q336">+SUMPRODUCT(('Réel 2024'!$A$8:$A$501=$A336)*('Réel 2024'!$C$3:$AO$3=Q$2),'Réel 2024'!$C$8:$AO$501)</f>
        <v>43070.75</v>
      </c>
      <c r="R336" s="246"/>
      <c r="S336" s="296">
        <f t="shared" si="92"/>
        <v>-11933.54</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150</v>
      </c>
      <c r="G338" s="298"/>
      <c r="H338" s="41"/>
      <c r="I338" s="254"/>
      <c r="J338" s="253"/>
      <c r="K338" s="41"/>
      <c r="L338" s="256">
        <f>SUMIFS(BV_Data_An_Cour!$P:$P,BV_Data_An_Cour!$U:$U,$B338,BV_Data_An_Cour!$V:$V,$C338,BV_Data_An_Cour!$W:$W,$L$2)</f>
        <v>121.2</v>
      </c>
      <c r="M338" s="253"/>
      <c r="N338" s="276">
        <f t="shared" si="91"/>
        <v>-28.799999999999997</v>
      </c>
      <c r="O338" s="253"/>
      <c r="P338" s="41"/>
      <c r="Q338" s="256" cm="1">
        <f t="array" ref="Q338">+SUMPRODUCT(('Réel 2024'!$A$8:$A$501=$A338)*('Réel 2024'!$C$3:$AO$3=Q$2),'Réel 2024'!$C$8:$AO$501)</f>
        <v>0</v>
      </c>
      <c r="R338" s="253"/>
      <c r="S338" s="276">
        <f t="shared" si="92"/>
        <v>121.2</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0</v>
      </c>
      <c r="G339" s="298"/>
      <c r="H339" s="41"/>
      <c r="I339" s="254"/>
      <c r="J339" s="253"/>
      <c r="K339" s="41"/>
      <c r="L339" s="256">
        <f>SUMIFS(BV_Data_An_Cour!$P:$P,BV_Data_An_Cour!$U:$U,$B339,BV_Data_An_Cour!$V:$V,$C339,BV_Data_An_Cour!$W:$W,$L$2)</f>
        <v>0</v>
      </c>
      <c r="M339" s="253"/>
      <c r="N339" s="276">
        <f t="shared" si="91"/>
        <v>0</v>
      </c>
      <c r="O339" s="253"/>
      <c r="P339" s="41"/>
      <c r="Q339" s="256" cm="1">
        <f t="array" ref="Q339">+SUMPRODUCT(('Réel 2024'!$A$8:$A$501=$A339)*('Réel 2024'!$C$3:$AO$3=Q$2),'Réel 2024'!$C$8:$AO$501)</f>
        <v>361.45</v>
      </c>
      <c r="R339" s="253"/>
      <c r="S339" s="276">
        <f t="shared" si="92"/>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1453.5</v>
      </c>
      <c r="G340" s="298"/>
      <c r="H340" s="41"/>
      <c r="I340" s="254"/>
      <c r="J340" s="253"/>
      <c r="K340" s="41"/>
      <c r="L340" s="256">
        <f>SUMIFS(BV_Data_An_Cour!$P:$P,BV_Data_An_Cour!$U:$U,$B340,BV_Data_An_Cour!$V:$V,$C340,BV_Data_An_Cour!$W:$W,$L$2)</f>
        <v>962.8</v>
      </c>
      <c r="M340" s="253"/>
      <c r="N340" s="276">
        <f t="shared" si="91"/>
        <v>-490.70000000000005</v>
      </c>
      <c r="O340" s="253"/>
      <c r="P340" s="41"/>
      <c r="Q340" s="256" cm="1">
        <f t="array" ref="Q340">+SUMPRODUCT(('Réel 2024'!$A$8:$A$501=$A340)*('Réel 2024'!$C$3:$AO$3=Q$2),'Réel 2024'!$C$8:$AO$501)</f>
        <v>1364.55</v>
      </c>
      <c r="R340" s="253"/>
      <c r="S340" s="276">
        <f t="shared" si="92"/>
        <v>-401.75</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341.25</v>
      </c>
      <c r="G341" s="298"/>
      <c r="H341" s="41"/>
      <c r="I341" s="254"/>
      <c r="J341" s="253"/>
      <c r="K341" s="41"/>
      <c r="L341" s="256">
        <f>SUMIFS(BV_Data_An_Cour!$P:$P,BV_Data_An_Cour!$U:$U,$B341,BV_Data_An_Cour!$V:$V,$C341,BV_Data_An_Cour!$W:$W,$L$2)</f>
        <v>441.62</v>
      </c>
      <c r="M341" s="253"/>
      <c r="N341" s="276">
        <f t="shared" si="91"/>
        <v>100.37</v>
      </c>
      <c r="O341" s="253"/>
      <c r="P341" s="41"/>
      <c r="Q341" s="256" cm="1">
        <f t="array" ref="Q341">+SUMPRODUCT(('Réel 2024'!$A$8:$A$501=$A341)*('Réel 2024'!$C$3:$AO$3=Q$2),'Réel 2024'!$C$8:$AO$501)</f>
        <v>338.74</v>
      </c>
      <c r="R341" s="253"/>
      <c r="S341" s="276">
        <f t="shared" si="92"/>
        <v>102.88</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534.1875</v>
      </c>
      <c r="G342" s="298"/>
      <c r="H342" s="41"/>
      <c r="I342" s="254"/>
      <c r="J342" s="253"/>
      <c r="K342" s="41"/>
      <c r="L342" s="256">
        <f>SUMIFS(BV_Data_An_Cour!$P:$P,BV_Data_An_Cour!$U:$U,$B342,BV_Data_An_Cour!$V:$V,$C342,BV_Data_An_Cour!$W:$W,$L$2)</f>
        <v>-1133.92</v>
      </c>
      <c r="M342" s="253"/>
      <c r="N342" s="276">
        <f t="shared" si="91"/>
        <v>-1668.1075000000001</v>
      </c>
      <c r="O342" s="253"/>
      <c r="P342" s="41"/>
      <c r="Q342" s="256" cm="1">
        <f t="array" ref="Q342">+SUMPRODUCT(('Réel 2024'!$A$8:$A$501=$A342)*('Réel 2024'!$C$3:$AO$3=Q$2),'Réel 2024'!$C$8:$AO$501)</f>
        <v>-405.74999999999994</v>
      </c>
      <c r="R342" s="253"/>
      <c r="S342" s="276">
        <f t="shared" si="92"/>
        <v>-728.17000000000007</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281.25</v>
      </c>
      <c r="G343" s="298"/>
      <c r="H343" s="41"/>
      <c r="I343" s="254"/>
      <c r="J343" s="253"/>
      <c r="K343" s="41"/>
      <c r="L343" s="256">
        <f>SUMIFS(BV_Data_An_Cour!$P:$P,BV_Data_An_Cour!$U:$U,$B343,BV_Data_An_Cour!$V:$V,$C343,BV_Data_An_Cour!$W:$W,$L$2)</f>
        <v>694.7</v>
      </c>
      <c r="M343" s="253"/>
      <c r="N343" s="276">
        <f t="shared" si="91"/>
        <v>413.45000000000005</v>
      </c>
      <c r="O343" s="253"/>
      <c r="P343" s="41"/>
      <c r="Q343" s="256" cm="1">
        <f t="array" ref="Q343">+SUMPRODUCT(('Réel 2024'!$A$8:$A$501=$A343)*('Réel 2024'!$C$3:$AO$3=Q$2),'Réel 2024'!$C$8:$AO$501)</f>
        <v>181.12</v>
      </c>
      <c r="R343" s="253"/>
      <c r="S343" s="276">
        <f t="shared" si="92"/>
        <v>513.58000000000004</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1000</v>
      </c>
      <c r="G344" s="298"/>
      <c r="H344" s="41"/>
      <c r="I344" s="254"/>
      <c r="J344" s="253"/>
      <c r="K344" s="41"/>
      <c r="L344" s="256">
        <f>SUMIFS(BV_Data_An_Cour!$P:$P,BV_Data_An_Cour!$U:$U,$B344,BV_Data_An_Cour!$V:$V,$C344,BV_Data_An_Cour!$W:$W,$L$2)</f>
        <v>1160.28</v>
      </c>
      <c r="M344" s="253"/>
      <c r="N344" s="276">
        <f t="shared" si="91"/>
        <v>160.27999999999997</v>
      </c>
      <c r="O344" s="253"/>
      <c r="P344" s="41"/>
      <c r="Q344" s="256" cm="1">
        <f t="array" ref="Q344">+SUMPRODUCT(('Réel 2024'!$A$8:$A$501=$A344)*('Réel 2024'!$C$3:$AO$3=Q$2),'Réel 2024'!$C$8:$AO$501)</f>
        <v>848.79</v>
      </c>
      <c r="R344" s="253"/>
      <c r="S344" s="276">
        <f t="shared" si="92"/>
        <v>311.49</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4230.5414018687989</v>
      </c>
      <c r="G345" s="298"/>
      <c r="H345" s="41"/>
      <c r="I345" s="254"/>
      <c r="J345" s="253"/>
      <c r="K345" s="41"/>
      <c r="L345" s="256">
        <f>SUMIFS(BV_Data_An_Cour!$P:$P,BV_Data_An_Cour!$U:$U,$B345,BV_Data_An_Cour!$V:$V,$C345,BV_Data_An_Cour!$W:$W,L$2)</f>
        <v>5949.97</v>
      </c>
      <c r="M345" s="253"/>
      <c r="N345" s="276">
        <f t="shared" si="91"/>
        <v>1719.4285981312014</v>
      </c>
      <c r="O345" s="253"/>
      <c r="P345" s="41"/>
      <c r="Q345" s="256" cm="1">
        <f t="array" ref="Q345">+SUMPRODUCT(('Réel 2024'!$A$8:$A$501=$A345)*('Réel 2024'!$C$3:$AO$3=Q$2),'Réel 2024'!$C$8:$AO$501)</f>
        <v>3871.7200000000003</v>
      </c>
      <c r="R345" s="253"/>
      <c r="S345" s="276">
        <f t="shared" si="92"/>
        <v>2078.25</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0.26327228480509257</v>
      </c>
      <c r="F349" s="307">
        <f>+SUM(F331:F348)</f>
        <v>101619.44121655359</v>
      </c>
      <c r="G349" s="308"/>
      <c r="H349" s="306"/>
      <c r="I349" s="307"/>
      <c r="J349" s="308" t="s">
        <v>119</v>
      </c>
      <c r="K349" s="306">
        <f>L349/L$314</f>
        <v>0.15374630739132128</v>
      </c>
      <c r="L349" s="307">
        <f>+SUM(L331:L348)</f>
        <v>70123.739999999991</v>
      </c>
      <c r="M349" s="311"/>
      <c r="N349" s="307">
        <f>+SUM(N331:N348)</f>
        <v>-31495.701216553589</v>
      </c>
      <c r="O349" s="308" t="s">
        <v>119</v>
      </c>
      <c r="P349" s="306">
        <f>Q349/Q$314</f>
        <v>0.2901695413934598</v>
      </c>
      <c r="Q349" s="307">
        <f>+SUM(Q331:Q348)</f>
        <v>98188.91</v>
      </c>
      <c r="R349" s="311"/>
      <c r="S349" s="307">
        <f>+SUM(S331:S348)</f>
        <v>-28065.169999999995</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0.63650226720852454</v>
      </c>
      <c r="F351" s="307">
        <f>F330+F349</f>
        <v>245681.02477890829</v>
      </c>
      <c r="G351" s="308"/>
      <c r="H351" s="306"/>
      <c r="I351" s="307"/>
      <c r="J351" s="308" t="s">
        <v>119</v>
      </c>
      <c r="K351" s="306">
        <f>L351/L$314</f>
        <v>0.49801905422912229</v>
      </c>
      <c r="L351" s="307">
        <f>L330+L349</f>
        <v>227146.65</v>
      </c>
      <c r="M351" s="311"/>
      <c r="N351" s="320">
        <f>L351-F351</f>
        <v>-18534.374778908299</v>
      </c>
      <c r="O351" s="308" t="s">
        <v>119</v>
      </c>
      <c r="P351" s="306">
        <f>Q351/Q$314</f>
        <v>0.73699664600595738</v>
      </c>
      <c r="Q351" s="307">
        <f>Q330+Q349</f>
        <v>249388.33000000002</v>
      </c>
      <c r="R351" s="311"/>
      <c r="S351" s="320">
        <f>L351-Q351</f>
        <v>-22241.680000000022</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140305.07053600549</v>
      </c>
      <c r="G353" s="361"/>
      <c r="H353" s="333"/>
      <c r="I353" s="335"/>
      <c r="J353" s="332"/>
      <c r="K353" s="334"/>
      <c r="L353" s="335">
        <f>L314-L351</f>
        <v>228953.66999999995</v>
      </c>
      <c r="M353" s="332"/>
      <c r="N353" s="335">
        <f>L353-F353</f>
        <v>88648.599463994469</v>
      </c>
      <c r="O353" s="332"/>
      <c r="P353" s="334"/>
      <c r="Q353" s="335">
        <f>Q314-Q351</f>
        <v>88996.289999999455</v>
      </c>
      <c r="R353" s="332"/>
      <c r="S353" s="335">
        <f>L353-Q353</f>
        <v>139957.3800000005</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Mars 2026</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99" t="s">
        <v>343</v>
      </c>
      <c r="E358" s="1300"/>
      <c r="F358" s="1301"/>
      <c r="G358" s="1304"/>
      <c r="H358" s="1300"/>
      <c r="I358" s="1301"/>
      <c r="J358" s="1304" t="s">
        <v>344</v>
      </c>
      <c r="K358" s="1300"/>
      <c r="L358" s="1301"/>
      <c r="M358" s="1304"/>
      <c r="N358" s="1301"/>
      <c r="O358" s="1304" t="s">
        <v>345</v>
      </c>
      <c r="P358" s="1300"/>
      <c r="Q358" s="1301"/>
      <c r="R358" s="1304" t="s">
        <v>346</v>
      </c>
      <c r="S358" s="1301"/>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319">
        <f>F353+F233+F289</f>
        <v>190068.29098626465</v>
      </c>
      <c r="L401" s="319">
        <f>L353+L233+L289</f>
        <v>316969.37999999977</v>
      </c>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890" t="str">
        <f>C1</f>
        <v>Volks</v>
      </c>
      <c r="W402" s="36"/>
      <c r="X402" s="36"/>
      <c r="Y402" s="36"/>
      <c r="Z402" s="36"/>
      <c r="AA402" s="36"/>
      <c r="AB402" s="36"/>
      <c r="AC402" s="36"/>
      <c r="AD402" s="36"/>
      <c r="AE402" s="9" t="s">
        <v>3309</v>
      </c>
      <c r="AF402" s="36"/>
      <c r="AG402" s="36"/>
      <c r="AH402" s="36"/>
      <c r="AI402" s="36"/>
      <c r="AJ402" s="898"/>
      <c r="AK402" s="899"/>
      <c r="AL402" s="900"/>
      <c r="AM402" s="900"/>
      <c r="AN402" s="900"/>
      <c r="AO402" s="902" t="str">
        <f>$S$1</f>
        <v>Réalisé AAJ, Mars 2026</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308" t="s">
        <v>600</v>
      </c>
      <c r="Y404" s="1306"/>
      <c r="Z404" s="1309"/>
      <c r="AA404" s="1305"/>
      <c r="AB404" s="1306"/>
      <c r="AC404" s="1309"/>
      <c r="AD404" s="1305" t="s">
        <v>344</v>
      </c>
      <c r="AE404" s="1306"/>
      <c r="AF404" s="1309"/>
      <c r="AG404" s="1305" t="s">
        <v>3310</v>
      </c>
      <c r="AH404" s="1306"/>
      <c r="AI404" s="1309"/>
      <c r="AJ404" s="1305" t="s">
        <v>601</v>
      </c>
      <c r="AK404" s="1306"/>
      <c r="AL404" s="1306"/>
      <c r="AM404" s="1305" t="s">
        <v>602</v>
      </c>
      <c r="AN404" s="1306"/>
      <c r="AO404" s="1307"/>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14588401.383535082</v>
      </c>
      <c r="AA406" s="440"/>
      <c r="AB406" s="440"/>
      <c r="AC406" s="441"/>
      <c r="AD406" s="442"/>
      <c r="AE406" s="443"/>
      <c r="AF406" s="443">
        <f>L5+L93+K194+K250+J314+J362</f>
        <v>14635891.469999999</v>
      </c>
      <c r="AG406" s="442"/>
      <c r="AH406" s="443"/>
      <c r="AI406" s="444"/>
      <c r="AJ406" s="442"/>
      <c r="AK406" s="443"/>
      <c r="AL406" s="443">
        <f>Q5+Q93+P194+P250+O314+O362</f>
        <v>12595857.349999979</v>
      </c>
      <c r="AM406" s="445"/>
      <c r="AN406" s="443"/>
      <c r="AO406" s="446"/>
      <c r="AP406" s="38"/>
      <c r="AQ406" s="445">
        <v>54204064.640000001</v>
      </c>
      <c r="AR406" s="620">
        <f t="shared" ref="AR406:AR407" si="99">AF406-AQ406</f>
        <v>-39568173.170000002</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2080825.1712185298</v>
      </c>
      <c r="AA407" s="448"/>
      <c r="AB407" s="448"/>
      <c r="AC407" s="449"/>
      <c r="AD407" s="475">
        <f>AF407/AF$406</f>
        <v>0.11907455542234897</v>
      </c>
      <c r="AE407" s="451"/>
      <c r="AF407" s="451">
        <f>L27+L108+L194+L250+L314+L362</f>
        <v>1742762.2699999996</v>
      </c>
      <c r="AG407" s="450"/>
      <c r="AH407" s="451">
        <f>AF407-Z407</f>
        <v>-338062.90121853026</v>
      </c>
      <c r="AI407" s="452">
        <f>AH407/Z407</f>
        <v>-0.16246578804146283</v>
      </c>
      <c r="AJ407" s="475">
        <f>+AL407/AL406</f>
        <v>0.13227992455789445</v>
      </c>
      <c r="AK407" s="451"/>
      <c r="AL407" s="451">
        <f>Q27+Q108+Q194+Q250+Q314+Q362</f>
        <v>1666179.0599999975</v>
      </c>
      <c r="AM407" s="453"/>
      <c r="AN407" s="451">
        <f>AF407-AL407</f>
        <v>76583.210000002058</v>
      </c>
      <c r="AO407" s="454">
        <f>IF(AL407=0,0,AN407/AL407)</f>
        <v>4.5963373228326478E-2</v>
      </c>
      <c r="AP407" s="94"/>
      <c r="AQ407" s="453">
        <v>7795760.1900000032</v>
      </c>
      <c r="AR407" s="621">
        <f t="shared" si="99"/>
        <v>-6052997.9200000037</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651.41607743863642</v>
      </c>
      <c r="Z409" s="457">
        <f t="shared" ref="Z409:Z418" si="101">+SUMIF($C:$C,$V409,F:F)</f>
        <v>180442.25345050229</v>
      </c>
      <c r="AA409" s="456"/>
      <c r="AB409" s="464"/>
      <c r="AC409" s="457"/>
      <c r="AD409" s="465"/>
      <c r="AE409" s="464">
        <f t="shared" ref="AE409:AE414" si="102">IF(AF409=0,0,AF409/(J$13+J$97))</f>
        <v>692.8986473429951</v>
      </c>
      <c r="AF409" s="457">
        <f t="shared" ref="AF409:AF418" si="103">+SUMIF($C:$C,$V409,L:L)</f>
        <v>143430.01999999999</v>
      </c>
      <c r="AG409" s="458">
        <f t="shared" ref="AG409:AG418" si="104">AE409-Y409</f>
        <v>41.482569904358684</v>
      </c>
      <c r="AH409" s="459">
        <f t="shared" ref="AH409:AH418" si="105">AF409-Z409</f>
        <v>-37012.233450502303</v>
      </c>
      <c r="AI409" s="460">
        <f t="shared" ref="AI409:AI418" si="106">IF(Z409=0,0,AH409/Z409)</f>
        <v>-0.20511954790375775</v>
      </c>
      <c r="AJ409" s="465"/>
      <c r="AK409" s="459">
        <f t="shared" ref="AK409:AK418" si="107">AL409/(O$13+O$97)</f>
        <v>695.16764999999998</v>
      </c>
      <c r="AL409" s="457">
        <f t="shared" ref="AL409:AL415" si="108">+SUMIF($C:$C,$V409,Q:Q)</f>
        <v>139033.53</v>
      </c>
      <c r="AM409" s="461">
        <f t="shared" ref="AM409:AM418" si="109">AE409-Y409</f>
        <v>41.482569904358684</v>
      </c>
      <c r="AN409" s="459">
        <f t="shared" ref="AN409:AN431" si="110">AF409-AL409</f>
        <v>4396.4899999999907</v>
      </c>
      <c r="AO409" s="466">
        <f t="shared" ref="AO409:AO431" si="111">IF(AL409=0,0,AN409/AL409)</f>
        <v>3.1621796555118688E-2</v>
      </c>
      <c r="AP409" s="94"/>
      <c r="AQ409" s="622">
        <v>778277.40999999992</v>
      </c>
      <c r="AR409" s="512">
        <f t="shared" ref="AR409:AR466" si="112">AF409-AQ409</f>
        <v>-634847.3899999999</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364.71869251525419</v>
      </c>
      <c r="Z410" s="441">
        <f t="shared" si="101"/>
        <v>101027.07782672541</v>
      </c>
      <c r="AA410" s="440"/>
      <c r="AB410" s="468"/>
      <c r="AC410" s="441"/>
      <c r="AD410" s="469"/>
      <c r="AE410" s="468">
        <f t="shared" si="102"/>
        <v>291.57946859903382</v>
      </c>
      <c r="AF410" s="441">
        <f t="shared" si="103"/>
        <v>60356.95</v>
      </c>
      <c r="AG410" s="442">
        <f t="shared" si="104"/>
        <v>-73.139223916220374</v>
      </c>
      <c r="AH410" s="443">
        <f t="shared" si="105"/>
        <v>-40670.127826725409</v>
      </c>
      <c r="AI410" s="470">
        <f t="shared" si="106"/>
        <v>-0.40256660592004823</v>
      </c>
      <c r="AJ410" s="469"/>
      <c r="AK410" s="443">
        <f t="shared" si="107"/>
        <v>358.97925000000004</v>
      </c>
      <c r="AL410" s="441">
        <f t="shared" si="108"/>
        <v>71795.850000000006</v>
      </c>
      <c r="AM410" s="445">
        <f t="shared" si="109"/>
        <v>-73.139223916220374</v>
      </c>
      <c r="AN410" s="443">
        <f t="shared" si="110"/>
        <v>-11438.900000000009</v>
      </c>
      <c r="AO410" s="446">
        <f t="shared" si="111"/>
        <v>-0.15932536490618898</v>
      </c>
      <c r="AP410" s="94"/>
      <c r="AQ410" s="623">
        <v>469053.9</v>
      </c>
      <c r="AR410" s="620">
        <f t="shared" si="112"/>
        <v>-408696.95</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75.115523465703973</v>
      </c>
      <c r="Z411" s="457">
        <f t="shared" si="101"/>
        <v>20807</v>
      </c>
      <c r="AA411" s="456"/>
      <c r="AB411" s="464"/>
      <c r="AC411" s="457"/>
      <c r="AD411" s="465"/>
      <c r="AE411" s="464">
        <f t="shared" si="102"/>
        <v>59.019710144927537</v>
      </c>
      <c r="AF411" s="457">
        <f t="shared" si="103"/>
        <v>12217.08</v>
      </c>
      <c r="AG411" s="458">
        <f t="shared" si="104"/>
        <v>-16.095813320776436</v>
      </c>
      <c r="AH411" s="459">
        <f t="shared" si="105"/>
        <v>-8589.92</v>
      </c>
      <c r="AI411" s="460">
        <f t="shared" si="106"/>
        <v>-0.41283798721584081</v>
      </c>
      <c r="AJ411" s="465"/>
      <c r="AK411" s="459">
        <f t="shared" si="107"/>
        <v>28.75215</v>
      </c>
      <c r="AL411" s="457">
        <f t="shared" si="108"/>
        <v>5750.43</v>
      </c>
      <c r="AM411" s="461">
        <f t="shared" si="109"/>
        <v>-16.095813320776436</v>
      </c>
      <c r="AN411" s="459">
        <f t="shared" si="110"/>
        <v>6466.65</v>
      </c>
      <c r="AO411" s="466">
        <f t="shared" si="111"/>
        <v>1.1245506857748029</v>
      </c>
      <c r="AP411" s="94"/>
      <c r="AQ411" s="622">
        <v>56454.65</v>
      </c>
      <c r="AR411" s="512">
        <f t="shared" si="112"/>
        <v>-44237.57</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26.823104693140795</v>
      </c>
      <c r="Z412" s="457">
        <f t="shared" si="101"/>
        <v>7430</v>
      </c>
      <c r="AA412" s="456"/>
      <c r="AB412" s="464"/>
      <c r="AC412" s="457"/>
      <c r="AD412" s="465"/>
      <c r="AE412" s="464">
        <f t="shared" si="102"/>
        <v>18.517198067632851</v>
      </c>
      <c r="AF412" s="457">
        <f t="shared" si="103"/>
        <v>3833.06</v>
      </c>
      <c r="AG412" s="458">
        <f t="shared" si="104"/>
        <v>-8.3059066255079443</v>
      </c>
      <c r="AH412" s="459">
        <f t="shared" si="105"/>
        <v>-3596.94</v>
      </c>
      <c r="AI412" s="460">
        <f t="shared" si="106"/>
        <v>-0.48411036339165547</v>
      </c>
      <c r="AJ412" s="465"/>
      <c r="AK412" s="459">
        <f t="shared" si="107"/>
        <v>20.916399999999999</v>
      </c>
      <c r="AL412" s="457">
        <f t="shared" si="108"/>
        <v>4183.28</v>
      </c>
      <c r="AM412" s="461">
        <f t="shared" si="109"/>
        <v>-8.3059066255079443</v>
      </c>
      <c r="AN412" s="459">
        <f t="shared" si="110"/>
        <v>-350.2199999999998</v>
      </c>
      <c r="AO412" s="466">
        <f t="shared" si="111"/>
        <v>-8.3718995620661263E-2</v>
      </c>
      <c r="AP412" s="94"/>
      <c r="AQ412" s="622">
        <v>3117.25</v>
      </c>
      <c r="AR412" s="512">
        <f t="shared" si="112"/>
        <v>715.81</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144.90974729241879</v>
      </c>
      <c r="Z413" s="441">
        <f t="shared" si="101"/>
        <v>40140</v>
      </c>
      <c r="AA413" s="440"/>
      <c r="AB413" s="468"/>
      <c r="AC413" s="441"/>
      <c r="AD413" s="469"/>
      <c r="AE413" s="468">
        <f t="shared" si="102"/>
        <v>178.76439613526568</v>
      </c>
      <c r="AF413" s="441">
        <f t="shared" si="103"/>
        <v>37004.229999999996</v>
      </c>
      <c r="AG413" s="442">
        <f t="shared" si="104"/>
        <v>33.854648842846899</v>
      </c>
      <c r="AH413" s="443">
        <f t="shared" si="105"/>
        <v>-3135.7700000000041</v>
      </c>
      <c r="AI413" s="470">
        <f t="shared" si="106"/>
        <v>-7.8120827105132143E-2</v>
      </c>
      <c r="AJ413" s="469"/>
      <c r="AK413" s="443">
        <f t="shared" si="107"/>
        <v>162.69400000000002</v>
      </c>
      <c r="AL413" s="441">
        <f t="shared" si="108"/>
        <v>32538.800000000003</v>
      </c>
      <c r="AM413" s="445">
        <f t="shared" si="109"/>
        <v>33.854648842846899</v>
      </c>
      <c r="AN413" s="443">
        <f t="shared" si="110"/>
        <v>4465.429999999993</v>
      </c>
      <c r="AO413" s="446">
        <f t="shared" si="111"/>
        <v>0.13723400985899886</v>
      </c>
      <c r="AP413" s="94"/>
      <c r="AQ413" s="623">
        <v>111419.39000000001</v>
      </c>
      <c r="AR413" s="620">
        <f t="shared" si="112"/>
        <v>-74415.160000000018</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157.48104693140795</v>
      </c>
      <c r="Z414" s="457">
        <f t="shared" si="101"/>
        <v>43622.25</v>
      </c>
      <c r="AA414" s="460"/>
      <c r="AB414" s="464"/>
      <c r="AC414" s="457"/>
      <c r="AD414" s="465"/>
      <c r="AE414" s="464">
        <f t="shared" si="102"/>
        <v>130.15521739130435</v>
      </c>
      <c r="AF414" s="457">
        <f t="shared" si="103"/>
        <v>26942.13</v>
      </c>
      <c r="AG414" s="458">
        <f t="shared" si="104"/>
        <v>-27.325829540103598</v>
      </c>
      <c r="AH414" s="459">
        <f t="shared" si="105"/>
        <v>-16680.12</v>
      </c>
      <c r="AI414" s="460">
        <f t="shared" si="106"/>
        <v>-0.38237642487492046</v>
      </c>
      <c r="AJ414" s="465"/>
      <c r="AK414" s="459">
        <f t="shared" si="107"/>
        <v>295.35220000000004</v>
      </c>
      <c r="AL414" s="457">
        <f t="shared" si="108"/>
        <v>59070.44</v>
      </c>
      <c r="AM414" s="461">
        <f t="shared" si="109"/>
        <v>-27.325829540103598</v>
      </c>
      <c r="AN414" s="459">
        <f t="shared" si="110"/>
        <v>-32128.31</v>
      </c>
      <c r="AO414" s="466">
        <f t="shared" si="111"/>
        <v>-0.54389826789846152</v>
      </c>
      <c r="AP414" s="94"/>
      <c r="AQ414" s="622">
        <v>186022.03999999998</v>
      </c>
      <c r="AR414" s="512">
        <f t="shared" si="112"/>
        <v>-159079.90999999997</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233.08265784490592</v>
      </c>
      <c r="Z415" s="457">
        <f t="shared" si="101"/>
        <v>64563.896223038944</v>
      </c>
      <c r="AA415" s="456"/>
      <c r="AB415" s="464"/>
      <c r="AC415" s="457"/>
      <c r="AD415" s="465"/>
      <c r="AE415" s="464">
        <f t="shared" ref="AE415:AE418" si="113">IF(AF415=0,0,AF415/(J$13+J$13))</f>
        <v>290.18220588235295</v>
      </c>
      <c r="AF415" s="457">
        <f t="shared" si="103"/>
        <v>78929.56</v>
      </c>
      <c r="AG415" s="458">
        <f t="shared" si="104"/>
        <v>57.099548037447022</v>
      </c>
      <c r="AH415" s="459">
        <f t="shared" si="105"/>
        <v>14365.663776961053</v>
      </c>
      <c r="AI415" s="460">
        <f t="shared" si="106"/>
        <v>0.22250304918609942</v>
      </c>
      <c r="AJ415" s="465"/>
      <c r="AK415" s="459">
        <f t="shared" si="107"/>
        <v>232.07984999999996</v>
      </c>
      <c r="AL415" s="457">
        <f t="shared" si="108"/>
        <v>46415.969999999994</v>
      </c>
      <c r="AM415" s="461">
        <f t="shared" si="109"/>
        <v>57.099548037447022</v>
      </c>
      <c r="AN415" s="459">
        <f t="shared" si="110"/>
        <v>32513.590000000004</v>
      </c>
      <c r="AO415" s="466">
        <f t="shared" si="111"/>
        <v>0.70048282950889551</v>
      </c>
      <c r="AP415" s="94"/>
      <c r="AQ415" s="622">
        <v>67811.08</v>
      </c>
      <c r="AR415" s="512">
        <f t="shared" si="112"/>
        <v>11118.479999999996</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0.22012059630749428</v>
      </c>
      <c r="Y419" s="472"/>
      <c r="Z419" s="474">
        <f>SUM(Z409:Z418)</f>
        <v>458032.47750026669</v>
      </c>
      <c r="AA419" s="473"/>
      <c r="AB419" s="472"/>
      <c r="AC419" s="474"/>
      <c r="AD419" s="475">
        <f>AF419/AF$407</f>
        <v>0.20812536296186862</v>
      </c>
      <c r="AE419" s="472"/>
      <c r="AF419" s="474">
        <f>SUM(AF409:AF418)</f>
        <v>362713.02999999997</v>
      </c>
      <c r="AG419" s="476"/>
      <c r="AH419" s="477">
        <f t="shared" ref="AH419:AH451" si="114">AF419-Z419</f>
        <v>-95319.447500266717</v>
      </c>
      <c r="AI419" s="473">
        <f>AH419/Z419</f>
        <v>-0.2081063072655393</v>
      </c>
      <c r="AJ419" s="475">
        <f>IF($AL$407=0,0,AL419/$AL$407)</f>
        <v>0.215335979555523</v>
      </c>
      <c r="AK419" s="472"/>
      <c r="AL419" s="474">
        <f>SUM(AL409:AL418)</f>
        <v>358788.3</v>
      </c>
      <c r="AM419" s="478"/>
      <c r="AN419" s="477">
        <f t="shared" si="110"/>
        <v>3924.7299999999814</v>
      </c>
      <c r="AO419" s="454">
        <f t="shared" si="111"/>
        <v>1.0938846110645139E-2</v>
      </c>
      <c r="AP419" s="94"/>
      <c r="AQ419" s="624">
        <v>1672155.7200000002</v>
      </c>
      <c r="AR419" s="625">
        <f t="shared" si="112"/>
        <v>-1309442.6900000002</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39159.759230769225</v>
      </c>
      <c r="AA420" s="456"/>
      <c r="AB420" s="456"/>
      <c r="AC420" s="457"/>
      <c r="AD420" s="465"/>
      <c r="AE420" s="464"/>
      <c r="AF420" s="457">
        <f>SUMIFS(BV_Data_An_Cour!$P:$P,BV_Data_An_Cour!$V:$V,$V420)</f>
        <v>35505.160000000003</v>
      </c>
      <c r="AG420" s="458"/>
      <c r="AH420" s="459">
        <f t="shared" si="114"/>
        <v>-3654.5992307692213</v>
      </c>
      <c r="AI420" s="460">
        <f t="shared" ref="AI420:AI432" si="115">IF(Z420=0,0,AH420/Z420)</f>
        <v>-9.3325375399593152E-2</v>
      </c>
      <c r="AJ420" s="465"/>
      <c r="AK420" s="456"/>
      <c r="AL420" s="457" cm="1">
        <f t="array" ref="AL420">+SUMPRODUCT(('Réel 2024'!$A$8:$A$501=$A420)*('Réel 2024'!$C$3:$AO$3=Z$2),'Réel 2024'!$C$8:$AO$501)</f>
        <v>43110.239999999903</v>
      </c>
      <c r="AM420" s="461"/>
      <c r="AN420" s="459">
        <f t="shared" si="110"/>
        <v>-7605.0799999998999</v>
      </c>
      <c r="AO420" s="466">
        <f t="shared" si="111"/>
        <v>-0.17641005941975543</v>
      </c>
      <c r="AP420" s="94"/>
      <c r="AQ420" s="622">
        <v>196581.69999999998</v>
      </c>
      <c r="AR420" s="512">
        <f t="shared" si="112"/>
        <v>-161076.53999999998</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144432.16025641025</v>
      </c>
      <c r="AA421" s="456"/>
      <c r="AB421" s="456"/>
      <c r="AC421" s="457"/>
      <c r="AD421" s="465"/>
      <c r="AE421" s="464"/>
      <c r="AF421" s="457">
        <f t="shared" ref="AF421:AF432" si="117">+SUMIF($C:$C,$V421,L:L)</f>
        <v>123671.79000000001</v>
      </c>
      <c r="AG421" s="458"/>
      <c r="AH421" s="459">
        <f t="shared" si="114"/>
        <v>-20760.370256410242</v>
      </c>
      <c r="AI421" s="460">
        <f t="shared" si="115"/>
        <v>-0.143737864334054</v>
      </c>
      <c r="AJ421" s="465"/>
      <c r="AK421" s="456"/>
      <c r="AL421" s="457">
        <f t="shared" ref="AL421:AL431" si="118">+SUMIF($C:$C,$V421,Q:Q)</f>
        <v>173820.80000000005</v>
      </c>
      <c r="AM421" s="461"/>
      <c r="AN421" s="459">
        <f t="shared" si="110"/>
        <v>-50149.010000000038</v>
      </c>
      <c r="AO421" s="466">
        <f t="shared" si="111"/>
        <v>-0.28850983311548462</v>
      </c>
      <c r="AP421" s="94"/>
      <c r="AQ421" s="622">
        <v>480874.87</v>
      </c>
      <c r="AR421" s="512">
        <f t="shared" si="112"/>
        <v>-357203.07999999996</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212627.96764026664</v>
      </c>
      <c r="AA422" s="440"/>
      <c r="AB422" s="440"/>
      <c r="AC422" s="441"/>
      <c r="AD422" s="469"/>
      <c r="AE422" s="468"/>
      <c r="AF422" s="441">
        <f t="shared" si="117"/>
        <v>207341.74</v>
      </c>
      <c r="AG422" s="442"/>
      <c r="AH422" s="443">
        <f t="shared" si="114"/>
        <v>-5286.2276402666466</v>
      </c>
      <c r="AI422" s="470">
        <f t="shared" si="115"/>
        <v>-2.4861393818192908E-2</v>
      </c>
      <c r="AJ422" s="469"/>
      <c r="AK422" s="440"/>
      <c r="AL422" s="441">
        <f t="shared" si="118"/>
        <v>170452.11</v>
      </c>
      <c r="AM422" s="445"/>
      <c r="AN422" s="443">
        <f t="shared" si="110"/>
        <v>36889.630000000005</v>
      </c>
      <c r="AO422" s="446">
        <f t="shared" si="111"/>
        <v>0.21642225490784484</v>
      </c>
      <c r="AP422" s="94"/>
      <c r="AQ422" s="623">
        <v>263830.23</v>
      </c>
      <c r="AR422" s="620">
        <f t="shared" si="112"/>
        <v>-56488.489999999991</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79139.589093999995</v>
      </c>
      <c r="AA423" s="456"/>
      <c r="AB423" s="456"/>
      <c r="AC423" s="457"/>
      <c r="AD423" s="465"/>
      <c r="AE423" s="464"/>
      <c r="AF423" s="457">
        <f t="shared" si="117"/>
        <v>98473.200000000012</v>
      </c>
      <c r="AG423" s="458"/>
      <c r="AH423" s="459">
        <f t="shared" si="114"/>
        <v>19333.610906000016</v>
      </c>
      <c r="AI423" s="460">
        <f t="shared" si="115"/>
        <v>0.24429759021159492</v>
      </c>
      <c r="AJ423" s="465"/>
      <c r="AK423" s="456"/>
      <c r="AL423" s="457">
        <f t="shared" si="118"/>
        <v>65590.48</v>
      </c>
      <c r="AM423" s="461"/>
      <c r="AN423" s="459">
        <f t="shared" si="110"/>
        <v>32882.720000000016</v>
      </c>
      <c r="AO423" s="466">
        <f t="shared" si="111"/>
        <v>0.50133373013888627</v>
      </c>
      <c r="AP423" s="94"/>
      <c r="AQ423" s="622">
        <v>653651.56000000006</v>
      </c>
      <c r="AR423" s="512">
        <f t="shared" si="112"/>
        <v>-555178.3600000001</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81894.810600994009</v>
      </c>
      <c r="AA424" s="456"/>
      <c r="AB424" s="456"/>
      <c r="AC424" s="457"/>
      <c r="AD424" s="465"/>
      <c r="AE424" s="464"/>
      <c r="AF424" s="457">
        <f t="shared" si="117"/>
        <v>54969.01</v>
      </c>
      <c r="AG424" s="458"/>
      <c r="AH424" s="459">
        <f t="shared" si="114"/>
        <v>-26925.800600994007</v>
      </c>
      <c r="AI424" s="460">
        <f t="shared" si="115"/>
        <v>-0.32878518679506163</v>
      </c>
      <c r="AJ424" s="465"/>
      <c r="AK424" s="456"/>
      <c r="AL424" s="457">
        <f t="shared" si="118"/>
        <v>46992.75</v>
      </c>
      <c r="AM424" s="461"/>
      <c r="AN424" s="459">
        <f t="shared" si="110"/>
        <v>7976.260000000002</v>
      </c>
      <c r="AO424" s="466">
        <f t="shared" si="111"/>
        <v>0.16973384192242424</v>
      </c>
      <c r="AP424" s="94"/>
      <c r="AQ424" s="622">
        <v>399727.32999999996</v>
      </c>
      <c r="AR424" s="512">
        <f t="shared" si="112"/>
        <v>-344758.31999999995</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121210.90554690392</v>
      </c>
      <c r="AA428" s="440"/>
      <c r="AB428" s="440"/>
      <c r="AC428" s="441"/>
      <c r="AD428" s="469"/>
      <c r="AE428" s="468"/>
      <c r="AF428" s="441">
        <f t="shared" si="117"/>
        <v>143321.39000000001</v>
      </c>
      <c r="AG428" s="442"/>
      <c r="AH428" s="443">
        <f t="shared" si="114"/>
        <v>22110.484453096098</v>
      </c>
      <c r="AI428" s="470">
        <f t="shared" si="115"/>
        <v>0.18241332620471348</v>
      </c>
      <c r="AJ428" s="469"/>
      <c r="AK428" s="440"/>
      <c r="AL428" s="441">
        <f t="shared" si="118"/>
        <v>110217.73999999999</v>
      </c>
      <c r="AM428" s="445"/>
      <c r="AN428" s="443">
        <f t="shared" si="110"/>
        <v>33103.650000000023</v>
      </c>
      <c r="AO428" s="446">
        <f t="shared" si="111"/>
        <v>0.30034774801225306</v>
      </c>
      <c r="AP428" s="94"/>
      <c r="AQ428" s="623">
        <v>484984.30000000005</v>
      </c>
      <c r="AR428" s="620">
        <f t="shared" si="112"/>
        <v>-341662.91000000003</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147375.37414513429</v>
      </c>
      <c r="AA429" s="456"/>
      <c r="AB429" s="456"/>
      <c r="AC429" s="457"/>
      <c r="AD429" s="465"/>
      <c r="AE429" s="464"/>
      <c r="AF429" s="457">
        <f t="shared" si="117"/>
        <v>153049.41</v>
      </c>
      <c r="AG429" s="458"/>
      <c r="AH429" s="459">
        <f t="shared" si="114"/>
        <v>5674.0358548657096</v>
      </c>
      <c r="AI429" s="460">
        <f t="shared" si="115"/>
        <v>3.8500569635724596E-2</v>
      </c>
      <c r="AJ429" s="465"/>
      <c r="AK429" s="456"/>
      <c r="AL429" s="457">
        <f t="shared" si="118"/>
        <v>144793.35999999999</v>
      </c>
      <c r="AM429" s="461"/>
      <c r="AN429" s="459">
        <f t="shared" si="110"/>
        <v>8256.0500000000175</v>
      </c>
      <c r="AO429" s="466">
        <f t="shared" si="111"/>
        <v>5.7019534597442995E-2</v>
      </c>
      <c r="AP429" s="94"/>
      <c r="AQ429" s="622">
        <v>452089.25</v>
      </c>
      <c r="AR429" s="512">
        <f t="shared" si="112"/>
        <v>-299039.83999999997</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75930.355809558328</v>
      </c>
      <c r="AA430" s="456"/>
      <c r="AB430" s="456"/>
      <c r="AC430" s="457"/>
      <c r="AD430" s="465"/>
      <c r="AE430" s="464"/>
      <c r="AF430" s="457">
        <f t="shared" si="117"/>
        <v>70575.049999999988</v>
      </c>
      <c r="AG430" s="458"/>
      <c r="AH430" s="459">
        <f t="shared" si="114"/>
        <v>-5355.3058095583401</v>
      </c>
      <c r="AI430" s="460">
        <f t="shared" si="115"/>
        <v>-7.052918101674692E-2</v>
      </c>
      <c r="AJ430" s="465"/>
      <c r="AK430" s="456"/>
      <c r="AL430" s="457">
        <f t="shared" si="118"/>
        <v>66146.66</v>
      </c>
      <c r="AM430" s="461"/>
      <c r="AN430" s="459">
        <f t="shared" si="110"/>
        <v>4428.3899999999849</v>
      </c>
      <c r="AO430" s="466">
        <f t="shared" si="111"/>
        <v>6.6948051496477437E-2</v>
      </c>
      <c r="AP430" s="94"/>
      <c r="AQ430" s="622">
        <v>250596.99999999997</v>
      </c>
      <c r="AR430" s="512">
        <f t="shared" si="112"/>
        <v>-180021.94999999998</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33106.062307964945</v>
      </c>
      <c r="AA431" s="456"/>
      <c r="AB431" s="456"/>
      <c r="AC431" s="457"/>
      <c r="AD431" s="465"/>
      <c r="AE431" s="464"/>
      <c r="AF431" s="457">
        <f t="shared" si="117"/>
        <v>25022.420000000002</v>
      </c>
      <c r="AG431" s="458"/>
      <c r="AH431" s="459">
        <f t="shared" si="114"/>
        <v>-8083.642307964943</v>
      </c>
      <c r="AI431" s="479">
        <f t="shared" si="115"/>
        <v>-0.24417408004515564</v>
      </c>
      <c r="AJ431" s="465"/>
      <c r="AK431" s="456"/>
      <c r="AL431" s="457">
        <f t="shared" si="118"/>
        <v>28519.260000000002</v>
      </c>
      <c r="AM431" s="461"/>
      <c r="AN431" s="459">
        <f t="shared" si="110"/>
        <v>-3496.84</v>
      </c>
      <c r="AO431" s="466">
        <f t="shared" si="111"/>
        <v>-0.12261327958719827</v>
      </c>
      <c r="AP431" s="94"/>
      <c r="AQ431" s="622">
        <v>185602.45</v>
      </c>
      <c r="AR431" s="512">
        <f t="shared" si="112"/>
        <v>-160580.03</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0.44928185104784085</v>
      </c>
      <c r="Y433" s="472"/>
      <c r="Z433" s="474">
        <f>SUM(Z420:Z432)</f>
        <v>934876.98463200149</v>
      </c>
      <c r="AA433" s="473"/>
      <c r="AB433" s="472"/>
      <c r="AC433" s="474"/>
      <c r="AD433" s="475">
        <f>AF433/AF407</f>
        <v>0.52326653250302479</v>
      </c>
      <c r="AE433" s="480"/>
      <c r="AF433" s="474">
        <f>SUM(AF420:AF432)</f>
        <v>911929.17</v>
      </c>
      <c r="AG433" s="481"/>
      <c r="AH433" s="477">
        <f t="shared" si="114"/>
        <v>-22947.814632001449</v>
      </c>
      <c r="AI433" s="473">
        <f>AH433/Z433</f>
        <v>-2.4546346748534481E-2</v>
      </c>
      <c r="AJ433" s="475">
        <f>IF($AL$407=0,0,AL433/$AL$407)</f>
        <v>0.50993522869024721</v>
      </c>
      <c r="AK433" s="472"/>
      <c r="AL433" s="474">
        <f>SUM(AL420:AL432)</f>
        <v>849643.39999999991</v>
      </c>
      <c r="AM433" s="482"/>
      <c r="AN433" s="477">
        <f t="shared" ref="AN433:AN451" si="119">AF433-AL433</f>
        <v>62285.770000000135</v>
      </c>
      <c r="AO433" s="454">
        <f t="shared" ref="AO433:AO461" si="120">IF(AL433=0,0,AN433/AL433)</f>
        <v>7.3308131387827102E-2</v>
      </c>
      <c r="AP433" s="94"/>
      <c r="AQ433" s="624">
        <v>3367938.6900000004</v>
      </c>
      <c r="AR433" s="625">
        <f t="shared" si="112"/>
        <v>-2456009.5200000005</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40840.5</v>
      </c>
      <c r="AA434" s="484"/>
      <c r="AB434" s="484"/>
      <c r="AC434" s="485"/>
      <c r="AD434" s="486"/>
      <c r="AE434" s="487"/>
      <c r="AF434" s="485">
        <f t="shared" ref="AF434:AF447" si="122">+SUMIF($C:$C,$V434,L:L)</f>
        <v>26095.519999999997</v>
      </c>
      <c r="AG434" s="486"/>
      <c r="AH434" s="488">
        <f t="shared" si="114"/>
        <v>-14744.980000000003</v>
      </c>
      <c r="AI434" s="489">
        <f t="shared" ref="AI434:AI451" si="123">IF(Z434=0,0,AH434/Z434)</f>
        <v>-0.36103818513485397</v>
      </c>
      <c r="AJ434" s="486"/>
      <c r="AK434" s="484"/>
      <c r="AL434" s="485">
        <f t="shared" ref="AL434:AL447" si="124">+SUMIF($C:$C,$V434,Q:Q)</f>
        <v>55267.149999999994</v>
      </c>
      <c r="AM434" s="490"/>
      <c r="AN434" s="488">
        <f t="shared" si="119"/>
        <v>-29171.629999999997</v>
      </c>
      <c r="AO434" s="462">
        <f t="shared" si="120"/>
        <v>-0.52782946108131146</v>
      </c>
      <c r="AP434" s="94"/>
      <c r="AQ434" s="628">
        <v>176878.05000000002</v>
      </c>
      <c r="AR434" s="506">
        <f t="shared" si="112"/>
        <v>-150782.53000000003</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13636.143488417123</v>
      </c>
      <c r="AA435" s="456"/>
      <c r="AB435" s="456"/>
      <c r="AC435" s="457"/>
      <c r="AD435" s="465"/>
      <c r="AE435" s="464"/>
      <c r="AF435" s="457">
        <f t="shared" si="122"/>
        <v>9678.1</v>
      </c>
      <c r="AG435" s="458"/>
      <c r="AH435" s="459">
        <f t="shared" si="114"/>
        <v>-3958.0434884171227</v>
      </c>
      <c r="AI435" s="460">
        <f t="shared" si="123"/>
        <v>-0.29026120851391618</v>
      </c>
      <c r="AJ435" s="465"/>
      <c r="AK435" s="456"/>
      <c r="AL435" s="457">
        <f t="shared" si="124"/>
        <v>28323.909999999989</v>
      </c>
      <c r="AM435" s="461"/>
      <c r="AN435" s="459">
        <f t="shared" si="119"/>
        <v>-18645.80999999999</v>
      </c>
      <c r="AO435" s="466">
        <f t="shared" si="120"/>
        <v>-0.65830635671416826</v>
      </c>
      <c r="AP435" s="94"/>
      <c r="AQ435" s="622">
        <v>67659.239999999991</v>
      </c>
      <c r="AR435" s="512">
        <f t="shared" si="112"/>
        <v>-57981.139999999992</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71127.793999999994</v>
      </c>
      <c r="AA436" s="440"/>
      <c r="AB436" s="440"/>
      <c r="AC436" s="441"/>
      <c r="AD436" s="469"/>
      <c r="AE436" s="468"/>
      <c r="AF436" s="441">
        <f t="shared" si="122"/>
        <v>69869.16</v>
      </c>
      <c r="AG436" s="442"/>
      <c r="AH436" s="443">
        <f t="shared" si="114"/>
        <v>-1258.6339999999909</v>
      </c>
      <c r="AI436" s="470">
        <f t="shared" si="123"/>
        <v>-1.7695389231388099E-2</v>
      </c>
      <c r="AJ436" s="469"/>
      <c r="AK436" s="440"/>
      <c r="AL436" s="441">
        <f t="shared" si="124"/>
        <v>68304.67</v>
      </c>
      <c r="AM436" s="445"/>
      <c r="AN436" s="443">
        <f t="shared" si="119"/>
        <v>1564.4900000000052</v>
      </c>
      <c r="AO436" s="446">
        <f t="shared" si="120"/>
        <v>2.2904583244454668E-2</v>
      </c>
      <c r="AP436" s="94"/>
      <c r="AQ436" s="623">
        <v>276796.59999999998</v>
      </c>
      <c r="AR436" s="620">
        <f t="shared" si="112"/>
        <v>-206927.43999999997</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81270</v>
      </c>
      <c r="AA437" s="456"/>
      <c r="AB437" s="456"/>
      <c r="AC437" s="457"/>
      <c r="AD437" s="465"/>
      <c r="AE437" s="464"/>
      <c r="AF437" s="457">
        <f t="shared" si="122"/>
        <v>66827.290000000008</v>
      </c>
      <c r="AG437" s="458"/>
      <c r="AH437" s="459">
        <f t="shared" si="114"/>
        <v>-14442.709999999992</v>
      </c>
      <c r="AI437" s="460">
        <f t="shared" si="123"/>
        <v>-0.17771268610803484</v>
      </c>
      <c r="AJ437" s="465"/>
      <c r="AK437" s="456"/>
      <c r="AL437" s="457">
        <f t="shared" si="124"/>
        <v>69627.86</v>
      </c>
      <c r="AM437" s="461"/>
      <c r="AN437" s="459">
        <f t="shared" si="119"/>
        <v>-2800.5699999999924</v>
      </c>
      <c r="AO437" s="466">
        <f t="shared" si="120"/>
        <v>-4.0221974364859012E-2</v>
      </c>
      <c r="AP437" s="94"/>
      <c r="AQ437" s="622">
        <v>239193.79</v>
      </c>
      <c r="AR437" s="512">
        <f t="shared" si="112"/>
        <v>-172366.5</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14250</v>
      </c>
      <c r="AA438" s="456"/>
      <c r="AB438" s="456"/>
      <c r="AC438" s="457"/>
      <c r="AD438" s="465"/>
      <c r="AE438" s="464"/>
      <c r="AF438" s="457">
        <f t="shared" si="122"/>
        <v>9764.0399999999991</v>
      </c>
      <c r="AG438" s="458"/>
      <c r="AH438" s="459">
        <f t="shared" si="114"/>
        <v>-4485.9600000000009</v>
      </c>
      <c r="AI438" s="460">
        <f t="shared" si="123"/>
        <v>-0.31480421052631585</v>
      </c>
      <c r="AJ438" s="465"/>
      <c r="AK438" s="456"/>
      <c r="AL438" s="457">
        <f t="shared" si="124"/>
        <v>11424.570000000002</v>
      </c>
      <c r="AM438" s="461"/>
      <c r="AN438" s="459">
        <f t="shared" si="119"/>
        <v>-1660.5300000000025</v>
      </c>
      <c r="AO438" s="466">
        <f t="shared" si="120"/>
        <v>-0.14534726471105716</v>
      </c>
      <c r="AP438" s="94"/>
      <c r="AQ438" s="622">
        <v>42486.400000000001</v>
      </c>
      <c r="AR438" s="512">
        <f t="shared" si="112"/>
        <v>-32722.36</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115754.67351341384</v>
      </c>
      <c r="AA439" s="456"/>
      <c r="AB439" s="456"/>
      <c r="AC439" s="457"/>
      <c r="AD439" s="465"/>
      <c r="AE439" s="464"/>
      <c r="AF439" s="457">
        <f t="shared" si="122"/>
        <v>106794.76999999999</v>
      </c>
      <c r="AG439" s="458"/>
      <c r="AH439" s="459">
        <f t="shared" si="114"/>
        <v>-8959.9035134138539</v>
      </c>
      <c r="AI439" s="460">
        <f t="shared" si="123"/>
        <v>-7.7404248497798797E-2</v>
      </c>
      <c r="AJ439" s="465"/>
      <c r="AK439" s="456"/>
      <c r="AL439" s="457">
        <f t="shared" si="124"/>
        <v>126758.01999999999</v>
      </c>
      <c r="AM439" s="461"/>
      <c r="AN439" s="459">
        <f t="shared" si="119"/>
        <v>-19963.25</v>
      </c>
      <c r="AO439" s="466">
        <f t="shared" si="120"/>
        <v>-0.15749102108095411</v>
      </c>
      <c r="AP439" s="94"/>
      <c r="AQ439" s="622">
        <v>240398.68</v>
      </c>
      <c r="AR439" s="512">
        <f t="shared" si="112"/>
        <v>-133603.91</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15510</v>
      </c>
      <c r="AA441" s="456"/>
      <c r="AB441" s="464"/>
      <c r="AC441" s="457"/>
      <c r="AD441" s="465"/>
      <c r="AE441" s="464"/>
      <c r="AF441" s="457">
        <f t="shared" si="122"/>
        <v>28621.74</v>
      </c>
      <c r="AG441" s="458"/>
      <c r="AH441" s="459">
        <f t="shared" si="114"/>
        <v>13111.740000000002</v>
      </c>
      <c r="AI441" s="460">
        <f t="shared" si="123"/>
        <v>0.84537330754352036</v>
      </c>
      <c r="AJ441" s="465"/>
      <c r="AK441" s="456"/>
      <c r="AL441" s="457">
        <f t="shared" si="124"/>
        <v>15769.94</v>
      </c>
      <c r="AM441" s="461"/>
      <c r="AN441" s="459">
        <f t="shared" si="119"/>
        <v>12851.800000000001</v>
      </c>
      <c r="AO441" s="466">
        <f t="shared" si="120"/>
        <v>0.81495554199952569</v>
      </c>
      <c r="AP441" s="94"/>
      <c r="AQ441" s="622">
        <v>30518.469999999998</v>
      </c>
      <c r="AR441" s="512">
        <f t="shared" si="112"/>
        <v>-1896.7299999999959</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3000</v>
      </c>
      <c r="AA442" s="456"/>
      <c r="AB442" s="456"/>
      <c r="AC442" s="457"/>
      <c r="AD442" s="465"/>
      <c r="AE442" s="464"/>
      <c r="AF442" s="457">
        <f t="shared" si="122"/>
        <v>2629.66</v>
      </c>
      <c r="AG442" s="458"/>
      <c r="AH442" s="459">
        <f t="shared" si="114"/>
        <v>-370.34000000000015</v>
      </c>
      <c r="AI442" s="479">
        <f t="shared" si="123"/>
        <v>-0.12344666666666672</v>
      </c>
      <c r="AJ442" s="465"/>
      <c r="AK442" s="456"/>
      <c r="AL442" s="457">
        <f t="shared" si="124"/>
        <v>2679.3799999999997</v>
      </c>
      <c r="AM442" s="461"/>
      <c r="AN442" s="459">
        <f t="shared" si="119"/>
        <v>-49.7199999999998</v>
      </c>
      <c r="AO442" s="466">
        <f t="shared" si="120"/>
        <v>-1.8556531734953537E-2</v>
      </c>
      <c r="AP442" s="94"/>
      <c r="AQ442" s="622">
        <v>14808.84</v>
      </c>
      <c r="AR442" s="512">
        <f t="shared" si="112"/>
        <v>-12179.18</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6910.5</v>
      </c>
      <c r="AA443" s="456"/>
      <c r="AB443" s="456"/>
      <c r="AC443" s="457"/>
      <c r="AD443" s="465"/>
      <c r="AE443" s="464"/>
      <c r="AF443" s="457">
        <f t="shared" si="122"/>
        <v>6833.4900000000007</v>
      </c>
      <c r="AG443" s="458"/>
      <c r="AH443" s="459">
        <f t="shared" si="114"/>
        <v>-77.009999999999309</v>
      </c>
      <c r="AI443" s="460">
        <f t="shared" si="123"/>
        <v>-1.1143911439114291E-2</v>
      </c>
      <c r="AJ443" s="465"/>
      <c r="AK443" s="456"/>
      <c r="AL443" s="457">
        <f t="shared" si="124"/>
        <v>6383.5</v>
      </c>
      <c r="AM443" s="461"/>
      <c r="AN443" s="459">
        <f t="shared" si="119"/>
        <v>449.99000000000069</v>
      </c>
      <c r="AO443" s="466">
        <f t="shared" si="120"/>
        <v>7.0492676431424872E-2</v>
      </c>
      <c r="AP443" s="94"/>
      <c r="AQ443" s="622">
        <v>30323.510000000002</v>
      </c>
      <c r="AR443" s="512">
        <f t="shared" si="112"/>
        <v>-23490.02</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2690.625</v>
      </c>
      <c r="AA444" s="456"/>
      <c r="AB444" s="456"/>
      <c r="AC444" s="457"/>
      <c r="AD444" s="465"/>
      <c r="AE444" s="464"/>
      <c r="AF444" s="457">
        <f t="shared" si="122"/>
        <v>2845.2</v>
      </c>
      <c r="AG444" s="458"/>
      <c r="AH444" s="459">
        <f t="shared" si="114"/>
        <v>154.57499999999982</v>
      </c>
      <c r="AI444" s="479">
        <f t="shared" si="123"/>
        <v>5.7449477351916307E-2</v>
      </c>
      <c r="AJ444" s="465"/>
      <c r="AK444" s="456"/>
      <c r="AL444" s="457">
        <f t="shared" si="124"/>
        <v>2698.13</v>
      </c>
      <c r="AM444" s="461"/>
      <c r="AN444" s="459">
        <f t="shared" si="119"/>
        <v>147.06999999999971</v>
      </c>
      <c r="AO444" s="466">
        <f t="shared" si="120"/>
        <v>5.4508122292105901E-2</v>
      </c>
      <c r="AP444" s="94"/>
      <c r="AQ444" s="622">
        <v>8588.4900000000016</v>
      </c>
      <c r="AR444" s="512">
        <f t="shared" si="112"/>
        <v>-5743.2900000000018</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2136.75</v>
      </c>
      <c r="AA445" s="456"/>
      <c r="AB445" s="456"/>
      <c r="AC445" s="457"/>
      <c r="AD445" s="465"/>
      <c r="AE445" s="464"/>
      <c r="AF445" s="457">
        <f t="shared" si="122"/>
        <v>619.38000000000011</v>
      </c>
      <c r="AG445" s="458"/>
      <c r="AH445" s="459">
        <f t="shared" si="114"/>
        <v>-1517.37</v>
      </c>
      <c r="AI445" s="460">
        <f t="shared" si="123"/>
        <v>-0.71012987012987006</v>
      </c>
      <c r="AJ445" s="465"/>
      <c r="AK445" s="456"/>
      <c r="AL445" s="457">
        <f t="shared" si="124"/>
        <v>3528.83</v>
      </c>
      <c r="AM445" s="461"/>
      <c r="AN445" s="459">
        <f t="shared" si="119"/>
        <v>-2909.45</v>
      </c>
      <c r="AO445" s="466">
        <f t="shared" si="120"/>
        <v>-0.82448006846461852</v>
      </c>
      <c r="AP445" s="94"/>
      <c r="AQ445" s="622">
        <v>3965.16</v>
      </c>
      <c r="AR445" s="512">
        <f t="shared" si="112"/>
        <v>-3345.7799999999997</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1125</v>
      </c>
      <c r="AA446" s="456"/>
      <c r="AB446" s="464"/>
      <c r="AC446" s="457"/>
      <c r="AD446" s="465"/>
      <c r="AE446" s="464"/>
      <c r="AF446" s="457">
        <f t="shared" si="122"/>
        <v>2778.83</v>
      </c>
      <c r="AG446" s="458"/>
      <c r="AH446" s="459">
        <f t="shared" si="114"/>
        <v>1653.83</v>
      </c>
      <c r="AI446" s="479">
        <f t="shared" si="123"/>
        <v>1.4700711111111111</v>
      </c>
      <c r="AJ446" s="465"/>
      <c r="AK446" s="456"/>
      <c r="AL446" s="457">
        <f t="shared" si="124"/>
        <v>724.5</v>
      </c>
      <c r="AM446" s="461"/>
      <c r="AN446" s="459">
        <f t="shared" si="119"/>
        <v>2054.33</v>
      </c>
      <c r="AO446" s="466">
        <f t="shared" si="120"/>
        <v>2.8355141476880608</v>
      </c>
      <c r="AP446" s="94"/>
      <c r="AQ446" s="622">
        <v>9676.7800000000007</v>
      </c>
      <c r="AR446" s="512">
        <f t="shared" si="112"/>
        <v>-6897.9500000000007</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13500</v>
      </c>
      <c r="AA447" s="456"/>
      <c r="AB447" s="464"/>
      <c r="AC447" s="457"/>
      <c r="AD447" s="465"/>
      <c r="AE447" s="464"/>
      <c r="AF447" s="457">
        <f t="shared" si="122"/>
        <v>15465.85</v>
      </c>
      <c r="AG447" s="458"/>
      <c r="AH447" s="958">
        <f t="shared" si="114"/>
        <v>1965.8500000000004</v>
      </c>
      <c r="AI447" s="460">
        <f t="shared" si="123"/>
        <v>0.14561851851851854</v>
      </c>
      <c r="AJ447" s="465"/>
      <c r="AK447" s="456"/>
      <c r="AL447" s="457">
        <f t="shared" si="124"/>
        <v>11146.599999999999</v>
      </c>
      <c r="AM447" s="461"/>
      <c r="AN447" s="459">
        <f t="shared" si="119"/>
        <v>4319.2500000000018</v>
      </c>
      <c r="AO447" s="466">
        <f t="shared" si="120"/>
        <v>0.38749484147632485</v>
      </c>
      <c r="AP447" s="94"/>
      <c r="AQ447" s="622">
        <v>39202.850000000006</v>
      </c>
      <c r="AR447" s="512">
        <f t="shared" si="112"/>
        <v>-23737.000000000007</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21521.506813048818</v>
      </c>
      <c r="AA448" s="456"/>
      <c r="AB448" s="464"/>
      <c r="AC448" s="457"/>
      <c r="AD448" s="465"/>
      <c r="AE448" s="464"/>
      <c r="AF448" s="441">
        <f>SUMIFS(BV_Data_An_Cour!$P:$P,BV_Data_An_Cour!$V:$V,$V448)</f>
        <v>29430.57</v>
      </c>
      <c r="AG448" s="458"/>
      <c r="AH448" s="905">
        <f t="shared" si="114"/>
        <v>7909.0631869511817</v>
      </c>
      <c r="AI448" s="460">
        <f t="shared" si="123"/>
        <v>0.36749579179817449</v>
      </c>
      <c r="AJ448" s="465"/>
      <c r="AK448" s="456"/>
      <c r="AL448" s="457" cm="1">
        <f t="array" ref="AL448">+SUMPRODUCT(('Réel 2024'!$A$8:$A$501=$A448)*('Réel 2024'!$C$3:$AO$3=Z$2),'Réel 2024'!$C$8:$AO$501)</f>
        <v>19361.45</v>
      </c>
      <c r="AM448" s="461"/>
      <c r="AN448" s="459">
        <f t="shared" si="119"/>
        <v>10069.119999999999</v>
      </c>
      <c r="AO448" s="466">
        <f t="shared" si="120"/>
        <v>0.5200602227622414</v>
      </c>
      <c r="AP448" s="94"/>
      <c r="AQ448" s="623">
        <v>99368.799999999988</v>
      </c>
      <c r="AR448" s="620">
        <f t="shared" si="112"/>
        <v>-69938.229999999981</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0.1938046013633731</v>
      </c>
      <c r="Y452" s="472"/>
      <c r="Z452" s="474">
        <f>+SUM(Z434:Z451)</f>
        <v>403273.49281487975</v>
      </c>
      <c r="AA452" s="473"/>
      <c r="AB452" s="472"/>
      <c r="AC452" s="474"/>
      <c r="AD452" s="475">
        <f>AF452/AF407</f>
        <v>0.21704256886396794</v>
      </c>
      <c r="AE452" s="472"/>
      <c r="AF452" s="474">
        <f>+SUM(AF434:AF451)</f>
        <v>378253.6</v>
      </c>
      <c r="AG452" s="481"/>
      <c r="AH452" s="955">
        <f>+SUM(AH434:AH451)</f>
        <v>-25019.892814879782</v>
      </c>
      <c r="AI452" s="473">
        <f>AH452/Z452</f>
        <v>-6.2041996959033986E-2</v>
      </c>
      <c r="AJ452" s="475">
        <f>IF($AL$407=0,0,AL452/$AL$407)</f>
        <v>0.25327320462183733</v>
      </c>
      <c r="AK452" s="473"/>
      <c r="AL452" s="474">
        <f>+SUM(AL434:AL451)</f>
        <v>421998.50999999995</v>
      </c>
      <c r="AM452" s="482"/>
      <c r="AN452" s="477">
        <f>+SUM(AN434:AN451)</f>
        <v>-43744.909999999974</v>
      </c>
      <c r="AO452" s="495">
        <f t="shared" si="120"/>
        <v>-0.10366129017848898</v>
      </c>
      <c r="AP452" s="94"/>
      <c r="AQ452" s="624">
        <v>1279865.6600000001</v>
      </c>
      <c r="AR452" s="625">
        <f t="shared" si="112"/>
        <v>-901612.06000000017</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238500</v>
      </c>
      <c r="AA453" s="456"/>
      <c r="AB453" s="464"/>
      <c r="AC453" s="457"/>
      <c r="AD453" s="465"/>
      <c r="AE453" s="464"/>
      <c r="AF453" s="457">
        <f>SUMIFS(BV_Data_An_Cour!$P:$P,BV_Data_An_Cour!$V:$V,$V453)</f>
        <v>205250</v>
      </c>
      <c r="AG453" s="458"/>
      <c r="AH453" s="459">
        <f t="shared" ref="AH453:AH461" si="126">AF453-Z453</f>
        <v>-33250</v>
      </c>
      <c r="AI453" s="460">
        <f t="shared" ref="AI453:AI461" si="127">IF(Z453=0,0,AH453/Z453)</f>
        <v>-0.13941299790356393</v>
      </c>
      <c r="AJ453" s="465"/>
      <c r="AK453" s="456"/>
      <c r="AL453" s="457" cm="1">
        <f t="array" ref="AL453">+SUMPRODUCT(('Réel 2024'!$A$8:$A$501=$A453)*('Réel 2024'!$C$3:$AO$3=Z$2),'Réel 2024'!$C$8:$AO$501)</f>
        <v>108000</v>
      </c>
      <c r="AM453" s="461"/>
      <c r="AN453" s="459">
        <f t="shared" ref="AN453:AN461" si="128">AF453-AL453</f>
        <v>97250</v>
      </c>
      <c r="AO453" s="466">
        <f t="shared" si="120"/>
        <v>0.90046296296296291</v>
      </c>
      <c r="AP453" s="94"/>
      <c r="AQ453" s="622">
        <v>312000</v>
      </c>
      <c r="AR453" s="512">
        <f t="shared" si="112"/>
        <v>-106750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48000</v>
      </c>
      <c r="AA454" s="456"/>
      <c r="AB454" s="464"/>
      <c r="AC454" s="457"/>
      <c r="AD454" s="465"/>
      <c r="AE454" s="464"/>
      <c r="AF454" s="457">
        <f>SUMIFS(BV_Data_An_Cour!$P:$P,BV_Data_An_Cour!$V:$V,$V454)</f>
        <v>49500</v>
      </c>
      <c r="AG454" s="458"/>
      <c r="AH454" s="459">
        <f t="shared" si="126"/>
        <v>1500</v>
      </c>
      <c r="AI454" s="460">
        <f t="shared" si="127"/>
        <v>3.125E-2</v>
      </c>
      <c r="AJ454" s="465"/>
      <c r="AK454" s="456"/>
      <c r="AL454" s="457" cm="1">
        <f t="array" ref="AL454">+SUMPRODUCT(('Réel 2024'!$A$8:$A$501=$A454)*('Réel 2024'!$C$3:$AO$3=Z$2),'Réel 2024'!$C$8:$AO$501)</f>
        <v>16269</v>
      </c>
      <c r="AM454" s="461"/>
      <c r="AN454" s="459">
        <f t="shared" si="128"/>
        <v>33231</v>
      </c>
      <c r="AO454" s="466">
        <f t="shared" si="120"/>
        <v>2.0425963488843815</v>
      </c>
      <c r="AP454" s="94"/>
      <c r="AQ454" s="622">
        <v>59160</v>
      </c>
      <c r="AR454" s="512">
        <f t="shared" si="112"/>
        <v>-9660</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4500</v>
      </c>
      <c r="AA455" s="440"/>
      <c r="AB455" s="468"/>
      <c r="AC455" s="441"/>
      <c r="AD455" s="469"/>
      <c r="AE455" s="468"/>
      <c r="AF455" s="441">
        <f>SUMIFS(BV_Data_An_Cour!$P:$P,BV_Data_An_Cour!$V:$V,$V455)</f>
        <v>4500</v>
      </c>
      <c r="AG455" s="442"/>
      <c r="AH455" s="443">
        <f t="shared" si="126"/>
        <v>0</v>
      </c>
      <c r="AI455" s="470">
        <f t="shared" si="127"/>
        <v>0</v>
      </c>
      <c r="AJ455" s="469"/>
      <c r="AK455" s="440"/>
      <c r="AL455" s="441" cm="1">
        <f t="array" ref="AL455">+SUMPRODUCT(('Réel 2024'!$A$8:$A$501=$A455)*('Réel 2024'!$C$3:$AO$3=Z$2),'Réel 2024'!$C$8:$AO$501)</f>
        <v>13427</v>
      </c>
      <c r="AM455" s="445"/>
      <c r="AN455" s="443">
        <f t="shared" si="128"/>
        <v>-8927</v>
      </c>
      <c r="AO455" s="446">
        <f t="shared" si="120"/>
        <v>-0.66485439785506817</v>
      </c>
      <c r="AP455" s="94"/>
      <c r="AQ455" s="623">
        <v>39360</v>
      </c>
      <c r="AR455" s="620">
        <f t="shared" si="112"/>
        <v>-34860</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13032.75</v>
      </c>
      <c r="AA457" s="440"/>
      <c r="AB457" s="468"/>
      <c r="AC457" s="441"/>
      <c r="AD457" s="469"/>
      <c r="AE457" s="468"/>
      <c r="AF457" s="441">
        <f>SUMIF(BV_Data_An_Cour!$V:$V,Print_AAD!$V457,BV_Data_An_Cour!$P:$P)</f>
        <v>11904.249999999998</v>
      </c>
      <c r="AG457" s="442"/>
      <c r="AH457" s="443">
        <f t="shared" si="126"/>
        <v>-1128.5000000000018</v>
      </c>
      <c r="AI457" s="470">
        <f t="shared" si="127"/>
        <v>-8.6589553240874098E-2</v>
      </c>
      <c r="AJ457" s="469"/>
      <c r="AK457" s="440"/>
      <c r="AL457" s="441" cm="1">
        <f t="array" ref="AL457">+SUMPRODUCT(('Réel 2024'!$A$8:$A$501=$A457)*('Réel 2024'!$C$3:$AO$3=Z$2),'Réel 2024'!$C$8:$AO$501)</f>
        <v>13032.75</v>
      </c>
      <c r="AM457" s="445"/>
      <c r="AN457" s="443">
        <f t="shared" si="128"/>
        <v>-1128.5000000000018</v>
      </c>
      <c r="AO457" s="446">
        <f t="shared" si="120"/>
        <v>-8.6589553240874098E-2</v>
      </c>
      <c r="AP457" s="94"/>
      <c r="AQ457" s="623">
        <v>51252</v>
      </c>
      <c r="AR457" s="620">
        <f t="shared" si="112"/>
        <v>-39347.75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22599.999999999996</v>
      </c>
      <c r="AA458" s="496"/>
      <c r="AB458" s="497"/>
      <c r="AC458" s="457"/>
      <c r="AD458" s="465"/>
      <c r="AE458" s="464"/>
      <c r="AF458" s="457">
        <f>SUMIFS(BV_Data_An_Cour!$P:$P,BV_Data_An_Cour!$V:$V,$V458)</f>
        <v>35219.68</v>
      </c>
      <c r="AG458" s="458"/>
      <c r="AH458" s="459">
        <f t="shared" si="126"/>
        <v>12619.680000000004</v>
      </c>
      <c r="AI458" s="460">
        <f t="shared" si="127"/>
        <v>0.55839292035398258</v>
      </c>
      <c r="AJ458" s="465"/>
      <c r="AK458" s="456"/>
      <c r="AL458" s="457" cm="1">
        <f t="array" ref="AL458">+SUMPRODUCT(('Réel 2024'!$A$8:$A$501=$A458)*('Réel 2024'!$C$3:$AO$3=Z$2),'Réel 2024'!$C$8:$AO$501)</f>
        <v>26664.050000000003</v>
      </c>
      <c r="AM458" s="461"/>
      <c r="AN458" s="459">
        <f t="shared" si="128"/>
        <v>8555.6299999999974</v>
      </c>
      <c r="AO458" s="466">
        <f t="shared" si="120"/>
        <v>0.32086761013424431</v>
      </c>
      <c r="AP458" s="94"/>
      <c r="AQ458" s="622">
        <v>28763.690000000002</v>
      </c>
      <c r="AR458" s="512">
        <f t="shared" si="112"/>
        <v>6455.989999999998</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12457.33</v>
      </c>
      <c r="AA459" s="456"/>
      <c r="AB459" s="464"/>
      <c r="AC459" s="457"/>
      <c r="AD459" s="465"/>
      <c r="AE459" s="464"/>
      <c r="AF459" s="457">
        <f>SUMIFS(BV_Data_An_Cour!$P:$P,BV_Data_An_Cour!$V:$V,$V459)</f>
        <v>52888.03</v>
      </c>
      <c r="AG459" s="458"/>
      <c r="AH459" s="459">
        <f t="shared" si="126"/>
        <v>40430.699999999997</v>
      </c>
      <c r="AI459" s="460">
        <f t="shared" si="127"/>
        <v>3.2455349581330828</v>
      </c>
      <c r="AJ459" s="465"/>
      <c r="AK459" s="456"/>
      <c r="AL459" s="457" cm="1">
        <f t="array" ref="AL459">+SUMPRODUCT(('Réel 2024'!$A$8:$A$501=$A459)*('Réel 2024'!$C$3:$AO$3=Z$2),'Réel 2024'!$C$8:$AO$501)</f>
        <v>20687.94999999999</v>
      </c>
      <c r="AM459" s="461"/>
      <c r="AN459" s="459">
        <f t="shared" si="128"/>
        <v>32200.080000000009</v>
      </c>
      <c r="AO459" s="466">
        <f t="shared" si="120"/>
        <v>1.5564654786965371</v>
      </c>
      <c r="AP459" s="94"/>
      <c r="AQ459" s="622">
        <v>73723.959999999992</v>
      </c>
      <c r="AR459" s="512">
        <f t="shared" si="112"/>
        <v>-20835.929999999993</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4093.6870222936104</v>
      </c>
      <c r="AA460" s="440"/>
      <c r="AB460" s="468"/>
      <c r="AC460" s="441"/>
      <c r="AD460" s="469"/>
      <c r="AE460" s="468"/>
      <c r="AF460" s="441">
        <f>SUMIFS(BV_Data_An_Cour!$P:$P,BV_Data_An_Cour!$V:$V,$V460)</f>
        <v>274.06</v>
      </c>
      <c r="AG460" s="442"/>
      <c r="AH460" s="443">
        <f t="shared" si="126"/>
        <v>-3819.6270222936105</v>
      </c>
      <c r="AI460" s="470">
        <f t="shared" si="127"/>
        <v>-0.93305301589801326</v>
      </c>
      <c r="AJ460" s="469"/>
      <c r="AK460" s="440"/>
      <c r="AL460" s="441" cm="1">
        <f t="array" ref="AL460">+SUMPRODUCT(('Réel 2024'!$A$8:$A$501=$A460)*('Réel 2024'!$C$3:$AO$3=Z$2),'Réel 2024'!$C$8:$AO$501)</f>
        <v>2154.33</v>
      </c>
      <c r="AM460" s="445"/>
      <c r="AN460" s="443">
        <f t="shared" si="128"/>
        <v>-1880.27</v>
      </c>
      <c r="AO460" s="446">
        <f t="shared" si="120"/>
        <v>-0.87278643476161966</v>
      </c>
      <c r="AP460" s="94"/>
      <c r="AQ460" s="623">
        <v>18683.22</v>
      </c>
      <c r="AR460" s="620">
        <f t="shared" si="112"/>
        <v>-18409.16</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3750</v>
      </c>
      <c r="AA461" s="456"/>
      <c r="AB461" s="464"/>
      <c r="AC461" s="457"/>
      <c r="AD461" s="465"/>
      <c r="AE461" s="464"/>
      <c r="AF461" s="457">
        <f>SUMIFS(BV_Data_An_Cour!$P:$P,BV_Data_An_Cour!$V:$V,$V461)</f>
        <v>991.4</v>
      </c>
      <c r="AG461" s="458"/>
      <c r="AH461" s="459">
        <f t="shared" si="126"/>
        <v>-2758.6</v>
      </c>
      <c r="AI461" s="498">
        <f t="shared" si="127"/>
        <v>-0.73562666666666665</v>
      </c>
      <c r="AJ461" s="456"/>
      <c r="AK461" s="456"/>
      <c r="AL461" s="457" cm="1">
        <f t="array" ref="AL461">+SUMPRODUCT(('Réel 2024'!$A$8:$A$501=$A461)*('Réel 2024'!$C$3:$AO$3=Z$2),'Réel 2024'!$C$8:$AO$501)</f>
        <v>3240.43</v>
      </c>
      <c r="AM461" s="461"/>
      <c r="AN461" s="459">
        <f t="shared" si="128"/>
        <v>-2249.0299999999997</v>
      </c>
      <c r="AO461" s="466">
        <f t="shared" si="120"/>
        <v>-0.69405294976284004</v>
      </c>
      <c r="AP461" s="94"/>
      <c r="AQ461" s="622">
        <v>0</v>
      </c>
      <c r="AR461" s="512">
        <f t="shared" si="112"/>
        <v>991.4</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0.16672893610717399</v>
      </c>
      <c r="Y466" s="472"/>
      <c r="Z466" s="474">
        <f>SUM(Z453:Z465)</f>
        <v>346933.76702229364</v>
      </c>
      <c r="AA466" s="473"/>
      <c r="AB466" s="472"/>
      <c r="AC466" s="474"/>
      <c r="AD466" s="475">
        <f>AF466/AF407</f>
        <v>0.20687125616966684</v>
      </c>
      <c r="AE466" s="472"/>
      <c r="AF466" s="474">
        <f>SUM(AF453:AF465)</f>
        <v>360527.42</v>
      </c>
      <c r="AG466" s="481"/>
      <c r="AH466" s="955">
        <f>SUM(AH453:AH465)</f>
        <v>13593.65297770639</v>
      </c>
      <c r="AI466" s="473">
        <f>IF(Z466=0,0,AH466/Z466)</f>
        <v>3.9182271285899004E-2</v>
      </c>
      <c r="AJ466" s="475">
        <f>IF($AL$407=0,0,AL466/$AL$407)</f>
        <v>0.12212103421825518</v>
      </c>
      <c r="AK466" s="473"/>
      <c r="AL466" s="474">
        <f>SUM(AL453:AL465)</f>
        <v>203475.50999999995</v>
      </c>
      <c r="AM466" s="482"/>
      <c r="AN466" s="477">
        <f>SUM(AN453:AN465)</f>
        <v>157051.91000000003</v>
      </c>
      <c r="AO466" s="495">
        <f t="shared" ref="AO466:AO483" si="129">IF(AL466=0,0,AN466/AL466)</f>
        <v>0.77184674460331892</v>
      </c>
      <c r="AP466" s="94"/>
      <c r="AQ466" s="624">
        <v>582942.87</v>
      </c>
      <c r="AR466" s="625">
        <f t="shared" si="112"/>
        <v>-222415.45</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1.0299359848258822</v>
      </c>
      <c r="Y468" s="472"/>
      <c r="Z468" s="474">
        <f>Z419+Z433+Z452+Z466</f>
        <v>2143116.7219694415</v>
      </c>
      <c r="AA468" s="473"/>
      <c r="AB468" s="472"/>
      <c r="AC468" s="474"/>
      <c r="AD468" s="475">
        <f>AF468/AF407</f>
        <v>1.155305720498528</v>
      </c>
      <c r="AE468" s="472"/>
      <c r="AF468" s="474">
        <f>AF419+AF433+AF452+AF466</f>
        <v>2013423.2199999997</v>
      </c>
      <c r="AG468" s="481"/>
      <c r="AH468" s="477">
        <f t="shared" si="130"/>
        <v>-129693.50196944177</v>
      </c>
      <c r="AI468" s="473">
        <f>AH468/Z468</f>
        <v>-6.0516303493847248E-2</v>
      </c>
      <c r="AJ468" s="475">
        <f>IF($AL$407=0,0,AL468/$AL$407)</f>
        <v>1.1006654470858628</v>
      </c>
      <c r="AK468" s="473"/>
      <c r="AL468" s="474">
        <f>AL419+AL433+AL452+AL466</f>
        <v>1833905.72</v>
      </c>
      <c r="AM468" s="482"/>
      <c r="AN468" s="477">
        <f t="shared" si="131"/>
        <v>179517.49999999977</v>
      </c>
      <c r="AO468" s="454">
        <f t="shared" si="129"/>
        <v>9.7888074638864078E-2</v>
      </c>
      <c r="AP468" s="94"/>
      <c r="AQ468" s="624">
        <v>6902902.9400000004</v>
      </c>
      <c r="AR468" s="625">
        <f t="shared" ref="AR468:AR481" si="132">AF468-AQ468</f>
        <v>-4889479.7200000007</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20000</v>
      </c>
      <c r="AA469" s="502"/>
      <c r="AB469" s="503"/>
      <c r="AC469" s="485"/>
      <c r="AD469" s="504"/>
      <c r="AE469" s="503"/>
      <c r="AF469" s="457">
        <f>-SUMIFS(BV_Data_An_Cour!$P:$P,BV_Data_An_Cour!$V:$V,$V469)</f>
        <v>59266.7</v>
      </c>
      <c r="AG469" s="505"/>
      <c r="AH469" s="459">
        <f t="shared" si="130"/>
        <v>39266.699999999997</v>
      </c>
      <c r="AI469" s="498">
        <f>IF(AH469=0,0,AH469/Z469)</f>
        <v>1.9633349999999998</v>
      </c>
      <c r="AJ469" s="504"/>
      <c r="AK469" s="502"/>
      <c r="AL469" s="506" cm="1">
        <f t="array" ref="AL469">+SUMPRODUCT(('Réel 2024'!$A$8:$A$501=$A469)*('Réel 2024'!$C$3:$AO$3=Z$2),'Réel 2024'!$C$8:$AO$501)</f>
        <v>70792.079999999987</v>
      </c>
      <c r="AM469" s="507"/>
      <c r="AN469" s="459">
        <f t="shared" si="131"/>
        <v>-11525.37999999999</v>
      </c>
      <c r="AO469" s="466">
        <f t="shared" si="129"/>
        <v>-0.16280606531126068</v>
      </c>
      <c r="AP469" s="94"/>
      <c r="AQ469" s="622">
        <v>275258.11</v>
      </c>
      <c r="AR469" s="512">
        <f t="shared" si="132"/>
        <v>-215991.40999999997</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231918.44160528149</v>
      </c>
      <c r="AA470" s="496"/>
      <c r="AB470" s="497"/>
      <c r="AC470" s="457"/>
      <c r="AD470" s="511"/>
      <c r="AE470" s="497"/>
      <c r="AF470" s="457">
        <f t="shared" ref="AF470:AF480" si="134">+SUMIF($C:$C,$V470,L:L)</f>
        <v>267939.84999999998</v>
      </c>
      <c r="AG470" s="510"/>
      <c r="AH470" s="459">
        <f t="shared" si="130"/>
        <v>36021.408394718484</v>
      </c>
      <c r="AI470" s="479">
        <f>IF(Z470=0,0,AH470/Z470)</f>
        <v>0.1553192930471044</v>
      </c>
      <c r="AJ470" s="511"/>
      <c r="AK470" s="496"/>
      <c r="AL470" s="512">
        <f t="shared" ref="AL470:AL476" si="135">+SUMIF($C:$C,$V470,Q:Q)</f>
        <v>199994</v>
      </c>
      <c r="AM470" s="508"/>
      <c r="AN470" s="459">
        <f t="shared" si="131"/>
        <v>67945.849999999977</v>
      </c>
      <c r="AO470" s="466">
        <f t="shared" si="129"/>
        <v>0.33973944218326541</v>
      </c>
      <c r="AP470" s="94"/>
      <c r="AQ470" s="622">
        <v>693962.92</v>
      </c>
      <c r="AR470" s="512">
        <f t="shared" si="132"/>
        <v>-426023.07000000007</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35000</v>
      </c>
      <c r="AA471" s="496"/>
      <c r="AB471" s="497"/>
      <c r="AC471" s="457"/>
      <c r="AD471" s="511"/>
      <c r="AE471" s="497"/>
      <c r="AF471" s="457">
        <f t="shared" si="134"/>
        <v>67400</v>
      </c>
      <c r="AG471" s="510"/>
      <c r="AH471" s="459">
        <f t="shared" si="130"/>
        <v>32400</v>
      </c>
      <c r="AI471" s="479">
        <f t="shared" ref="AI471:AI480" si="136">IF(AH471=0,0,AH471/Z471)</f>
        <v>0.92571428571428571</v>
      </c>
      <c r="AJ471" s="511"/>
      <c r="AK471" s="496"/>
      <c r="AL471" s="512">
        <f t="shared" si="135"/>
        <v>0</v>
      </c>
      <c r="AM471" s="508"/>
      <c r="AN471" s="459">
        <f t="shared" si="131"/>
        <v>67400</v>
      </c>
      <c r="AO471" s="466">
        <f t="shared" si="129"/>
        <v>0</v>
      </c>
      <c r="AP471" s="94"/>
      <c r="AQ471" s="622">
        <v>43300</v>
      </c>
      <c r="AR471" s="512">
        <f t="shared" si="132"/>
        <v>24100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130599.34999999999</v>
      </c>
      <c r="AA480" s="496"/>
      <c r="AB480" s="497"/>
      <c r="AC480" s="457"/>
      <c r="AD480" s="511"/>
      <c r="AE480" s="497"/>
      <c r="AF480" s="457">
        <f t="shared" si="134"/>
        <v>102029</v>
      </c>
      <c r="AG480" s="510"/>
      <c r="AH480" s="459">
        <f t="shared" si="130"/>
        <v>-28570.349999999991</v>
      </c>
      <c r="AI480" s="479">
        <f t="shared" si="136"/>
        <v>-0.21876333994005326</v>
      </c>
      <c r="AJ480" s="511"/>
      <c r="AK480" s="496"/>
      <c r="AL480" s="512" cm="1">
        <f t="array" ref="AL480">+SUMPRODUCT(('Réel 2024'!$A$8:$A$501=$A480)*('Réel 2024'!$C$3:$AO$3=Z$2),'Réel 2024'!$C$8:$AO$501)</f>
        <v>97605</v>
      </c>
      <c r="AM480" s="508"/>
      <c r="AN480" s="459">
        <f t="shared" si="131"/>
        <v>4424</v>
      </c>
      <c r="AO480" s="466">
        <f t="shared" si="129"/>
        <v>4.5325546846985296E-2</v>
      </c>
      <c r="AP480" s="94"/>
      <c r="AQ480" s="622">
        <v>331468.49</v>
      </c>
      <c r="AR480" s="512">
        <f t="shared" si="132"/>
        <v>-229439.49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0.20065010620800178</v>
      </c>
      <c r="Y481" s="493"/>
      <c r="Z481" s="474">
        <f>SUM(Z469:Z480)</f>
        <v>417517.79160528147</v>
      </c>
      <c r="AA481" s="473"/>
      <c r="AB481" s="493"/>
      <c r="AC481" s="474"/>
      <c r="AD481" s="473">
        <f>AF481/+AF407</f>
        <v>0.28497033620081763</v>
      </c>
      <c r="AE481" s="493"/>
      <c r="AF481" s="474">
        <f>SUM(AF469:AF480)</f>
        <v>496635.55</v>
      </c>
      <c r="AG481" s="481"/>
      <c r="AH481" s="477">
        <f t="shared" si="130"/>
        <v>79117.758394718519</v>
      </c>
      <c r="AI481" s="473">
        <f>AH481/Z481</f>
        <v>0.18949553764050353</v>
      </c>
      <c r="AJ481" s="514"/>
      <c r="AK481" s="515"/>
      <c r="AL481" s="474">
        <f>SUM(AL469:AL480)</f>
        <v>368391.07999999996</v>
      </c>
      <c r="AM481" s="516"/>
      <c r="AN481" s="477">
        <f t="shared" si="131"/>
        <v>128244.47000000003</v>
      </c>
      <c r="AO481" s="495">
        <f t="shared" si="129"/>
        <v>0.34812045394801644</v>
      </c>
      <c r="AP481" s="94"/>
      <c r="AQ481" s="624">
        <v>1343989.52</v>
      </c>
      <c r="AR481" s="625">
        <f t="shared" si="132"/>
        <v>-847353.97</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2.4349908637370576E-2</v>
      </c>
      <c r="Z483" s="534">
        <f>Z407-Z468+Z481</f>
        <v>355226.24085436977</v>
      </c>
      <c r="AA483" s="532"/>
      <c r="AB483" s="533"/>
      <c r="AC483" s="534"/>
      <c r="AD483" s="532" t="s">
        <v>219</v>
      </c>
      <c r="AE483" s="533">
        <f>AF483/AF406</f>
        <v>1.5439756468759865E-2</v>
      </c>
      <c r="AF483" s="535">
        <f>AF407-AF468+AF481</f>
        <v>225974.5999999998</v>
      </c>
      <c r="AG483" s="536"/>
      <c r="AH483" s="536">
        <f>AF483-Z483</f>
        <v>-129251.64085436997</v>
      </c>
      <c r="AI483" s="537">
        <f>AH483/Z483</f>
        <v>-0.36385724360762689</v>
      </c>
      <c r="AJ483" s="538" t="s">
        <v>219</v>
      </c>
      <c r="AK483" s="533">
        <f>IF($AL$406=0,0,AL483/$AL$406)</f>
        <v>1.5930985436255183E-2</v>
      </c>
      <c r="AL483" s="535">
        <f>AL407-AL468+AL481</f>
        <v>200664.41999999748</v>
      </c>
      <c r="AM483" s="539"/>
      <c r="AN483" s="535">
        <f t="shared" si="131"/>
        <v>25310.180000002321</v>
      </c>
      <c r="AO483" s="540">
        <f t="shared" si="129"/>
        <v>0.12613187729046654</v>
      </c>
      <c r="AP483" s="94"/>
      <c r="AQ483" s="539">
        <v>2236846.7700000028</v>
      </c>
      <c r="AR483" s="543">
        <f>AF483-AQ483</f>
        <v>-2010872.170000003</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Mars 2026</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8.600000000000001"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24" t="s">
        <v>3913</v>
      </c>
      <c r="W488" s="1125"/>
      <c r="X488" s="1126" t="s">
        <v>219</v>
      </c>
      <c r="Y488" s="1127">
        <f>Z488/Z406</f>
        <v>2.8775609200826953E-2</v>
      </c>
      <c r="Z488" s="1128">
        <f>Z489+Z415</f>
        <v>419790.13707740873</v>
      </c>
      <c r="AA488" s="1126"/>
      <c r="AB488" s="1127"/>
      <c r="AC488" s="534"/>
      <c r="AD488" s="1126" t="s">
        <v>219</v>
      </c>
      <c r="AE488" s="1127">
        <f>AF488/AF406</f>
        <v>2.0832633299104383E-2</v>
      </c>
      <c r="AF488" s="1128">
        <f>AF489+AF415</f>
        <v>304904.1599999998</v>
      </c>
      <c r="AG488" s="536"/>
      <c r="AH488" s="536">
        <f t="shared" ref="AH488" si="137">AF488-Z488</f>
        <v>-114885.97707740893</v>
      </c>
      <c r="AI488" s="537">
        <f>AH488/Z488</f>
        <v>-0.27367478873431489</v>
      </c>
      <c r="AJ488" s="1126" t="s">
        <v>219</v>
      </c>
      <c r="AK488" s="1127">
        <f>IF($AL$406=0,0,AL488/$AL$406)</f>
        <v>1.9616004145997883E-2</v>
      </c>
      <c r="AL488" s="1128">
        <f>AL489+AL415</f>
        <v>247080.38999999748</v>
      </c>
      <c r="AM488" s="539"/>
      <c r="AN488" s="1128">
        <f t="shared" ref="AN488" si="138">AF488-AL488</f>
        <v>57823.770000002318</v>
      </c>
      <c r="AO488" s="1129">
        <f t="shared" ref="AO488" si="139">IF(AL488=0,0,AN488/AL488)</f>
        <v>0.23402816387007852</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8.600000000000001"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2.4349908637370576E-2</v>
      </c>
      <c r="Z489" s="534">
        <f>Z483</f>
        <v>355226.24085436977</v>
      </c>
      <c r="AA489" s="532"/>
      <c r="AB489" s="533"/>
      <c r="AC489" s="534"/>
      <c r="AD489" s="532" t="s">
        <v>219</v>
      </c>
      <c r="AE489" s="533">
        <f>AF489/AF406</f>
        <v>1.5439756468759865E-2</v>
      </c>
      <c r="AF489" s="534">
        <f>AF483</f>
        <v>225974.5999999998</v>
      </c>
      <c r="AG489" s="535"/>
      <c r="AH489" s="536">
        <f>AF489-Z489</f>
        <v>-129251.64085436997</v>
      </c>
      <c r="AI489" s="537">
        <f>AH489/Z489</f>
        <v>-0.36385724360762689</v>
      </c>
      <c r="AJ489" s="532" t="s">
        <v>219</v>
      </c>
      <c r="AK489" s="533">
        <f>IF($AL$406=0,0,AL489/$AL$406)</f>
        <v>1.5930985436255183E-2</v>
      </c>
      <c r="AL489" s="543">
        <f>AL483</f>
        <v>200664.41999999748</v>
      </c>
      <c r="AM489" s="544"/>
      <c r="AN489" s="545">
        <f>AF489-AL489</f>
        <v>25310.180000002321</v>
      </c>
      <c r="AO489" s="546">
        <f>IF(AL489=0,0,AN489/AL489)</f>
        <v>0.12613187729046654</v>
      </c>
      <c r="AP489" s="94"/>
      <c r="AQ489" s="637">
        <v>2236846.7700000028</v>
      </c>
      <c r="AR489" s="543">
        <f>AF489-AQ489</f>
        <v>-2010872.170000003</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28550</v>
      </c>
      <c r="AA491" s="456"/>
      <c r="AB491" s="464"/>
      <c r="AC491" s="457"/>
      <c r="AD491" s="456"/>
      <c r="AE491" s="464"/>
      <c r="AF491" s="457">
        <f>SUMIFS(BV_Data_An_Cour!$P:$P,BV_Data_An_Cour!$V:$V,$V491)</f>
        <v>28551</v>
      </c>
      <c r="AG491" s="456"/>
      <c r="AH491" s="459">
        <f t="shared" ref="AH491:AH498" si="140">AF491-Z491</f>
        <v>1</v>
      </c>
      <c r="AI491" s="479">
        <f t="shared" ref="AI491:AI497" si="141">IF(Z491=0,0,AH491/Z491)</f>
        <v>3.5026269702276706E-5</v>
      </c>
      <c r="AJ491" s="456"/>
      <c r="AK491" s="456"/>
      <c r="AL491" s="457" cm="1">
        <f t="array" ref="AL491">+SUMPRODUCT(('Réel 2024'!$A$8:$A$501=$A491)*('Réel 2024'!$C$3:$AO$3=Z$2),'Réel 2024'!$C$8:$AO$501)</f>
        <v>127944</v>
      </c>
      <c r="AM491" s="461"/>
      <c r="AN491" s="459">
        <f t="shared" ref="AN491:AN498" si="142">AF491-AL491</f>
        <v>-99393</v>
      </c>
      <c r="AO491" s="466">
        <f t="shared" ref="AO491:AO498" si="143">IF(AL491=0,0,AN491/AL491)</f>
        <v>-0.7768476833614707</v>
      </c>
      <c r="AP491" s="94"/>
      <c r="AQ491" s="622">
        <v>51774</v>
      </c>
      <c r="AR491" s="512">
        <f t="shared" ref="AR491:AR493" si="144">AF491-AQ491</f>
        <v>-23223</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49424.05</v>
      </c>
      <c r="AG493" s="38"/>
      <c r="AH493" s="459">
        <f t="shared" si="140"/>
        <v>49424.05</v>
      </c>
      <c r="AI493" s="479">
        <f t="shared" si="141"/>
        <v>0</v>
      </c>
      <c r="AJ493" s="38"/>
      <c r="AK493" s="38"/>
      <c r="AL493" s="457" cm="1">
        <f t="array" ref="AL493">+SUMPRODUCT(('Réel 2024'!$A$8:$A$501=$A493)*('Réel 2024'!$C$3:$AO$3=Z$2),'Réel 2024'!$C$8:$AO$501)</f>
        <v>0</v>
      </c>
      <c r="AM493" s="551"/>
      <c r="AN493" s="459">
        <f t="shared" si="142"/>
        <v>49424.05</v>
      </c>
      <c r="AO493" s="466">
        <f t="shared" si="143"/>
        <v>0</v>
      </c>
      <c r="AP493" s="94"/>
      <c r="AQ493" s="622">
        <v>5121.4799999999996</v>
      </c>
      <c r="AR493" s="512">
        <f t="shared" si="144"/>
        <v>44302.570000000007</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3860</v>
      </c>
      <c r="W496" s="41"/>
      <c r="X496" s="41"/>
      <c r="Y496" s="41"/>
      <c r="Z496" s="457" cm="1">
        <f t="array" ref="Z496">+SUMPRODUCT(('Budget original'!$A$8:$A$501=$A496)*('Budget original'!$C$3:$AO$3=Z$2),'Budget original'!$C$8:$AO$501)</f>
        <v>0</v>
      </c>
      <c r="AA496" s="38"/>
      <c r="AB496" s="38"/>
      <c r="AC496" s="457"/>
      <c r="AD496" s="38"/>
      <c r="AE496" s="41"/>
      <c r="AF496" s="457">
        <f>SUMIFS(BV_Data_An_Cour!$P:$P,BV_Data_An_Cour!$V:$V,$V496)</f>
        <v>-49424.05</v>
      </c>
      <c r="AG496" s="38"/>
      <c r="AH496" s="459">
        <f t="shared" si="140"/>
        <v>-49424.05</v>
      </c>
      <c r="AI496" s="479">
        <f t="shared" si="141"/>
        <v>0</v>
      </c>
      <c r="AJ496" s="38"/>
      <c r="AK496" s="38"/>
      <c r="AL496" s="457" cm="1">
        <f t="array" ref="AL496">+SUMPRODUCT(('Réel 2024'!$A$8:$A$501=$A496)*('Réel 2024'!$C$3:$AO$3=Z$2),'Réel 2024'!$C$8:$AO$501)</f>
        <v>-3237</v>
      </c>
      <c r="AM496" s="551"/>
      <c r="AN496" s="459">
        <f t="shared" si="142"/>
        <v>-46187.05</v>
      </c>
      <c r="AO496" s="466">
        <f t="shared" si="143"/>
        <v>14.26847389558233</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2.2392874466908116E-2</v>
      </c>
      <c r="Z498" s="534">
        <f>Z489-Z491-Z492-Z493-Z497-Z496</f>
        <v>326676.24085436977</v>
      </c>
      <c r="AA498" s="532"/>
      <c r="AB498" s="533"/>
      <c r="AC498" s="534"/>
      <c r="AD498" s="532" t="s">
        <v>219</v>
      </c>
      <c r="AE498" s="533">
        <f>AF498/AF406</f>
        <v>1.3489004096858052E-2</v>
      </c>
      <c r="AF498" s="535">
        <f>AF489-AF491-AF492-AF493-AF497-AF496</f>
        <v>197423.5999999998</v>
      </c>
      <c r="AG498" s="536"/>
      <c r="AH498" s="536">
        <f t="shared" si="140"/>
        <v>-129252.64085436997</v>
      </c>
      <c r="AI498" s="537">
        <f>AH498/Z498</f>
        <v>-0.3956597532662009</v>
      </c>
      <c r="AJ498" s="538" t="s">
        <v>219</v>
      </c>
      <c r="AK498" s="533">
        <f>IF($AL$406=0,0,AL498/$AL$406)</f>
        <v>6.0303493354501676E-3</v>
      </c>
      <c r="AL498" s="535">
        <f>AL489-AL491-AL492-AL493-AL497-AL496</f>
        <v>75957.419999997481</v>
      </c>
      <c r="AM498" s="539"/>
      <c r="AN498" s="535">
        <f t="shared" si="142"/>
        <v>121466.18000000232</v>
      </c>
      <c r="AO498" s="553">
        <f t="shared" si="143"/>
        <v>1.5991351470337769</v>
      </c>
      <c r="AP498" s="94"/>
      <c r="AQ498" s="544">
        <v>2179951.2900000028</v>
      </c>
      <c r="AR498" s="639">
        <f>AF498-AQ498</f>
        <v>-1982527.690000003</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326676.24085436977</v>
      </c>
      <c r="AA500" s="38"/>
      <c r="AB500" s="38"/>
      <c r="AC500" s="94"/>
      <c r="AD500" s="38"/>
      <c r="AE500" s="903"/>
      <c r="AF500" s="903"/>
      <c r="AG500" s="903"/>
      <c r="AH500" s="903"/>
      <c r="AI500" s="38"/>
      <c r="AJ500" s="38"/>
      <c r="AK500" s="554"/>
      <c r="AL500" s="946"/>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03"/>
      <c r="AF501" s="903"/>
      <c r="AG501" s="903"/>
      <c r="AH501" s="903"/>
      <c r="AI501" s="38"/>
      <c r="AJ501" s="38"/>
      <c r="AK501" s="38"/>
      <c r="AL501" s="903"/>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03"/>
      <c r="AF502" s="903"/>
      <c r="AG502" s="903"/>
      <c r="AH502" s="903"/>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03"/>
      <c r="AF503" s="903"/>
      <c r="AG503" s="903"/>
      <c r="AH503" s="903"/>
      <c r="AI503" s="38"/>
      <c r="AJ503" s="38"/>
      <c r="AK503" s="945"/>
      <c r="AL503" s="946"/>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03"/>
      <c r="AF504" s="903"/>
      <c r="AG504" s="903"/>
      <c r="AH504" s="903"/>
      <c r="AI504" s="38"/>
      <c r="AJ504" s="38"/>
      <c r="AK504" s="945"/>
      <c r="AL504" s="946"/>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03"/>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17"/>
      <c r="AG506" s="38"/>
      <c r="AH506" s="38"/>
      <c r="AI506" s="38"/>
      <c r="AJ506" s="38"/>
      <c r="AK506" s="945"/>
      <c r="AL506" s="946"/>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03"/>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17"/>
      <c r="AG508" s="1018"/>
      <c r="AH508" s="1016"/>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03"/>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03"/>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03"/>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03"/>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03"/>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15" width="6.8984375" customWidth="1"/>
    <col min="16"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56" t="s">
        <v>180</v>
      </c>
      <c r="B2" s="1326" t="s">
        <v>682</v>
      </c>
      <c r="C2" s="1327"/>
      <c r="D2" s="1328"/>
      <c r="E2" s="3"/>
      <c r="F2" s="1326" t="s">
        <v>683</v>
      </c>
      <c r="G2" s="1327"/>
      <c r="H2" s="1328"/>
      <c r="I2" s="3"/>
      <c r="J2" s="589" t="s">
        <v>655</v>
      </c>
      <c r="K2" s="3"/>
      <c r="L2" s="589" t="s">
        <v>684</v>
      </c>
      <c r="M2" s="3"/>
      <c r="N2" s="589" t="s">
        <v>685</v>
      </c>
      <c r="O2" s="3"/>
      <c r="P2" s="1326" t="s">
        <v>686</v>
      </c>
      <c r="Q2" s="1328"/>
      <c r="R2" s="3"/>
      <c r="S2" s="3"/>
      <c r="T2" s="3"/>
      <c r="U2" s="3"/>
      <c r="V2" s="3"/>
      <c r="W2" s="3"/>
      <c r="X2" s="3"/>
      <c r="Y2" s="3"/>
      <c r="Z2" s="3"/>
    </row>
    <row r="3" spans="1:26" ht="14.4">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ht="14.4">
      <c r="A4" s="3" t="s">
        <v>182</v>
      </c>
      <c r="B4" s="565">
        <f>+Print_Mois!J295</f>
        <v>68042.28</v>
      </c>
      <c r="C4" s="590">
        <f t="shared" ref="C4:C9" si="0">D4/B4</f>
        <v>0.35528262721355014</v>
      </c>
      <c r="D4" s="565">
        <f>+Print_Mois!L295</f>
        <v>24174.239999999998</v>
      </c>
      <c r="E4" s="3"/>
      <c r="F4" s="565">
        <f>+Print_Mois!G295</f>
        <v>0</v>
      </c>
      <c r="G4" s="590" t="e">
        <f t="shared" ref="G4:G9" si="1">H4/F4</f>
        <v>#DIV/0!</v>
      </c>
      <c r="H4" s="565">
        <f>+Print_Mois!I295</f>
        <v>0</v>
      </c>
      <c r="I4" s="3"/>
      <c r="J4" s="566">
        <f t="shared" ref="J4:J11" si="2">+D4-H4</f>
        <v>24174.239999999998</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ht="14.4">
      <c r="A5" s="3" t="s">
        <v>183</v>
      </c>
      <c r="B5" s="565">
        <f>+Print_Mois!J296</f>
        <v>48150.229999999996</v>
      </c>
      <c r="C5" s="590">
        <f t="shared" si="0"/>
        <v>0.2363550496020474</v>
      </c>
      <c r="D5" s="565">
        <f>+Print_Mois!L296</f>
        <v>11380.54999999999</v>
      </c>
      <c r="E5" s="3"/>
      <c r="F5" s="565">
        <f>+Print_Mois!G296</f>
        <v>0</v>
      </c>
      <c r="G5" s="590" t="e">
        <f t="shared" si="1"/>
        <v>#DIV/0!</v>
      </c>
      <c r="H5" s="565">
        <f>+Print_Mois!I296</f>
        <v>0</v>
      </c>
      <c r="I5" s="3"/>
      <c r="J5" s="566">
        <f t="shared" si="2"/>
        <v>11380.54999999999</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ht="14.4">
      <c r="A6" s="3" t="s">
        <v>184</v>
      </c>
      <c r="B6" s="565">
        <f>+Print_Mois!J297</f>
        <v>68776.240000000005</v>
      </c>
      <c r="C6" s="590">
        <f t="shared" si="0"/>
        <v>0.23274912964128319</v>
      </c>
      <c r="D6" s="565">
        <f>+Print_Mois!L297</f>
        <v>16007.610000000008</v>
      </c>
      <c r="E6" s="3"/>
      <c r="F6" s="565">
        <f>+Print_Mois!G297</f>
        <v>0</v>
      </c>
      <c r="G6" s="590" t="e">
        <f t="shared" si="1"/>
        <v>#DIV/0!</v>
      </c>
      <c r="H6" s="565">
        <f>+Print_Mois!I297</f>
        <v>0</v>
      </c>
      <c r="I6" s="3"/>
      <c r="J6" s="566">
        <f t="shared" si="2"/>
        <v>16007.610000000008</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ht="14.4">
      <c r="A7" s="3" t="s">
        <v>185</v>
      </c>
      <c r="B7" s="565">
        <f>+Print_Mois!J298</f>
        <v>57624.72</v>
      </c>
      <c r="C7" s="590">
        <f t="shared" si="0"/>
        <v>0.27059324539884966</v>
      </c>
      <c r="D7" s="565">
        <f>+Print_Mois!L298</f>
        <v>15592.86</v>
      </c>
      <c r="E7" s="3"/>
      <c r="F7" s="565">
        <f>+Print_Mois!G298</f>
        <v>0</v>
      </c>
      <c r="G7" s="590" t="e">
        <f t="shared" si="1"/>
        <v>#DIV/0!</v>
      </c>
      <c r="H7" s="565">
        <f>+Print_Mois!I298</f>
        <v>0</v>
      </c>
      <c r="I7" s="3"/>
      <c r="J7" s="566">
        <f t="shared" si="2"/>
        <v>15592.86</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ht="14.4">
      <c r="A8" s="3" t="s">
        <v>186</v>
      </c>
      <c r="B8" s="565">
        <f>+Print_Mois!J299</f>
        <v>9302.3700000000008</v>
      </c>
      <c r="C8" s="590">
        <f t="shared" si="0"/>
        <v>0.30355920050481761</v>
      </c>
      <c r="D8" s="565">
        <f>+Print_Mois!L299</f>
        <v>2823.8200000000006</v>
      </c>
      <c r="E8" s="3"/>
      <c r="F8" s="565">
        <f>+Print_Mois!G299</f>
        <v>0</v>
      </c>
      <c r="G8" s="590" t="e">
        <f t="shared" si="1"/>
        <v>#DIV/0!</v>
      </c>
      <c r="H8" s="565">
        <f>+Print_Mois!I299</f>
        <v>0</v>
      </c>
      <c r="I8" s="3"/>
      <c r="J8" s="566">
        <f t="shared" si="2"/>
        <v>2823.8200000000006</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ht="14.4">
      <c r="A9" s="3" t="s">
        <v>187</v>
      </c>
      <c r="B9" s="565">
        <f>+Print_Mois!J300</f>
        <v>280445.62</v>
      </c>
      <c r="C9" s="590">
        <f t="shared" si="0"/>
        <v>0.15373746967415641</v>
      </c>
      <c r="D9" s="565">
        <f>+Print_Mois!L300</f>
        <v>43114.999999999993</v>
      </c>
      <c r="E9" s="3"/>
      <c r="F9" s="565">
        <f>+Print_Mois!G300</f>
        <v>0</v>
      </c>
      <c r="G9" s="590" t="e">
        <f t="shared" si="1"/>
        <v>#DIV/0!</v>
      </c>
      <c r="H9" s="565">
        <f>+Print_Mois!I300</f>
        <v>0</v>
      </c>
      <c r="I9" s="3"/>
      <c r="J9" s="566">
        <f t="shared" si="2"/>
        <v>43114.999999999993</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ht="14.4">
      <c r="A10" s="3" t="s">
        <v>188</v>
      </c>
      <c r="B10" s="565"/>
      <c r="C10" s="590"/>
      <c r="D10" s="565">
        <f>+Print_Mois!L302</f>
        <v>30491.63</v>
      </c>
      <c r="E10" s="3"/>
      <c r="F10" s="565"/>
      <c r="G10" s="590"/>
      <c r="H10" s="565">
        <f>+Print_Mois!I302</f>
        <v>0</v>
      </c>
      <c r="I10" s="3"/>
      <c r="J10" s="566">
        <f t="shared" si="2"/>
        <v>30491.63</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ht="14.4">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ht="14.4">
      <c r="A12" s="3" t="s">
        <v>190</v>
      </c>
      <c r="B12" s="591">
        <f>SUM(B4:B11)</f>
        <v>532341.46</v>
      </c>
      <c r="C12" s="592">
        <f>+D12/B12</f>
        <v>0.26972483037485001</v>
      </c>
      <c r="D12" s="591">
        <f>SUM(D4:D11)</f>
        <v>143585.71</v>
      </c>
      <c r="E12" s="3"/>
      <c r="F12" s="591">
        <f>SUM(F4:F11)</f>
        <v>0</v>
      </c>
      <c r="G12" s="592" t="e">
        <f>+H12/F12</f>
        <v>#DIV/0!</v>
      </c>
      <c r="H12" s="591">
        <f>SUM(H4:H11)</f>
        <v>0</v>
      </c>
      <c r="I12" s="3"/>
      <c r="J12" s="591">
        <f>SUM(J4:J11)</f>
        <v>143585.71</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ht="14.4">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ht="14.4">
      <c r="A14" s="3" t="s">
        <v>191</v>
      </c>
      <c r="B14" s="565">
        <f>+Print_Mois!J307</f>
        <v>39869.18</v>
      </c>
      <c r="C14" s="590">
        <f t="shared" ref="C14:C15" si="8">D14/B14</f>
        <v>0.17926528712153098</v>
      </c>
      <c r="D14" s="565">
        <f>+Print_Mois!L307</f>
        <v>7147.16</v>
      </c>
      <c r="E14" s="3"/>
      <c r="F14" s="565">
        <f>+Print_Mois!G307</f>
        <v>0</v>
      </c>
      <c r="G14" s="590" t="e">
        <f t="shared" ref="G14:G15" si="9">H14/F14</f>
        <v>#DIV/0!</v>
      </c>
      <c r="H14" s="565">
        <f>+Print_Mois!I307</f>
        <v>0</v>
      </c>
      <c r="I14" s="3"/>
      <c r="J14" s="566">
        <f t="shared" ref="J14:J15" si="10">+D14-H14</f>
        <v>7147.16</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ht="14.4">
      <c r="A15" s="3" t="s">
        <v>192</v>
      </c>
      <c r="B15" s="565">
        <f>+Print_Mois!J308</f>
        <v>17464.009999999998</v>
      </c>
      <c r="C15" s="590">
        <f t="shared" si="8"/>
        <v>0.28230343432006727</v>
      </c>
      <c r="D15" s="565">
        <f>+Print_Mois!L308</f>
        <v>4930.1499999999978</v>
      </c>
      <c r="E15" s="3"/>
      <c r="F15" s="565">
        <f>+Print_Mois!G308</f>
        <v>0</v>
      </c>
      <c r="G15" s="590" t="e">
        <f t="shared" si="9"/>
        <v>#DIV/0!</v>
      </c>
      <c r="H15" s="565">
        <f>+Print_Mois!I308</f>
        <v>0</v>
      </c>
      <c r="I15" s="3"/>
      <c r="J15" s="566">
        <f t="shared" si="10"/>
        <v>4930.1499999999978</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ht="14.4">
      <c r="A16" s="3" t="s">
        <v>193</v>
      </c>
      <c r="B16" s="593">
        <f>SUM(B14:B15)</f>
        <v>57333.19</v>
      </c>
      <c r="C16" s="594">
        <f>+D16/B16</f>
        <v>0.21065128244215955</v>
      </c>
      <c r="D16" s="593">
        <f>SUM(D14:D15)</f>
        <v>12077.309999999998</v>
      </c>
      <c r="E16" s="3"/>
      <c r="F16" s="593">
        <f>SUM(F14:F15)</f>
        <v>0</v>
      </c>
      <c r="G16" s="594" t="e">
        <f>+H16/F16</f>
        <v>#DIV/0!</v>
      </c>
      <c r="H16" s="593">
        <f>SUM(H14:H15)</f>
        <v>0</v>
      </c>
      <c r="I16" s="3"/>
      <c r="J16" s="593">
        <f>SUM(J14:J15)</f>
        <v>12077.309999999998</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ht="14.4">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ht="14.4">
      <c r="A18" s="3" t="s">
        <v>688</v>
      </c>
      <c r="B18" s="595">
        <f>+B12+B16</f>
        <v>589674.64999999991</v>
      </c>
      <c r="C18" s="596">
        <f>+D18/B18</f>
        <v>0.26398119708893714</v>
      </c>
      <c r="D18" s="595">
        <f>+D12+D16</f>
        <v>155663.01999999999</v>
      </c>
      <c r="E18" s="3"/>
      <c r="F18" s="595">
        <f>+F12+F16</f>
        <v>0</v>
      </c>
      <c r="G18" s="596" t="e">
        <f>+H18/F18</f>
        <v>#DIV/0!</v>
      </c>
      <c r="H18" s="595">
        <f>+H12+H16</f>
        <v>0</v>
      </c>
      <c r="I18" s="3"/>
      <c r="J18" s="595">
        <f>+J12+J16</f>
        <v>155663.01999999999</v>
      </c>
      <c r="K18" s="3"/>
      <c r="L18" s="595" t="e">
        <f>+L12+L16</f>
        <v>#DIV/0!</v>
      </c>
      <c r="M18" s="3"/>
      <c r="N18" s="595" t="e">
        <f>+N12+N16</f>
        <v>#DIV/0!</v>
      </c>
      <c r="O18" s="3"/>
      <c r="P18" s="596" t="e">
        <f>+B18/F18</f>
        <v>#DIV/0!</v>
      </c>
      <c r="Q18" s="596" t="e">
        <f>+D18/H18</f>
        <v>#DIV/0!</v>
      </c>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597"/>
      <c r="E20" s="126" t="s">
        <v>689</v>
      </c>
      <c r="F20" s="595">
        <f>+B18-F18</f>
        <v>589674.64999999991</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baseColWidth="10"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323" t="s">
        <v>700</v>
      </c>
      <c r="C1" s="1324"/>
      <c r="D1" s="1324"/>
      <c r="E1" s="1324"/>
      <c r="F1" s="1324"/>
      <c r="G1" s="1324"/>
      <c r="H1" s="1324"/>
      <c r="I1" s="1324"/>
      <c r="J1" s="1324"/>
      <c r="K1" s="1324"/>
      <c r="L1" s="1324"/>
      <c r="M1" s="1324"/>
      <c r="N1" s="1324"/>
      <c r="O1" s="1324"/>
      <c r="P1" s="1324"/>
      <c r="Q1" s="1324"/>
      <c r="R1" s="1324"/>
      <c r="S1" s="1324"/>
      <c r="T1" s="1325"/>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4">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4">
      <c r="A5" s="3"/>
      <c r="B5" s="231" t="s">
        <v>656</v>
      </c>
      <c r="C5" s="559">
        <f>Print_AAD!J27</f>
        <v>176</v>
      </c>
      <c r="D5" s="560">
        <f>Print_AAD!L27/Print_AAD!J27</f>
        <v>2391.2106818181815</v>
      </c>
      <c r="E5" s="561">
        <f t="shared" ref="E5:E6" si="0">+C5*D5</f>
        <v>420853.07999999996</v>
      </c>
      <c r="F5" s="3"/>
      <c r="G5" s="231" t="s">
        <v>656</v>
      </c>
      <c r="H5" s="559">
        <f>Print_AAD!J108</f>
        <v>142</v>
      </c>
      <c r="I5" s="560">
        <f>Print_AAD!L108/Print_AAD!J108</f>
        <v>1381.8129577464788</v>
      </c>
      <c r="J5" s="561">
        <f t="shared" ref="J5:J6" si="1">+H5*I5</f>
        <v>196217.44</v>
      </c>
      <c r="K5" s="3"/>
      <c r="L5" s="231" t="s">
        <v>656</v>
      </c>
      <c r="M5" s="560">
        <f>Print_AAD!K194</f>
        <v>877518.50999999989</v>
      </c>
      <c r="N5" s="562">
        <f t="shared" ref="N5:N6" si="2">O5/M5</f>
        <v>0.7117852704896217</v>
      </c>
      <c r="O5" s="560">
        <f>Print_AAD!L194</f>
        <v>624604.74999999977</v>
      </c>
      <c r="P5" s="3"/>
      <c r="Q5" s="231" t="s">
        <v>656</v>
      </c>
      <c r="R5" s="563">
        <f>Print_AAD!J185</f>
        <v>2320</v>
      </c>
      <c r="S5" s="560">
        <f>Print_AAD!K185/Print_AAD!J185</f>
        <v>354.87189224137927</v>
      </c>
      <c r="T5" s="561">
        <f t="shared" ref="T5:T6" si="3">+R5*S5</f>
        <v>823302.78999999992</v>
      </c>
      <c r="U5" s="3"/>
      <c r="V5" s="3"/>
      <c r="W5" s="3"/>
      <c r="X5" s="3"/>
      <c r="Y5" s="3"/>
      <c r="Z5" s="3"/>
    </row>
    <row r="6" spans="1:26" ht="14.4">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ht="14.4">
      <c r="A7" s="3"/>
      <c r="B7" s="133" t="s">
        <v>655</v>
      </c>
      <c r="C7" s="569">
        <f t="shared" ref="C7:E7" si="4">+C5-C6</f>
        <v>176</v>
      </c>
      <c r="D7" s="570" t="e">
        <f t="shared" si="4"/>
        <v>#DIV/0!</v>
      </c>
      <c r="E7" s="571" t="e">
        <f t="shared" si="4"/>
        <v>#DIV/0!</v>
      </c>
      <c r="F7" s="3"/>
      <c r="G7" s="133" t="s">
        <v>655</v>
      </c>
      <c r="H7" s="569">
        <f t="shared" ref="H7:J7" si="5">+H5-H6</f>
        <v>142</v>
      </c>
      <c r="I7" s="570" t="e">
        <f t="shared" si="5"/>
        <v>#DIV/0!</v>
      </c>
      <c r="J7" s="571" t="e">
        <f t="shared" si="5"/>
        <v>#DIV/0!</v>
      </c>
      <c r="K7" s="3"/>
      <c r="L7" s="133" t="s">
        <v>655</v>
      </c>
      <c r="M7" s="570">
        <f t="shared" ref="M7:O7" si="6">+M5-M6</f>
        <v>877518.50999999989</v>
      </c>
      <c r="N7" s="572" t="e">
        <f t="shared" si="6"/>
        <v>#DIV/0!</v>
      </c>
      <c r="O7" s="571">
        <f t="shared" si="6"/>
        <v>624604.74999999977</v>
      </c>
      <c r="P7" s="3"/>
      <c r="Q7" s="133" t="s">
        <v>655</v>
      </c>
      <c r="R7" s="573">
        <f t="shared" ref="R7:T7" si="7">+R5-R6</f>
        <v>2320</v>
      </c>
      <c r="S7" s="570" t="e">
        <f t="shared" si="7"/>
        <v>#DIV/0!</v>
      </c>
      <c r="T7" s="574" t="e">
        <f t="shared" si="7"/>
        <v>#DIV/0!</v>
      </c>
      <c r="U7" s="3"/>
      <c r="V7" s="3"/>
      <c r="W7" s="3"/>
      <c r="X7" s="3"/>
      <c r="Y7" s="3"/>
      <c r="Z7" s="3"/>
    </row>
    <row r="8" spans="1:26" ht="14.4">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4">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4">
      <c r="A10" s="3"/>
      <c r="B10" s="133" t="s">
        <v>701</v>
      </c>
      <c r="C10" s="577">
        <f t="shared" ref="C10:D10" si="12">+C5</f>
        <v>176</v>
      </c>
      <c r="D10" s="561">
        <f t="shared" si="12"/>
        <v>2391.2106818181815</v>
      </c>
      <c r="E10" s="566">
        <f>+C10*D10</f>
        <v>420853.07999999996</v>
      </c>
      <c r="F10" s="3"/>
      <c r="G10" s="133" t="s">
        <v>702</v>
      </c>
      <c r="H10" s="577">
        <f t="shared" ref="H10:I10" si="13">+H5</f>
        <v>142</v>
      </c>
      <c r="I10" s="561">
        <f t="shared" si="13"/>
        <v>1381.8129577464788</v>
      </c>
      <c r="J10" s="566">
        <f>+H10*I10</f>
        <v>196217.44</v>
      </c>
      <c r="K10" s="3"/>
      <c r="L10" s="133" t="s">
        <v>703</v>
      </c>
      <c r="M10" s="561">
        <f t="shared" ref="M10:N10" si="14">+M5</f>
        <v>877518.50999999989</v>
      </c>
      <c r="N10" s="562">
        <f t="shared" si="14"/>
        <v>0.7117852704896217</v>
      </c>
      <c r="O10" s="566">
        <f>+M10*N10</f>
        <v>624604.74999999977</v>
      </c>
      <c r="P10" s="3"/>
      <c r="Q10" s="133" t="s">
        <v>704</v>
      </c>
      <c r="R10" s="578">
        <f t="shared" ref="R10:S10" si="15">+R5</f>
        <v>2320</v>
      </c>
      <c r="S10" s="561">
        <f t="shared" si="15"/>
        <v>354.87189224137927</v>
      </c>
      <c r="T10" s="566">
        <f>+R10*S10</f>
        <v>823302.78999999992</v>
      </c>
      <c r="U10" s="3"/>
      <c r="V10" s="3"/>
      <c r="W10" s="3"/>
      <c r="X10" s="3"/>
      <c r="Y10" s="3"/>
      <c r="Z10" s="3"/>
    </row>
    <row r="11" spans="1:26" ht="14.4">
      <c r="A11" s="3"/>
      <c r="B11" s="133" t="s">
        <v>663</v>
      </c>
      <c r="C11" s="577">
        <f>+C5</f>
        <v>176</v>
      </c>
      <c r="D11" s="566" t="e">
        <f>+D6</f>
        <v>#DIV/0!</v>
      </c>
      <c r="E11" s="566" t="e">
        <f>C11*D11</f>
        <v>#DIV/0!</v>
      </c>
      <c r="F11" s="3"/>
      <c r="G11" s="133" t="s">
        <v>663</v>
      </c>
      <c r="H11" s="577">
        <f>+H5</f>
        <v>142</v>
      </c>
      <c r="I11" s="566" t="e">
        <f>+I6</f>
        <v>#DIV/0!</v>
      </c>
      <c r="J11" s="566" t="e">
        <f>H11*I11</f>
        <v>#DIV/0!</v>
      </c>
      <c r="K11" s="3"/>
      <c r="L11" s="133" t="s">
        <v>663</v>
      </c>
      <c r="M11" s="561">
        <f>+M5</f>
        <v>877518.50999999989</v>
      </c>
      <c r="N11" s="567" t="e">
        <f>+N6</f>
        <v>#DIV/0!</v>
      </c>
      <c r="O11" s="566" t="e">
        <f>M11*N11</f>
        <v>#DIV/0!</v>
      </c>
      <c r="P11" s="3"/>
      <c r="Q11" s="133" t="s">
        <v>664</v>
      </c>
      <c r="R11" s="578">
        <f>+R5</f>
        <v>2320</v>
      </c>
      <c r="S11" s="566" t="e">
        <f>+S6</f>
        <v>#DIV/0!</v>
      </c>
      <c r="T11" s="566" t="e">
        <f>R11*S11</f>
        <v>#DIV/0!</v>
      </c>
      <c r="U11" s="3"/>
      <c r="V11" s="3"/>
      <c r="W11" s="3"/>
      <c r="X11" s="3"/>
      <c r="Y11" s="3"/>
      <c r="Z11" s="3"/>
    </row>
    <row r="12" spans="1:26" ht="14.4">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4">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4">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4">
      <c r="A15" s="3"/>
      <c r="B15" s="133" t="s">
        <v>705</v>
      </c>
      <c r="C15" s="577">
        <f t="shared" ref="C15:C16" si="20">+C5</f>
        <v>176</v>
      </c>
      <c r="D15" s="566" t="e">
        <f>+D6</f>
        <v>#DIV/0!</v>
      </c>
      <c r="E15" s="566" t="e">
        <f>+C15*D15</f>
        <v>#DIV/0!</v>
      </c>
      <c r="F15" s="3"/>
      <c r="G15" s="133" t="s">
        <v>706</v>
      </c>
      <c r="H15" s="577">
        <f t="shared" ref="H15:H16" si="21">+H5</f>
        <v>142</v>
      </c>
      <c r="I15" s="566" t="e">
        <f>+I6</f>
        <v>#DIV/0!</v>
      </c>
      <c r="J15" s="566" t="e">
        <f>+H15*I15</f>
        <v>#DIV/0!</v>
      </c>
      <c r="K15" s="3"/>
      <c r="L15" s="133" t="s">
        <v>707</v>
      </c>
      <c r="M15" s="561">
        <f t="shared" ref="M15:M16" si="22">+M5</f>
        <v>877518.50999999989</v>
      </c>
      <c r="N15" s="567" t="e">
        <f>+N6</f>
        <v>#DIV/0!</v>
      </c>
      <c r="O15" s="566" t="e">
        <f>+M15*N15</f>
        <v>#DIV/0!</v>
      </c>
      <c r="P15" s="3"/>
      <c r="Q15" s="133" t="s">
        <v>708</v>
      </c>
      <c r="R15" s="578">
        <f t="shared" ref="R15:R16" si="23">+R5</f>
        <v>2320</v>
      </c>
      <c r="S15" s="566" t="e">
        <f>+S6</f>
        <v>#DIV/0!</v>
      </c>
      <c r="T15" s="566" t="e">
        <f>+R15*S15</f>
        <v>#DIV/0!</v>
      </c>
      <c r="U15" s="3"/>
      <c r="V15" s="3"/>
      <c r="W15" s="3"/>
      <c r="X15" s="3"/>
      <c r="Y15" s="3"/>
      <c r="Z15" s="3"/>
    </row>
    <row r="16" spans="1:26" ht="14.4">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4">
      <c r="A17" s="3"/>
      <c r="B17" s="133" t="s">
        <v>665</v>
      </c>
      <c r="C17" s="569">
        <f t="shared" ref="C17:E17" si="24">+C15-C16</f>
        <v>176</v>
      </c>
      <c r="D17" s="570" t="e">
        <f t="shared" si="24"/>
        <v>#DIV/0!</v>
      </c>
      <c r="E17" s="571" t="e">
        <f t="shared" si="24"/>
        <v>#DIV/0!</v>
      </c>
      <c r="F17" s="3"/>
      <c r="G17" s="133" t="s">
        <v>665</v>
      </c>
      <c r="H17" s="569">
        <f t="shared" ref="H17:J17" si="25">+H15-H16</f>
        <v>142</v>
      </c>
      <c r="I17" s="570" t="e">
        <f t="shared" si="25"/>
        <v>#DIV/0!</v>
      </c>
      <c r="J17" s="571" t="e">
        <f t="shared" si="25"/>
        <v>#DIV/0!</v>
      </c>
      <c r="K17" s="3"/>
      <c r="L17" s="133" t="s">
        <v>665</v>
      </c>
      <c r="M17" s="570">
        <f t="shared" ref="M17:O17" si="26">+M15-M16</f>
        <v>877518.50999999989</v>
      </c>
      <c r="N17" s="572" t="e">
        <f t="shared" si="26"/>
        <v>#DIV/0!</v>
      </c>
      <c r="O17" s="571" t="e">
        <f t="shared" si="26"/>
        <v>#DIV/0!</v>
      </c>
      <c r="P17" s="3"/>
      <c r="Q17" s="133" t="s">
        <v>665</v>
      </c>
      <c r="R17" s="573">
        <f t="shared" ref="R17:T17" si="27">+R15-R16</f>
        <v>2320</v>
      </c>
      <c r="S17" s="570" t="e">
        <f t="shared" si="27"/>
        <v>#DIV/0!</v>
      </c>
      <c r="T17" s="574" t="e">
        <f t="shared" si="27"/>
        <v>#DIV/0!</v>
      </c>
      <c r="U17" s="3"/>
      <c r="V17" s="3"/>
      <c r="W17" s="3"/>
      <c r="X17" s="3"/>
      <c r="Y17" s="3"/>
      <c r="Z17" s="3"/>
    </row>
    <row r="18" spans="1:26" ht="14.4">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4">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4">
      <c r="A20" s="3"/>
      <c r="B20" s="133" t="s">
        <v>672</v>
      </c>
      <c r="C20" s="579">
        <f t="shared" ref="C20:D20" si="28">MAX(C5:C6)</f>
        <v>176</v>
      </c>
      <c r="D20" s="566" t="e">
        <f t="shared" si="28"/>
        <v>#DIV/0!</v>
      </c>
      <c r="E20" s="566" t="e">
        <f>+C20*D20</f>
        <v>#DIV/0!</v>
      </c>
      <c r="F20" s="3"/>
      <c r="G20" s="133" t="s">
        <v>672</v>
      </c>
      <c r="H20" s="579">
        <f t="shared" ref="H20:I20" si="29">MAX(H5:H6)</f>
        <v>142</v>
      </c>
      <c r="I20" s="566" t="e">
        <f t="shared" si="29"/>
        <v>#DIV/0!</v>
      </c>
      <c r="J20" s="566" t="e">
        <f>+H20*I20</f>
        <v>#DIV/0!</v>
      </c>
      <c r="K20" s="3"/>
      <c r="L20" s="133" t="s">
        <v>672</v>
      </c>
      <c r="M20" s="566">
        <f t="shared" ref="M20:N20" si="30">MAX(M5:M6)</f>
        <v>877518.50999999989</v>
      </c>
      <c r="N20" s="567" t="e">
        <f t="shared" si="30"/>
        <v>#DIV/0!</v>
      </c>
      <c r="O20" s="566" t="e">
        <f>+M20*N20</f>
        <v>#DIV/0!</v>
      </c>
      <c r="P20" s="3"/>
      <c r="Q20" s="133" t="s">
        <v>672</v>
      </c>
      <c r="R20" s="580">
        <f t="shared" ref="R20:S20" si="31">MAX(R5:R6)</f>
        <v>2320</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176</v>
      </c>
      <c r="D23" s="570" t="e">
        <f t="shared" si="36"/>
        <v>#DIV/0!</v>
      </c>
      <c r="E23" s="570" t="e">
        <f t="shared" si="36"/>
        <v>#DIV/0!</v>
      </c>
      <c r="F23" s="3"/>
      <c r="G23" s="133" t="s">
        <v>674</v>
      </c>
      <c r="H23" s="569">
        <f t="shared" ref="H23:J23" si="37">+H20-H22</f>
        <v>142</v>
      </c>
      <c r="I23" s="570" t="e">
        <f t="shared" si="37"/>
        <v>#DIV/0!</v>
      </c>
      <c r="J23" s="570" t="e">
        <f t="shared" si="37"/>
        <v>#DIV/0!</v>
      </c>
      <c r="K23" s="3"/>
      <c r="L23" s="133" t="s">
        <v>674</v>
      </c>
      <c r="M23" s="570">
        <f t="shared" ref="M23:O23" si="38">+M20-M22</f>
        <v>877518.50999999989</v>
      </c>
      <c r="N23" s="572" t="e">
        <f t="shared" si="38"/>
        <v>#DIV/0!</v>
      </c>
      <c r="O23" s="570" t="e">
        <f t="shared" si="38"/>
        <v>#DIV/0!</v>
      </c>
      <c r="P23" s="3"/>
      <c r="Q23" s="133" t="s">
        <v>674</v>
      </c>
      <c r="R23" s="573">
        <f t="shared" ref="R23:T23" si="39">+R20-R22</f>
        <v>2320</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176</v>
      </c>
      <c r="D32" s="566">
        <f t="shared" ref="D32:D33" si="40">+E32/C32</f>
        <v>204.66709315180958</v>
      </c>
      <c r="E32" s="566">
        <f>+Print_AAD!N78</f>
        <v>36021.408394718484</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176</v>
      </c>
      <c r="D33" s="566">
        <f t="shared" si="40"/>
        <v>-56.907102272727236</v>
      </c>
      <c r="E33" s="566">
        <f>+Print_AAD!N82</f>
        <v>-10015.649999999994</v>
      </c>
      <c r="F33" s="3"/>
      <c r="G33" s="133" t="s">
        <v>681</v>
      </c>
      <c r="H33" s="588">
        <f>+H17</f>
        <v>142</v>
      </c>
      <c r="I33" s="566">
        <f>+J33/H33</f>
        <v>-130.66690140845068</v>
      </c>
      <c r="J33" s="566">
        <f>+Print_AAD!N159</f>
        <v>-18554.699999999997</v>
      </c>
      <c r="K33" s="3"/>
      <c r="L33" s="3"/>
      <c r="M33" s="3"/>
      <c r="N33" s="3"/>
      <c r="O33" s="3"/>
      <c r="P33" s="3"/>
      <c r="Q33" s="3"/>
      <c r="R33" s="3"/>
      <c r="S33" s="3"/>
      <c r="T33" s="3"/>
      <c r="U33" s="3"/>
      <c r="V33" s="3"/>
      <c r="W33" s="3"/>
      <c r="X33" s="3"/>
      <c r="Y33" s="3"/>
      <c r="Z33" s="3"/>
    </row>
    <row r="34" spans="1:26" ht="15.75" customHeight="1">
      <c r="A34" s="3"/>
      <c r="B34" s="3"/>
      <c r="C34" s="3"/>
      <c r="D34" s="3"/>
      <c r="E34" s="570">
        <f>SUM(E32:E33)</f>
        <v>26005.75839471849</v>
      </c>
      <c r="F34" s="3"/>
      <c r="G34" s="3"/>
      <c r="H34" s="3"/>
      <c r="I34" s="3"/>
      <c r="J34" s="570">
        <f>SUM(J32:J33)</f>
        <v>-18554.699999999997</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56" t="s">
        <v>180</v>
      </c>
      <c r="B2" s="1326" t="s">
        <v>682</v>
      </c>
      <c r="C2" s="1327"/>
      <c r="D2" s="1328"/>
      <c r="E2" s="3"/>
      <c r="F2" s="1326" t="s">
        <v>683</v>
      </c>
      <c r="G2" s="1327"/>
      <c r="H2" s="1328"/>
      <c r="I2" s="3"/>
      <c r="J2" s="589" t="s">
        <v>655</v>
      </c>
      <c r="K2" s="3"/>
      <c r="L2" s="589" t="s">
        <v>684</v>
      </c>
      <c r="M2" s="3"/>
      <c r="N2" s="589" t="s">
        <v>685</v>
      </c>
      <c r="O2" s="3"/>
      <c r="P2" s="3"/>
      <c r="Q2" s="3"/>
      <c r="R2" s="3"/>
      <c r="S2" s="3"/>
      <c r="T2" s="3"/>
      <c r="U2" s="3"/>
      <c r="V2" s="3"/>
      <c r="W2" s="3"/>
      <c r="X2" s="3"/>
      <c r="Y2" s="3"/>
      <c r="Z2" s="3"/>
    </row>
    <row r="3" spans="1:26" ht="14.4">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ht="14.4">
      <c r="A4" s="3" t="s">
        <v>182</v>
      </c>
      <c r="B4" s="565">
        <f>+Print_AAD!J295</f>
        <v>213096.52000000002</v>
      </c>
      <c r="C4" s="590">
        <f t="shared" ref="C4:C9" si="0">D4/B4</f>
        <v>0.36674798818863868</v>
      </c>
      <c r="D4" s="565">
        <f>+Print_AAD!L295</f>
        <v>78152.720000000016</v>
      </c>
      <c r="E4" s="3"/>
      <c r="F4" s="565">
        <f>+Print_AAD!G295</f>
        <v>0</v>
      </c>
      <c r="G4" s="590" t="e">
        <f t="shared" ref="G4:G9" si="1">H4/F4</f>
        <v>#DIV/0!</v>
      </c>
      <c r="H4" s="565">
        <f>+Print_AAD!I295</f>
        <v>0</v>
      </c>
      <c r="I4" s="3"/>
      <c r="J4" s="566">
        <f t="shared" ref="J4:J11" si="2">+D4-H4</f>
        <v>78152.720000000016</v>
      </c>
      <c r="K4" s="3"/>
      <c r="L4" s="566" t="e">
        <f t="shared" ref="L4:L9" si="3">(B4-F4)*G4</f>
        <v>#DIV/0!</v>
      </c>
      <c r="M4" s="3"/>
      <c r="N4" s="566" t="e">
        <f t="shared" ref="N4:N9" si="4">B4*(C4-G4)</f>
        <v>#DIV/0!</v>
      </c>
      <c r="O4" s="3"/>
      <c r="P4" s="3"/>
      <c r="Q4" s="3"/>
      <c r="R4" s="3"/>
      <c r="S4" s="3"/>
      <c r="T4" s="3"/>
      <c r="U4" s="3"/>
      <c r="V4" s="3"/>
      <c r="W4" s="3"/>
      <c r="X4" s="3"/>
      <c r="Y4" s="3"/>
      <c r="Z4" s="3"/>
    </row>
    <row r="5" spans="1:26" ht="14.4">
      <c r="A5" s="3" t="s">
        <v>183</v>
      </c>
      <c r="B5" s="565">
        <f>+Print_AAD!J296</f>
        <v>209993.69999999998</v>
      </c>
      <c r="C5" s="590">
        <f t="shared" si="0"/>
        <v>0.23427583779894337</v>
      </c>
      <c r="D5" s="565">
        <f>+Print_AAD!L296</f>
        <v>49196.449999999968</v>
      </c>
      <c r="E5" s="3"/>
      <c r="F5" s="565">
        <f>+Print_AAD!G296</f>
        <v>0</v>
      </c>
      <c r="G5" s="590" t="e">
        <f t="shared" si="1"/>
        <v>#DIV/0!</v>
      </c>
      <c r="H5" s="565">
        <f>+Print_AAD!I296</f>
        <v>0</v>
      </c>
      <c r="I5" s="3"/>
      <c r="J5" s="566">
        <f t="shared" si="2"/>
        <v>49196.449999999968</v>
      </c>
      <c r="K5" s="3"/>
      <c r="L5" s="566" t="e">
        <f t="shared" si="3"/>
        <v>#DIV/0!</v>
      </c>
      <c r="M5" s="3"/>
      <c r="N5" s="566" t="e">
        <f t="shared" si="4"/>
        <v>#DIV/0!</v>
      </c>
      <c r="O5" s="3"/>
      <c r="P5" s="3"/>
      <c r="Q5" s="3"/>
      <c r="R5" s="3"/>
      <c r="S5" s="3"/>
      <c r="T5" s="3"/>
      <c r="U5" s="3"/>
      <c r="V5" s="3"/>
      <c r="W5" s="3"/>
      <c r="X5" s="3"/>
      <c r="Y5" s="3"/>
      <c r="Z5" s="3"/>
    </row>
    <row r="6" spans="1:26" ht="14.4">
      <c r="A6" s="3" t="s">
        <v>184</v>
      </c>
      <c r="B6" s="565">
        <f>+Print_AAD!J297</f>
        <v>274500.87</v>
      </c>
      <c r="C6" s="590">
        <f t="shared" si="0"/>
        <v>0.23233103049910192</v>
      </c>
      <c r="D6" s="565">
        <f>+Print_AAD!L297</f>
        <v>63775.070000000007</v>
      </c>
      <c r="E6" s="3"/>
      <c r="F6" s="565">
        <f>+Print_AAD!G297</f>
        <v>0</v>
      </c>
      <c r="G6" s="590" t="e">
        <f t="shared" si="1"/>
        <v>#DIV/0!</v>
      </c>
      <c r="H6" s="565">
        <f>+Print_AAD!I297</f>
        <v>0</v>
      </c>
      <c r="I6" s="3"/>
      <c r="J6" s="566">
        <f t="shared" si="2"/>
        <v>63775.070000000007</v>
      </c>
      <c r="K6" s="3"/>
      <c r="L6" s="566" t="e">
        <f t="shared" si="3"/>
        <v>#DIV/0!</v>
      </c>
      <c r="M6" s="3"/>
      <c r="N6" s="566" t="e">
        <f t="shared" si="4"/>
        <v>#DIV/0!</v>
      </c>
      <c r="O6" s="3"/>
      <c r="P6" s="3"/>
      <c r="Q6" s="3"/>
      <c r="R6" s="3"/>
      <c r="S6" s="3"/>
      <c r="T6" s="3"/>
      <c r="U6" s="3"/>
      <c r="V6" s="3"/>
      <c r="W6" s="3"/>
      <c r="X6" s="3"/>
      <c r="Y6" s="3"/>
      <c r="Z6" s="3"/>
    </row>
    <row r="7" spans="1:26" ht="14.4">
      <c r="A7" s="3" t="s">
        <v>185</v>
      </c>
      <c r="B7" s="565">
        <f>+Print_AAD!J298</f>
        <v>184988.65</v>
      </c>
      <c r="C7" s="590">
        <f t="shared" si="0"/>
        <v>0.28401488415640636</v>
      </c>
      <c r="D7" s="565">
        <f>+Print_AAD!L298</f>
        <v>52539.53</v>
      </c>
      <c r="E7" s="3"/>
      <c r="F7" s="565">
        <f>+Print_AAD!G298</f>
        <v>0</v>
      </c>
      <c r="G7" s="590" t="e">
        <f t="shared" si="1"/>
        <v>#DIV/0!</v>
      </c>
      <c r="H7" s="565">
        <f>+Print_AAD!I298</f>
        <v>0</v>
      </c>
      <c r="I7" s="3"/>
      <c r="J7" s="566">
        <f t="shared" si="2"/>
        <v>52539.53</v>
      </c>
      <c r="K7" s="3"/>
      <c r="L7" s="566" t="e">
        <f t="shared" si="3"/>
        <v>#DIV/0!</v>
      </c>
      <c r="M7" s="3"/>
      <c r="N7" s="566" t="e">
        <f t="shared" si="4"/>
        <v>#DIV/0!</v>
      </c>
      <c r="O7" s="3"/>
      <c r="P7" s="3"/>
      <c r="Q7" s="3"/>
      <c r="R7" s="3"/>
      <c r="S7" s="3"/>
      <c r="T7" s="3"/>
      <c r="U7" s="3"/>
      <c r="V7" s="3"/>
      <c r="W7" s="3"/>
      <c r="X7" s="3"/>
      <c r="Y7" s="3"/>
      <c r="Z7" s="3"/>
    </row>
    <row r="8" spans="1:26" ht="14.4">
      <c r="A8" s="3" t="s">
        <v>186</v>
      </c>
      <c r="B8" s="565">
        <f>+Print_AAD!J299</f>
        <v>30686.76</v>
      </c>
      <c r="C8" s="590">
        <f t="shared" si="0"/>
        <v>0.30874096841764981</v>
      </c>
      <c r="D8" s="565">
        <f>+Print_AAD!L299</f>
        <v>9474.2599999999984</v>
      </c>
      <c r="E8" s="3"/>
      <c r="F8" s="565">
        <f>+Print_AAD!G299</f>
        <v>0</v>
      </c>
      <c r="G8" s="590" t="e">
        <f t="shared" si="1"/>
        <v>#DIV/0!</v>
      </c>
      <c r="H8" s="565">
        <f>+Print_AAD!I299</f>
        <v>0</v>
      </c>
      <c r="I8" s="3"/>
      <c r="J8" s="566">
        <f t="shared" si="2"/>
        <v>9474.2599999999984</v>
      </c>
      <c r="K8" s="3"/>
      <c r="L8" s="566" t="e">
        <f t="shared" si="3"/>
        <v>#DIV/0!</v>
      </c>
      <c r="M8" s="3"/>
      <c r="N8" s="566" t="e">
        <f t="shared" si="4"/>
        <v>#DIV/0!</v>
      </c>
      <c r="O8" s="3"/>
      <c r="P8" s="3"/>
      <c r="Q8" s="3"/>
      <c r="R8" s="3"/>
      <c r="S8" s="3"/>
      <c r="T8" s="3"/>
      <c r="U8" s="3"/>
      <c r="V8" s="3"/>
      <c r="W8" s="3"/>
      <c r="X8" s="3"/>
      <c r="Y8" s="3"/>
      <c r="Z8" s="3"/>
    </row>
    <row r="9" spans="1:26" ht="14.4">
      <c r="A9" s="3" t="s">
        <v>187</v>
      </c>
      <c r="B9" s="565">
        <f>+Print_AAD!J300</f>
        <v>759738.78</v>
      </c>
      <c r="C9" s="590">
        <f t="shared" si="0"/>
        <v>0.15195187219480885</v>
      </c>
      <c r="D9" s="565">
        <f>+Print_AAD!L300</f>
        <v>115443.73</v>
      </c>
      <c r="E9" s="3"/>
      <c r="F9" s="565">
        <f>+Print_AAD!G300</f>
        <v>0</v>
      </c>
      <c r="G9" s="590" t="e">
        <f t="shared" si="1"/>
        <v>#DIV/0!</v>
      </c>
      <c r="H9" s="565">
        <f>+Print_AAD!I300</f>
        <v>0</v>
      </c>
      <c r="I9" s="3"/>
      <c r="J9" s="566">
        <f t="shared" si="2"/>
        <v>115443.73</v>
      </c>
      <c r="K9" s="3"/>
      <c r="L9" s="566" t="e">
        <f t="shared" si="3"/>
        <v>#DIV/0!</v>
      </c>
      <c r="M9" s="3"/>
      <c r="N9" s="566" t="e">
        <f t="shared" si="4"/>
        <v>#DIV/0!</v>
      </c>
      <c r="O9" s="3"/>
      <c r="P9" s="3"/>
      <c r="Q9" s="3"/>
      <c r="R9" s="3"/>
      <c r="S9" s="3"/>
      <c r="T9" s="3"/>
      <c r="U9" s="3"/>
      <c r="V9" s="3"/>
      <c r="W9" s="3"/>
      <c r="X9" s="3"/>
      <c r="Y9" s="3"/>
      <c r="Z9" s="3"/>
    </row>
    <row r="10" spans="1:26" ht="14.4">
      <c r="A10" s="3" t="s">
        <v>188</v>
      </c>
      <c r="B10" s="565"/>
      <c r="C10" s="590"/>
      <c r="D10" s="565">
        <f>+Print_AAD!L302</f>
        <v>42583.59</v>
      </c>
      <c r="E10" s="3"/>
      <c r="F10" s="565"/>
      <c r="G10" s="590"/>
      <c r="H10" s="565">
        <f>+Print_AAD!I302</f>
        <v>0</v>
      </c>
      <c r="I10" s="3"/>
      <c r="J10" s="566">
        <f t="shared" si="2"/>
        <v>42583.59</v>
      </c>
      <c r="K10" s="3"/>
      <c r="L10" s="566" t="e">
        <f>(H10/(H4+H5+H6+H7+H8+H9)*(D4+D5+D6+D7+D8+D9))-D10</f>
        <v>#DIV/0!</v>
      </c>
      <c r="M10" s="3"/>
      <c r="N10" s="566" t="e">
        <f t="shared" ref="N10:N11" si="5">+J10-L10</f>
        <v>#DIV/0!</v>
      </c>
      <c r="O10" s="3"/>
      <c r="P10" s="3"/>
      <c r="Q10" s="3"/>
      <c r="R10" s="3"/>
      <c r="S10" s="3"/>
      <c r="T10" s="3"/>
      <c r="U10" s="3"/>
      <c r="V10" s="3"/>
      <c r="W10" s="3"/>
      <c r="X10" s="3"/>
      <c r="Y10" s="3"/>
      <c r="Z10" s="3"/>
    </row>
    <row r="11" spans="1:26" ht="14.4">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ht="14.4">
      <c r="A12" s="3" t="s">
        <v>190</v>
      </c>
      <c r="B12" s="591">
        <f>SUM(B4:B11)</f>
        <v>1673005.28</v>
      </c>
      <c r="C12" s="592">
        <f>+D12/B12</f>
        <v>0.24576452621835118</v>
      </c>
      <c r="D12" s="591">
        <f>SUM(D4:D11)</f>
        <v>411165.35</v>
      </c>
      <c r="E12" s="3"/>
      <c r="F12" s="591">
        <f>SUM(F4:F11)</f>
        <v>0</v>
      </c>
      <c r="G12" s="592" t="e">
        <f>+H12/F12</f>
        <v>#DIV/0!</v>
      </c>
      <c r="H12" s="591">
        <f>SUM(H4:H11)</f>
        <v>0</v>
      </c>
      <c r="I12" s="3"/>
      <c r="J12" s="591">
        <f>SUM(J4:J11)</f>
        <v>411165.35</v>
      </c>
      <c r="K12" s="3"/>
      <c r="L12" s="591" t="e">
        <f>SUM(L4:L11)</f>
        <v>#DIV/0!</v>
      </c>
      <c r="M12" s="3"/>
      <c r="N12" s="591" t="e">
        <f>SUM(N4:N11)</f>
        <v>#DIV/0!</v>
      </c>
      <c r="O12" s="3"/>
      <c r="P12" s="3"/>
      <c r="Q12" s="3"/>
      <c r="R12" s="3"/>
      <c r="S12" s="3"/>
      <c r="T12" s="3"/>
      <c r="U12" s="3"/>
      <c r="V12" s="3"/>
      <c r="W12" s="3"/>
      <c r="X12" s="3"/>
      <c r="Y12" s="3"/>
      <c r="Z12" s="3"/>
    </row>
    <row r="13" spans="1:26" ht="14.4">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ht="14.4">
      <c r="A14" s="3" t="s">
        <v>191</v>
      </c>
      <c r="B14" s="565">
        <f>+Print_AAD!J307</f>
        <v>163813.24000000002</v>
      </c>
      <c r="C14" s="590">
        <f t="shared" ref="C14:C15" si="6">D14/B14</f>
        <v>0.18940227297866766</v>
      </c>
      <c r="D14" s="565">
        <f>+Print_AAD!L307</f>
        <v>31026.600000000006</v>
      </c>
      <c r="E14" s="3"/>
      <c r="F14" s="565">
        <f>+Print_AAD!G307</f>
        <v>0</v>
      </c>
      <c r="G14" s="590" t="e">
        <f t="shared" ref="G14:G15" si="7">H14/F14</f>
        <v>#DIV/0!</v>
      </c>
      <c r="H14" s="565">
        <f>+Print_AAD!I307</f>
        <v>0</v>
      </c>
      <c r="I14" s="3"/>
      <c r="J14" s="566">
        <f t="shared" ref="J14:J15" si="8">+D14-H14</f>
        <v>31026.600000000006</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ht="14.4">
      <c r="A15" s="3" t="s">
        <v>192</v>
      </c>
      <c r="B15" s="565">
        <f>+Print_AAD!J308</f>
        <v>49448.28</v>
      </c>
      <c r="C15" s="590">
        <f t="shared" si="6"/>
        <v>0.28127105735528102</v>
      </c>
      <c r="D15" s="565">
        <f>+Print_AAD!L308</f>
        <v>13908.369999999995</v>
      </c>
      <c r="E15" s="3"/>
      <c r="F15" s="565">
        <f>+Print_AAD!G308</f>
        <v>0</v>
      </c>
      <c r="G15" s="590" t="e">
        <f t="shared" si="7"/>
        <v>#DIV/0!</v>
      </c>
      <c r="H15" s="565">
        <f>+Print_AAD!I308</f>
        <v>0</v>
      </c>
      <c r="I15" s="3"/>
      <c r="J15" s="566">
        <f t="shared" si="8"/>
        <v>13908.369999999995</v>
      </c>
      <c r="K15" s="3"/>
      <c r="L15" s="566" t="e">
        <f t="shared" si="9"/>
        <v>#DIV/0!</v>
      </c>
      <c r="M15" s="3"/>
      <c r="N15" s="566" t="e">
        <f t="shared" si="10"/>
        <v>#DIV/0!</v>
      </c>
      <c r="O15" s="3"/>
      <c r="P15" s="3"/>
      <c r="Q15" s="3"/>
      <c r="R15" s="3"/>
      <c r="S15" s="3"/>
      <c r="T15" s="3"/>
      <c r="U15" s="3"/>
      <c r="V15" s="3"/>
      <c r="W15" s="3"/>
      <c r="X15" s="3"/>
      <c r="Y15" s="3"/>
      <c r="Z15" s="3"/>
    </row>
    <row r="16" spans="1:26" ht="14.4">
      <c r="A16" s="3" t="s">
        <v>193</v>
      </c>
      <c r="B16" s="593">
        <f>SUM(B14:B15)</f>
        <v>213261.52000000002</v>
      </c>
      <c r="C16" s="594">
        <f>+D16/B16</f>
        <v>0.21070359997434135</v>
      </c>
      <c r="D16" s="593">
        <f>SUM(D14:D15)</f>
        <v>44934.97</v>
      </c>
      <c r="E16" s="3"/>
      <c r="F16" s="593">
        <f>SUM(F14:F15)</f>
        <v>0</v>
      </c>
      <c r="G16" s="594" t="e">
        <f>+H16/F16</f>
        <v>#DIV/0!</v>
      </c>
      <c r="H16" s="593">
        <f>SUM(H14:H15)</f>
        <v>0</v>
      </c>
      <c r="I16" s="3"/>
      <c r="J16" s="593">
        <f>SUM(J14:J15)</f>
        <v>44934.97</v>
      </c>
      <c r="K16" s="3"/>
      <c r="L16" s="593" t="e">
        <f>SUM(L14:L15)</f>
        <v>#DIV/0!</v>
      </c>
      <c r="M16" s="3"/>
      <c r="N16" s="593" t="e">
        <f>SUM(N14:N15)</f>
        <v>#DIV/0!</v>
      </c>
      <c r="O16" s="3"/>
      <c r="P16" s="3"/>
      <c r="Q16" s="3"/>
      <c r="R16" s="3"/>
      <c r="S16" s="3"/>
      <c r="T16" s="3"/>
      <c r="U16" s="3"/>
      <c r="V16" s="3"/>
      <c r="W16" s="3"/>
      <c r="X16" s="3"/>
      <c r="Y16" s="3"/>
      <c r="Z16" s="3"/>
    </row>
    <row r="17" spans="1:26" ht="14.4">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ht="14.4">
      <c r="A18" s="3" t="s">
        <v>688</v>
      </c>
      <c r="B18" s="595">
        <f>+B12+B16</f>
        <v>1886266.8</v>
      </c>
      <c r="C18" s="596">
        <f>+D18/B18</f>
        <v>0.24180053426164314</v>
      </c>
      <c r="D18" s="595">
        <f>+D12+D16</f>
        <v>456100.31999999995</v>
      </c>
      <c r="E18" s="3"/>
      <c r="F18" s="595">
        <f>+F12+F16</f>
        <v>0</v>
      </c>
      <c r="G18" s="596" t="e">
        <f>+H18/F18</f>
        <v>#DIV/0!</v>
      </c>
      <c r="H18" s="595">
        <f>+H12+H16</f>
        <v>0</v>
      </c>
      <c r="I18" s="3"/>
      <c r="J18" s="595">
        <f>+J12+J16</f>
        <v>456100.31999999995</v>
      </c>
      <c r="K18" s="3"/>
      <c r="L18" s="595" t="e">
        <f>+L12+L16</f>
        <v>#DIV/0!</v>
      </c>
      <c r="M18" s="3"/>
      <c r="N18" s="595" t="e">
        <f>+N12+N16</f>
        <v>#DIV/0!</v>
      </c>
      <c r="O18" s="3"/>
      <c r="P18" s="3"/>
      <c r="Q18" s="3"/>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597"/>
      <c r="E20" s="126" t="s">
        <v>689</v>
      </c>
      <c r="F20" s="595">
        <f>+B18-F18</f>
        <v>1886266.8</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460"/>
  <sheetViews>
    <sheetView topLeftCell="A426" zoomScale="80" zoomScaleNormal="80" workbookViewId="0">
      <selection activeCell="A461" sqref="A461:XFD461"/>
    </sheetView>
  </sheetViews>
  <sheetFormatPr baseColWidth="10" defaultColWidth="12.59765625" defaultRowHeight="15" customHeight="1"/>
  <cols>
    <col min="1" max="1" width="37" style="965" customWidth="1"/>
    <col min="2" max="2" width="31.19921875" style="965" customWidth="1"/>
    <col min="3" max="3" width="14.59765625" style="965" customWidth="1"/>
    <col min="4" max="4" width="12.8984375" style="965" customWidth="1"/>
    <col min="5" max="5" width="13.59765625" style="965" bestFit="1" customWidth="1"/>
    <col min="6" max="8" width="12.8984375" style="965" customWidth="1"/>
    <col min="9" max="9" width="25.59765625" style="965" bestFit="1" customWidth="1"/>
    <col min="10" max="10" width="12.8984375" style="965" customWidth="1"/>
    <col min="11" max="11" width="23.09765625" style="965"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 min="26" max="26" width="15.09765625" customWidth="1"/>
  </cols>
  <sheetData>
    <row r="1" spans="1:26" ht="30" customHeight="1">
      <c r="A1" s="1330" t="s">
        <v>251</v>
      </c>
      <c r="B1" s="1330" t="s">
        <v>709</v>
      </c>
      <c r="C1" s="1331" t="s">
        <v>713</v>
      </c>
      <c r="D1" s="1331" t="s">
        <v>714</v>
      </c>
      <c r="E1" s="1331" t="s">
        <v>715</v>
      </c>
      <c r="F1" s="1330" t="s">
        <v>710</v>
      </c>
      <c r="G1" s="1330" t="s">
        <v>711</v>
      </c>
      <c r="H1" s="1330" t="s">
        <v>712</v>
      </c>
      <c r="I1" s="1331" t="s">
        <v>3411</v>
      </c>
      <c r="J1" s="1331" t="s">
        <v>3412</v>
      </c>
      <c r="K1" s="1331" t="s">
        <v>3413</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332" t="s">
        <v>720</v>
      </c>
      <c r="B2" s="1332" t="s">
        <v>1438</v>
      </c>
      <c r="C2" s="1333"/>
      <c r="D2" s="1333"/>
      <c r="E2" s="1333"/>
      <c r="F2" s="1332" t="s">
        <v>2</v>
      </c>
      <c r="G2" s="1332" t="s">
        <v>3321</v>
      </c>
      <c r="H2" s="1332" t="s">
        <v>3942</v>
      </c>
      <c r="I2" s="1334">
        <v>-34367.08</v>
      </c>
      <c r="J2" s="1334">
        <v>0</v>
      </c>
      <c r="K2" s="1334">
        <v>-34367.08</v>
      </c>
      <c r="L2" s="653" t="str">
        <f>TEXT(B2,0)</f>
        <v>10</v>
      </c>
      <c r="M2" s="654" t="str">
        <f t="shared" ref="M2:M179" si="0">+A2</f>
        <v>PROFIT/PERTES JANVIER</v>
      </c>
      <c r="N2" s="655">
        <f>+IF(OR($Q2=Parametres!$G$2,$Q2=Parametres!$G$3),I2,C2)</f>
        <v>-34367.08</v>
      </c>
      <c r="O2" s="655">
        <f>+IF(OR($Q2=Parametres!$G$2,$Q2=Parametres!$G$3),J2,D2)</f>
        <v>0</v>
      </c>
      <c r="P2" s="655">
        <f>+IF(OR($Q2=Parametres!$G$2,$Q2=Parametres!$G$3),K2,E2)</f>
        <v>-34367.08</v>
      </c>
      <c r="Q2" s="654" t="str">
        <f t="shared" ref="Q2:S2" si="1">+F2</f>
        <v>1-Mémo</v>
      </c>
      <c r="R2" s="653" t="str">
        <f t="shared" si="1"/>
        <v>1</v>
      </c>
      <c r="S2" s="654" t="str">
        <f t="shared" si="1"/>
        <v>_</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332" t="s">
        <v>721</v>
      </c>
      <c r="B3" s="1332" t="s">
        <v>1638</v>
      </c>
      <c r="C3" s="1333"/>
      <c r="D3" s="1333"/>
      <c r="E3" s="1333"/>
      <c r="F3" s="1332" t="s">
        <v>2</v>
      </c>
      <c r="G3" s="1332" t="s">
        <v>3321</v>
      </c>
      <c r="H3" s="1332" t="s">
        <v>3942</v>
      </c>
      <c r="I3" s="1334">
        <v>-13330.73</v>
      </c>
      <c r="J3" s="1334">
        <v>0</v>
      </c>
      <c r="K3" s="1334">
        <v>-13330.73</v>
      </c>
      <c r="L3" s="653" t="str">
        <f t="shared" ref="L3:L66" si="2">TEXT(B3,0)</f>
        <v>20</v>
      </c>
      <c r="M3" s="654" t="str">
        <f t="shared" si="0"/>
        <v>PROFIT/PERTES FEVRIER</v>
      </c>
      <c r="N3" s="655">
        <f>+IF(OR($Q3=Parametres!$G$2,$Q3=Parametres!$G$3),I3,C3)</f>
        <v>-13330.73</v>
      </c>
      <c r="O3" s="655">
        <f>+IF(OR($Q3=Parametres!$G$2,$Q3=Parametres!$G$3),J3,D3)</f>
        <v>0</v>
      </c>
      <c r="P3" s="655">
        <f>+IF(OR($Q3=Parametres!$G$2,$Q3=Parametres!$G$3),K3,E3)</f>
        <v>-13330.73</v>
      </c>
      <c r="Q3" s="654" t="str">
        <f t="shared" ref="Q3:S3" si="3">+F3</f>
        <v>1-Mémo</v>
      </c>
      <c r="R3" s="653" t="str">
        <f t="shared" si="3"/>
        <v>1</v>
      </c>
      <c r="S3" s="654" t="str">
        <f t="shared" si="3"/>
        <v>_</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customHeight="1">
      <c r="A4" s="1332" t="s">
        <v>732</v>
      </c>
      <c r="B4" s="1332" t="s">
        <v>1674</v>
      </c>
      <c r="C4" s="1333"/>
      <c r="D4" s="1333"/>
      <c r="E4" s="1333"/>
      <c r="F4" s="1332" t="s">
        <v>2</v>
      </c>
      <c r="G4" s="1332" t="s">
        <v>3322</v>
      </c>
      <c r="H4" s="1332" t="s">
        <v>3942</v>
      </c>
      <c r="I4" s="1334">
        <v>1</v>
      </c>
      <c r="J4" s="1334">
        <v>0</v>
      </c>
      <c r="K4" s="1334">
        <v>1</v>
      </c>
      <c r="L4" s="653" t="str">
        <f t="shared" si="2"/>
        <v>229</v>
      </c>
      <c r="M4" s="654" t="str">
        <f t="shared" si="0"/>
        <v>CUMUL. VIS. CARR. VW</v>
      </c>
      <c r="N4" s="655">
        <f>+IF(OR($Q4=Parametres!$G$2,$Q4=Parametres!$G$3),I4,C4)</f>
        <v>1</v>
      </c>
      <c r="O4" s="655">
        <f>+IF(OR($Q4=Parametres!$G$2,$Q4=Parametres!$G$3),J4,D4)</f>
        <v>0</v>
      </c>
      <c r="P4" s="655">
        <f>+IF(OR($Q4=Parametres!$G$2,$Q4=Parametres!$G$3),K4,E4)</f>
        <v>1</v>
      </c>
      <c r="Q4" s="654" t="str">
        <f t="shared" ref="Q4:S4" si="4">+F4</f>
        <v>1-Mémo</v>
      </c>
      <c r="R4" s="653" t="str">
        <f t="shared" si="4"/>
        <v>23</v>
      </c>
      <c r="S4" s="654" t="str">
        <f t="shared" si="4"/>
        <v>_</v>
      </c>
      <c r="T4" s="656" t="str">
        <f>+VLOOKUP($L4,Data_Validation!$A:$D,1,0)</f>
        <v>229</v>
      </c>
      <c r="U4" s="656">
        <f>+VLOOKUP($L4,Data_Validation!$A:$D,3,0)</f>
        <v>0</v>
      </c>
      <c r="V4" s="656">
        <f>+VLOOKUP($L4,Data_Validation!$A:$D,4,0)</f>
        <v>0</v>
      </c>
      <c r="W4" s="656">
        <f>+VLOOKUP($L4,Data_Validation!$A:$E,5,0)</f>
        <v>0</v>
      </c>
      <c r="X4" s="656">
        <f>+VLOOKUP($L4,Data_Validation!$A:$F,6,0)</f>
        <v>0</v>
      </c>
      <c r="Z4" s="4"/>
    </row>
    <row r="5" spans="1:26" ht="15.75" customHeight="1">
      <c r="A5" s="1332" t="s">
        <v>733</v>
      </c>
      <c r="B5" s="1332" t="s">
        <v>1690</v>
      </c>
      <c r="C5" s="1333"/>
      <c r="D5" s="1333"/>
      <c r="E5" s="1333"/>
      <c r="F5" s="1332" t="s">
        <v>2</v>
      </c>
      <c r="G5" s="1332" t="s">
        <v>3322</v>
      </c>
      <c r="H5" s="1332" t="s">
        <v>3942</v>
      </c>
      <c r="I5" s="1334">
        <v>14.71</v>
      </c>
      <c r="J5" s="1334">
        <v>0</v>
      </c>
      <c r="K5" s="1334">
        <v>14.71</v>
      </c>
      <c r="L5" s="653" t="str">
        <f t="shared" si="2"/>
        <v>230</v>
      </c>
      <c r="M5" s="654" t="str">
        <f t="shared" si="0"/>
        <v>CUMUL. VIS. VEH. SERV. VW</v>
      </c>
      <c r="N5" s="655">
        <f>+IF(OR($Q5=Parametres!$G$2,$Q5=Parametres!$G$3),I5,C5)</f>
        <v>14.71</v>
      </c>
      <c r="O5" s="655">
        <f>+IF(OR($Q5=Parametres!$G$2,$Q5=Parametres!$G$3),J5,D5)</f>
        <v>0</v>
      </c>
      <c r="P5" s="655">
        <f>+IF(OR($Q5=Parametres!$G$2,$Q5=Parametres!$G$3),K5,E5)</f>
        <v>14.71</v>
      </c>
      <c r="Q5" s="654" t="str">
        <f t="shared" ref="Q5:S5" si="5">+F5</f>
        <v>1-Mémo</v>
      </c>
      <c r="R5" s="653" t="str">
        <f t="shared" si="5"/>
        <v>23</v>
      </c>
      <c r="S5" s="654" t="str">
        <f t="shared" si="5"/>
        <v>_</v>
      </c>
      <c r="T5" s="656" t="str">
        <f>+VLOOKUP($L5,Data_Validation!$A:$D,1,0)</f>
        <v>230</v>
      </c>
      <c r="U5" s="656">
        <f>+VLOOKUP($L5,Data_Validation!$A:$D,3,0)</f>
        <v>0</v>
      </c>
      <c r="V5" s="656">
        <f>+VLOOKUP($L5,Data_Validation!$A:$D,4,0)</f>
        <v>0</v>
      </c>
      <c r="W5" s="656" t="str">
        <f>+VLOOKUP($L5,Data_Validation!$A:$E,5,0)</f>
        <v>$</v>
      </c>
      <c r="X5" s="656">
        <f>+VLOOKUP($L5,Data_Validation!$A:$F,6,0)</f>
        <v>0</v>
      </c>
      <c r="Z5" s="4"/>
    </row>
    <row r="6" spans="1:26" ht="15.75" customHeight="1">
      <c r="A6" s="1332" t="s">
        <v>734</v>
      </c>
      <c r="B6" s="1332" t="s">
        <v>1698</v>
      </c>
      <c r="C6" s="1333"/>
      <c r="D6" s="1333"/>
      <c r="E6" s="1333"/>
      <c r="F6" s="1332" t="s">
        <v>2</v>
      </c>
      <c r="G6" s="1332" t="s">
        <v>3322</v>
      </c>
      <c r="H6" s="1332" t="s">
        <v>3942</v>
      </c>
      <c r="I6" s="1334">
        <v>39.6</v>
      </c>
      <c r="J6" s="1334">
        <v>0</v>
      </c>
      <c r="K6" s="1334">
        <v>39.6</v>
      </c>
      <c r="L6" s="653" t="str">
        <f t="shared" si="2"/>
        <v>234</v>
      </c>
      <c r="M6" s="654" t="str">
        <f t="shared" si="0"/>
        <v>TOTAL HRES PROD. SERVICE</v>
      </c>
      <c r="N6" s="655">
        <f>+IF(OR($Q6=Parametres!$G$2,$Q6=Parametres!$G$3),I6,C6)</f>
        <v>39.6</v>
      </c>
      <c r="O6" s="655">
        <f>+IF(OR($Q6=Parametres!$G$2,$Q6=Parametres!$G$3),J6,D6)</f>
        <v>0</v>
      </c>
      <c r="P6" s="655">
        <f>+IF(OR($Q6=Parametres!$G$2,$Q6=Parametres!$G$3),K6,E6)</f>
        <v>39.6</v>
      </c>
      <c r="Q6" s="654" t="str">
        <f t="shared" ref="Q6:S6" si="6">+F6</f>
        <v>1-Mémo</v>
      </c>
      <c r="R6" s="653" t="str">
        <f t="shared" si="6"/>
        <v>23</v>
      </c>
      <c r="S6" s="654" t="str">
        <f t="shared" si="6"/>
        <v>_</v>
      </c>
      <c r="T6" s="656" t="str">
        <f>+VLOOKUP($L6,Data_Validation!$A:$D,1,0)</f>
        <v>234</v>
      </c>
      <c r="U6" s="656">
        <f>+VLOOKUP($L6,Data_Validation!$A:$D,3,0)</f>
        <v>0</v>
      </c>
      <c r="V6" s="656">
        <f>+VLOOKUP($L6,Data_Validation!$A:$D,4,0)</f>
        <v>0</v>
      </c>
      <c r="W6" s="656">
        <f>+VLOOKUP($L6,Data_Validation!$A:$E,5,0)</f>
        <v>0</v>
      </c>
      <c r="X6" s="656">
        <f>+VLOOKUP($L6,Data_Validation!$A:$F,6,0)</f>
        <v>0</v>
      </c>
      <c r="Z6" s="138"/>
    </row>
    <row r="7" spans="1:26" ht="15" customHeight="1">
      <c r="A7" s="1332" t="s">
        <v>735</v>
      </c>
      <c r="B7" s="1332" t="s">
        <v>1710</v>
      </c>
      <c r="C7" s="1333"/>
      <c r="D7" s="1333"/>
      <c r="E7" s="1333"/>
      <c r="F7" s="1332" t="s">
        <v>2</v>
      </c>
      <c r="G7" s="1332" t="s">
        <v>3322</v>
      </c>
      <c r="H7" s="1332" t="s">
        <v>3942</v>
      </c>
      <c r="I7" s="1334">
        <v>40.200000000000003</v>
      </c>
      <c r="J7" s="1334">
        <v>0</v>
      </c>
      <c r="K7" s="1334">
        <v>40.200000000000003</v>
      </c>
      <c r="L7" s="653" t="str">
        <f t="shared" si="2"/>
        <v>236</v>
      </c>
      <c r="M7" s="654" t="str">
        <f t="shared" si="0"/>
        <v>HEURES VENDU VW - SERVICE</v>
      </c>
      <c r="N7" s="655">
        <f>+IF(OR($Q7=Parametres!$G$2,$Q7=Parametres!$G$3),I7,C7)</f>
        <v>40.200000000000003</v>
      </c>
      <c r="O7" s="655">
        <f>+IF(OR($Q7=Parametres!$G$2,$Q7=Parametres!$G$3),J7,D7)</f>
        <v>0</v>
      </c>
      <c r="P7" s="655">
        <f>+IF(OR($Q7=Parametres!$G$2,$Q7=Parametres!$G$3),K7,E7)</f>
        <v>40.200000000000003</v>
      </c>
      <c r="Q7" s="654" t="str">
        <f t="shared" ref="Q7:S7" si="7">+F7</f>
        <v>1-Mémo</v>
      </c>
      <c r="R7" s="653" t="str">
        <f t="shared" si="7"/>
        <v>23</v>
      </c>
      <c r="S7" s="654" t="str">
        <f t="shared" si="7"/>
        <v>_</v>
      </c>
      <c r="T7" s="656" t="str">
        <f>+VLOOKUP($L7,Data_Validation!$A:$D,1,0)</f>
        <v>236</v>
      </c>
      <c r="U7" s="656">
        <f>+VLOOKUP($L7,Data_Validation!$A:$D,3,0)</f>
        <v>0</v>
      </c>
      <c r="V7" s="656">
        <f>+VLOOKUP($L7,Data_Validation!$A:$D,4,0)</f>
        <v>0</v>
      </c>
      <c r="W7" s="656">
        <f>+VLOOKUP($L7,Data_Validation!$A:$E,5,0)</f>
        <v>0</v>
      </c>
      <c r="X7" s="656">
        <f>+VLOOKUP($L7,Data_Validation!$A:$F,6,0)</f>
        <v>0</v>
      </c>
    </row>
    <row r="8" spans="1:26" ht="15" customHeight="1">
      <c r="A8" s="1332" t="s">
        <v>736</v>
      </c>
      <c r="B8" s="1332" t="s">
        <v>1713</v>
      </c>
      <c r="C8" s="1333"/>
      <c r="D8" s="1333"/>
      <c r="E8" s="1333"/>
      <c r="F8" s="1332" t="s">
        <v>2</v>
      </c>
      <c r="G8" s="1332" t="s">
        <v>3322</v>
      </c>
      <c r="H8" s="1332" t="s">
        <v>3942</v>
      </c>
      <c r="I8" s="1334">
        <v>42.56</v>
      </c>
      <c r="J8" s="1334">
        <v>0</v>
      </c>
      <c r="K8" s="1334">
        <v>42.56</v>
      </c>
      <c r="L8" s="653" t="str">
        <f t="shared" si="2"/>
        <v>238</v>
      </c>
      <c r="M8" s="654" t="str">
        <f t="shared" si="0"/>
        <v>TOT. HEURES DISP. SERVICE</v>
      </c>
      <c r="N8" s="655">
        <f>+IF(OR($Q8=Parametres!$G$2,$Q8=Parametres!$G$3),I8,C8)</f>
        <v>42.56</v>
      </c>
      <c r="O8" s="655">
        <f>+IF(OR($Q8=Parametres!$G$2,$Q8=Parametres!$G$3),J8,D8)</f>
        <v>0</v>
      </c>
      <c r="P8" s="655">
        <f>+IF(OR($Q8=Parametres!$G$2,$Q8=Parametres!$G$3),K8,E8)</f>
        <v>42.56</v>
      </c>
      <c r="Q8" s="654" t="str">
        <f t="shared" ref="Q8:S8" si="8">+F8</f>
        <v>1-Mémo</v>
      </c>
      <c r="R8" s="653" t="str">
        <f t="shared" si="8"/>
        <v>23</v>
      </c>
      <c r="S8" s="654" t="str">
        <f t="shared" si="8"/>
        <v>_</v>
      </c>
      <c r="T8" s="656" t="str">
        <f>+VLOOKUP($L8,Data_Validation!$A:$D,1,0)</f>
        <v>238</v>
      </c>
      <c r="U8" s="656">
        <f>+VLOOKUP($L8,Data_Validation!$A:$D,3,0)</f>
        <v>0</v>
      </c>
      <c r="V8" s="656">
        <f>+VLOOKUP($L8,Data_Validation!$A:$D,4,0)</f>
        <v>0</v>
      </c>
      <c r="W8" s="656">
        <f>+VLOOKUP($L8,Data_Validation!$A:$E,5,0)</f>
        <v>0</v>
      </c>
      <c r="X8" s="656">
        <f>+VLOOKUP($L8,Data_Validation!$A:$F,6,0)</f>
        <v>0</v>
      </c>
    </row>
    <row r="9" spans="1:26" ht="15" customHeight="1">
      <c r="A9" s="1332" t="s">
        <v>3657</v>
      </c>
      <c r="B9" s="1332" t="s">
        <v>1718</v>
      </c>
      <c r="C9" s="1333"/>
      <c r="D9" s="1333"/>
      <c r="E9" s="1333"/>
      <c r="F9" s="1332" t="s">
        <v>2</v>
      </c>
      <c r="G9" s="1332" t="s">
        <v>3323</v>
      </c>
      <c r="H9" s="1332" t="s">
        <v>3942</v>
      </c>
      <c r="I9" s="1334">
        <v>169.95</v>
      </c>
      <c r="J9" s="1334">
        <v>0</v>
      </c>
      <c r="K9" s="1334">
        <v>169.95</v>
      </c>
      <c r="L9" s="653" t="str">
        <f t="shared" si="2"/>
        <v>243</v>
      </c>
      <c r="M9" s="654" t="str">
        <f t="shared" si="0"/>
        <v>TAUX MAIN D'OEUVRE - VW - MCI - CLIENT</v>
      </c>
      <c r="N9" s="655">
        <f>+IF(OR($Q9=Parametres!$G$2,$Q9=Parametres!$G$3),I9,C9)</f>
        <v>169.95</v>
      </c>
      <c r="O9" s="659">
        <f>+IF(OR($Q9=Parametres!$G$2,$Q9=Parametres!$G$3),J9,D9)</f>
        <v>0</v>
      </c>
      <c r="P9" s="655">
        <f>+IF(OR($Q9=Parametres!$G$2,$Q9=Parametres!$G$3),K9,E9)</f>
        <v>169.95</v>
      </c>
      <c r="Q9" s="654" t="str">
        <f t="shared" ref="Q9:S9" si="9">+F9</f>
        <v>1-Mémo</v>
      </c>
      <c r="R9" s="653" t="str">
        <f t="shared" si="9"/>
        <v>24</v>
      </c>
      <c r="S9" s="654" t="str">
        <f t="shared" si="9"/>
        <v>_</v>
      </c>
      <c r="T9" s="656" t="str">
        <f>+VLOOKUP($L9,Data_Validation!$A:$D,1,0)</f>
        <v>243</v>
      </c>
      <c r="U9" s="656">
        <f>+VLOOKUP($L9,Data_Validation!$A:$D,3,0)</f>
        <v>0</v>
      </c>
      <c r="V9" s="656">
        <f>+VLOOKUP($L9,Data_Validation!$A:$D,4,0)</f>
        <v>0</v>
      </c>
      <c r="W9" s="656">
        <f>+VLOOKUP($L9,Data_Validation!$A:$E,5,0)</f>
        <v>0</v>
      </c>
      <c r="X9" s="656">
        <f>+VLOOKUP($L9,Data_Validation!$A:$F,6,0)</f>
        <v>0</v>
      </c>
    </row>
    <row r="10" spans="1:26" ht="15" customHeight="1">
      <c r="A10" s="1332" t="s">
        <v>3658</v>
      </c>
      <c r="B10" s="1332" t="s">
        <v>1721</v>
      </c>
      <c r="C10" s="1333"/>
      <c r="D10" s="1333"/>
      <c r="E10" s="1333"/>
      <c r="F10" s="1332" t="s">
        <v>2</v>
      </c>
      <c r="G10" s="1332" t="s">
        <v>3323</v>
      </c>
      <c r="H10" s="1332" t="s">
        <v>3942</v>
      </c>
      <c r="I10" s="1334">
        <v>142.97</v>
      </c>
      <c r="J10" s="1334">
        <v>0</v>
      </c>
      <c r="K10" s="1334">
        <v>142.97</v>
      </c>
      <c r="L10" s="653" t="str">
        <f t="shared" si="2"/>
        <v>244</v>
      </c>
      <c r="M10" s="654" t="str">
        <f t="shared" si="0"/>
        <v>TAUX MAIN D'OEUVRE - VW - MCI - GARANTIE</v>
      </c>
      <c r="N10" s="655">
        <f>+IF(OR($Q10=Parametres!$G$2,$Q10=Parametres!$G$3),I10,C10)</f>
        <v>142.97</v>
      </c>
      <c r="O10" s="659">
        <f>+IF(OR($Q10=Parametres!$G$2,$Q10=Parametres!$G$3),J10,D10)</f>
        <v>0</v>
      </c>
      <c r="P10" s="655">
        <f>+IF(OR($Q10=Parametres!$G$2,$Q10=Parametres!$G$3),K10,E10)</f>
        <v>142.97</v>
      </c>
      <c r="Q10" s="654" t="str">
        <f t="shared" ref="Q10:S10" si="10">+F10</f>
        <v>1-Mémo</v>
      </c>
      <c r="R10" s="653" t="str">
        <f t="shared" si="10"/>
        <v>24</v>
      </c>
      <c r="S10" s="654" t="str">
        <f t="shared" si="10"/>
        <v>_</v>
      </c>
      <c r="T10" s="656" t="str">
        <f>+VLOOKUP($L10,Data_Validation!$A:$D,1,0)</f>
        <v>244</v>
      </c>
      <c r="U10" s="656">
        <f>+VLOOKUP($L10,Data_Validation!$A:$D,3,0)</f>
        <v>0</v>
      </c>
      <c r="V10" s="656">
        <f>+VLOOKUP($L10,Data_Validation!$A:$D,4,0)</f>
        <v>0</v>
      </c>
      <c r="W10" s="656">
        <f>+VLOOKUP($L10,Data_Validation!$A:$E,5,0)</f>
        <v>0</v>
      </c>
      <c r="X10" s="656">
        <f>+VLOOKUP($L10,Data_Validation!$A:$F,6,0)</f>
        <v>0</v>
      </c>
    </row>
    <row r="11" spans="1:26" ht="15" customHeight="1">
      <c r="A11" s="1332" t="s">
        <v>3659</v>
      </c>
      <c r="B11" s="1332" t="s">
        <v>1724</v>
      </c>
      <c r="C11" s="1333"/>
      <c r="D11" s="1333"/>
      <c r="E11" s="1333"/>
      <c r="F11" s="1332" t="s">
        <v>2</v>
      </c>
      <c r="G11" s="1332" t="s">
        <v>3323</v>
      </c>
      <c r="H11" s="1332" t="s">
        <v>3942</v>
      </c>
      <c r="I11" s="1334">
        <v>169.95</v>
      </c>
      <c r="J11" s="1334">
        <v>0</v>
      </c>
      <c r="K11" s="1334">
        <v>169.95</v>
      </c>
      <c r="L11" s="653" t="str">
        <f t="shared" si="2"/>
        <v>245</v>
      </c>
      <c r="M11" s="654" t="str">
        <f t="shared" si="0"/>
        <v>TAUX MAIN D'OEUVRE - VW - MCI - INTERNE</v>
      </c>
      <c r="N11" s="655">
        <f>+IF(OR($Q11=Parametres!$G$2,$Q11=Parametres!$G$3),I11,C11)</f>
        <v>169.95</v>
      </c>
      <c r="O11" s="659">
        <f>+IF(OR($Q11=Parametres!$G$2,$Q11=Parametres!$G$3),J11,D11)</f>
        <v>0</v>
      </c>
      <c r="P11" s="655">
        <f>+IF(OR($Q11=Parametres!$G$2,$Q11=Parametres!$G$3),K11,E11)</f>
        <v>169.95</v>
      </c>
      <c r="Q11" s="654" t="str">
        <f t="shared" ref="Q11:S11" si="11">+F11</f>
        <v>1-Mémo</v>
      </c>
      <c r="R11" s="653" t="str">
        <f t="shared" si="11"/>
        <v>24</v>
      </c>
      <c r="S11" s="654" t="str">
        <f t="shared" si="11"/>
        <v>_</v>
      </c>
      <c r="T11" s="656" t="str">
        <f>+VLOOKUP($L11,Data_Validation!$A:$D,1,0)</f>
        <v>245</v>
      </c>
      <c r="U11" s="656">
        <f>+VLOOKUP($L11,Data_Validation!$A:$D,3,0)</f>
        <v>0</v>
      </c>
      <c r="V11" s="656">
        <f>+VLOOKUP($L11,Data_Validation!$A:$D,4,0)</f>
        <v>0</v>
      </c>
      <c r="W11" s="656">
        <f>+VLOOKUP($L11,Data_Validation!$A:$E,5,0)</f>
        <v>0</v>
      </c>
      <c r="X11" s="656">
        <f>+VLOOKUP($L11,Data_Validation!$A:$F,6,0)</f>
        <v>0</v>
      </c>
    </row>
    <row r="12" spans="1:26" ht="15" customHeight="1">
      <c r="A12" s="1332" t="s">
        <v>3660</v>
      </c>
      <c r="B12" s="1332" t="s">
        <v>1727</v>
      </c>
      <c r="C12" s="1333"/>
      <c r="D12" s="1333"/>
      <c r="E12" s="1333"/>
      <c r="F12" s="1332" t="s">
        <v>2</v>
      </c>
      <c r="G12" s="1332" t="s">
        <v>3323</v>
      </c>
      <c r="H12" s="1332" t="s">
        <v>3942</v>
      </c>
      <c r="I12" s="1334">
        <v>75</v>
      </c>
      <c r="J12" s="1334">
        <v>0</v>
      </c>
      <c r="K12" s="1334">
        <v>75</v>
      </c>
      <c r="L12" s="653" t="str">
        <f t="shared" si="2"/>
        <v>246</v>
      </c>
      <c r="M12" s="654" t="str">
        <f t="shared" si="0"/>
        <v>TAUX MAIN D'OEUVRE - VW - MCI - CARROSSERIE</v>
      </c>
      <c r="N12" s="655">
        <f>+IF(OR($Q12=Parametres!$G$2,$Q12=Parametres!$G$3),I12,C12)</f>
        <v>75</v>
      </c>
      <c r="O12" s="655">
        <f>+IF(OR($Q12=Parametres!$G$2,$Q12=Parametres!$G$3),J12,D12)</f>
        <v>0</v>
      </c>
      <c r="P12" s="655">
        <f>+IF(OR($Q12=Parametres!$G$2,$Q12=Parametres!$G$3),K12,E12)</f>
        <v>75</v>
      </c>
      <c r="Q12" s="654" t="str">
        <f t="shared" ref="Q12:S12" si="12">+F12</f>
        <v>1-Mémo</v>
      </c>
      <c r="R12" s="653" t="str">
        <f t="shared" si="12"/>
        <v>24</v>
      </c>
      <c r="S12" s="654" t="str">
        <f t="shared" si="12"/>
        <v>_</v>
      </c>
      <c r="T12" s="656" t="str">
        <f>+VLOOKUP($L12,Data_Validation!$A:$D,1,0)</f>
        <v>246</v>
      </c>
      <c r="U12" s="656">
        <f>+VLOOKUP($L12,Data_Validation!$A:$D,3,0)</f>
        <v>0</v>
      </c>
      <c r="V12" s="656">
        <f>+VLOOKUP($L12,Data_Validation!$A:$D,4,0)</f>
        <v>0</v>
      </c>
      <c r="W12" s="656">
        <f>+VLOOKUP($L12,Data_Validation!$A:$E,5,0)</f>
        <v>0</v>
      </c>
      <c r="X12" s="656">
        <f>+VLOOKUP($L12,Data_Validation!$A:$F,6,0)</f>
        <v>0</v>
      </c>
    </row>
    <row r="13" spans="1:26" ht="15" customHeight="1">
      <c r="A13" s="1332" t="s">
        <v>741</v>
      </c>
      <c r="B13" s="1332" t="s">
        <v>742</v>
      </c>
      <c r="C13" s="1333"/>
      <c r="D13" s="1333"/>
      <c r="E13" s="1333"/>
      <c r="F13" s="1332" t="s">
        <v>2</v>
      </c>
      <c r="G13" s="1332" t="s">
        <v>742</v>
      </c>
      <c r="H13" s="1332" t="s">
        <v>3942</v>
      </c>
      <c r="I13" s="1334">
        <v>0.14000000000000001</v>
      </c>
      <c r="J13" s="1334">
        <v>0</v>
      </c>
      <c r="K13" s="1334">
        <v>0.14000000000000001</v>
      </c>
      <c r="L13" s="653" t="str">
        <f t="shared" si="2"/>
        <v>255</v>
      </c>
      <c r="M13" s="654" t="str">
        <f t="shared" si="0"/>
        <v>BAIES TRAVAIL PRODUCTIVES - SERVICE VW</v>
      </c>
      <c r="N13" s="655">
        <f>+IF(OR($Q13=Parametres!$G$2,$Q13=Parametres!$G$3),I13,C13)</f>
        <v>0.14000000000000001</v>
      </c>
      <c r="O13" s="655">
        <f>+IF(OR($Q13=Parametres!$G$2,$Q13=Parametres!$G$3),J13,D13)</f>
        <v>0</v>
      </c>
      <c r="P13" s="655">
        <f>+IF(OR($Q13=Parametres!$G$2,$Q13=Parametres!$G$3),K13,E13)</f>
        <v>0.14000000000000001</v>
      </c>
      <c r="Q13" s="654" t="str">
        <f t="shared" ref="Q13:S13" si="13">+F13</f>
        <v>1-Mémo</v>
      </c>
      <c r="R13" s="653" t="str">
        <f t="shared" si="13"/>
        <v>255</v>
      </c>
      <c r="S13" s="654" t="str">
        <f t="shared" si="13"/>
        <v>_</v>
      </c>
      <c r="T13" s="656" t="str">
        <f>+VLOOKUP($L13,Data_Validation!$A:$D,1,0)</f>
        <v>255</v>
      </c>
      <c r="U13" s="656">
        <f>+VLOOKUP($L13,Data_Validation!$A:$D,3,0)</f>
        <v>0</v>
      </c>
      <c r="V13" s="656">
        <f>+VLOOKUP($L13,Data_Validation!$A:$D,4,0)</f>
        <v>0</v>
      </c>
      <c r="W13" s="656">
        <f>+VLOOKUP($L13,Data_Validation!$A:$E,5,0)</f>
        <v>0</v>
      </c>
      <c r="X13" s="656">
        <f>+VLOOKUP($L13,Data_Validation!$A:$F,6,0)</f>
        <v>0</v>
      </c>
    </row>
    <row r="14" spans="1:26" ht="15" customHeight="1">
      <c r="A14" s="1332" t="s">
        <v>3661</v>
      </c>
      <c r="B14" s="1332" t="s">
        <v>744</v>
      </c>
      <c r="C14" s="1333"/>
      <c r="D14" s="1333"/>
      <c r="E14" s="1333"/>
      <c r="F14" s="1332" t="s">
        <v>2</v>
      </c>
      <c r="G14" s="1332" t="s">
        <v>744</v>
      </c>
      <c r="H14" s="1332" t="s">
        <v>3942</v>
      </c>
      <c r="I14" s="1334">
        <v>1432.17</v>
      </c>
      <c r="J14" s="1334">
        <v>0</v>
      </c>
      <c r="K14" s="1334">
        <v>1432.17</v>
      </c>
      <c r="L14" s="653" t="str">
        <f t="shared" si="2"/>
        <v>257</v>
      </c>
      <c r="M14" s="654" t="str">
        <f t="shared" si="0"/>
        <v>HEURES VENDUES - SVC - VW - MCI - CLIENT</v>
      </c>
      <c r="N14" s="655">
        <f>+IF(OR($Q14=Parametres!$G$2,$Q14=Parametres!$G$3),I14,C14)</f>
        <v>1432.17</v>
      </c>
      <c r="O14" s="655">
        <f>+IF(OR($Q14=Parametres!$G$2,$Q14=Parametres!$G$3),J14,D14)</f>
        <v>0</v>
      </c>
      <c r="P14" s="655">
        <f>+IF(OR($Q14=Parametres!$G$2,$Q14=Parametres!$G$3),K14,E14)</f>
        <v>1432.17</v>
      </c>
      <c r="Q14" s="654" t="str">
        <f t="shared" ref="Q14:S14" si="14">+F14</f>
        <v>1-Mémo</v>
      </c>
      <c r="R14" s="653" t="str">
        <f t="shared" si="14"/>
        <v>257</v>
      </c>
      <c r="S14" s="654" t="str">
        <f t="shared" si="14"/>
        <v>_</v>
      </c>
      <c r="T14" s="656" t="str">
        <f>+VLOOKUP($L14,Data_Validation!$A:$D,1,0)</f>
        <v>257</v>
      </c>
      <c r="U14" s="656">
        <f>+VLOOKUP($L14,Data_Validation!$A:$D,3,0)</f>
        <v>0</v>
      </c>
      <c r="V14" s="656">
        <f>+VLOOKUP($L14,Data_Validation!$A:$D,4,0)</f>
        <v>0</v>
      </c>
      <c r="W14" s="656">
        <f>+VLOOKUP($L14,Data_Validation!$A:$E,5,0)</f>
        <v>0</v>
      </c>
      <c r="X14" s="656">
        <f>+VLOOKUP($L14,Data_Validation!$A:$F,6,0)</f>
        <v>0</v>
      </c>
    </row>
    <row r="15" spans="1:26" ht="15" customHeight="1">
      <c r="A15" s="1332" t="s">
        <v>3662</v>
      </c>
      <c r="B15" s="1332" t="s">
        <v>1750</v>
      </c>
      <c r="C15" s="1333"/>
      <c r="D15" s="1333"/>
      <c r="E15" s="1333"/>
      <c r="F15" s="1332" t="s">
        <v>2</v>
      </c>
      <c r="G15" s="1332" t="s">
        <v>744</v>
      </c>
      <c r="H15" s="1332" t="s">
        <v>3942</v>
      </c>
      <c r="I15" s="1334">
        <v>1234.05</v>
      </c>
      <c r="J15" s="1334">
        <v>0</v>
      </c>
      <c r="K15" s="1334">
        <v>1234.05</v>
      </c>
      <c r="L15" s="653" t="str">
        <f t="shared" si="2"/>
        <v>258</v>
      </c>
      <c r="M15" s="654" t="str">
        <f t="shared" si="0"/>
        <v>HEURES VENDUES - SVC - VW - MCI - GARANTIE</v>
      </c>
      <c r="N15" s="655">
        <f>+IF(OR($Q15=Parametres!$G$2,$Q15=Parametres!$G$3),I15,C15)</f>
        <v>1234.05</v>
      </c>
      <c r="O15" s="655">
        <f>+IF(OR($Q15=Parametres!$G$2,$Q15=Parametres!$G$3),J15,D15)</f>
        <v>0</v>
      </c>
      <c r="P15" s="655">
        <f>+IF(OR($Q15=Parametres!$G$2,$Q15=Parametres!$G$3),K15,E15)</f>
        <v>1234.05</v>
      </c>
      <c r="Q15" s="654" t="str">
        <f t="shared" ref="Q15:S15" si="15">+F15</f>
        <v>1-Mémo</v>
      </c>
      <c r="R15" s="653" t="str">
        <f t="shared" si="15"/>
        <v>257</v>
      </c>
      <c r="S15" s="654" t="str">
        <f t="shared" si="15"/>
        <v>_</v>
      </c>
      <c r="T15" s="656" t="str">
        <f>+VLOOKUP($L15,Data_Validation!$A:$D,1,0)</f>
        <v>258</v>
      </c>
      <c r="U15" s="656">
        <f>+VLOOKUP($L15,Data_Validation!$A:$D,3,0)</f>
        <v>0</v>
      </c>
      <c r="V15" s="656">
        <f>+VLOOKUP($L15,Data_Validation!$A:$D,4,0)</f>
        <v>0</v>
      </c>
      <c r="W15" s="656">
        <f>+VLOOKUP($L15,Data_Validation!$A:$E,5,0)</f>
        <v>0</v>
      </c>
      <c r="X15" s="656">
        <f>+VLOOKUP($L15,Data_Validation!$A:$F,6,0)</f>
        <v>0</v>
      </c>
    </row>
    <row r="16" spans="1:26" ht="15" customHeight="1">
      <c r="A16" s="1332" t="s">
        <v>3663</v>
      </c>
      <c r="B16" s="1332" t="s">
        <v>1753</v>
      </c>
      <c r="C16" s="1333"/>
      <c r="D16" s="1333"/>
      <c r="E16" s="1333"/>
      <c r="F16" s="1332" t="s">
        <v>2</v>
      </c>
      <c r="G16" s="1332" t="s">
        <v>744</v>
      </c>
      <c r="H16" s="1332" t="s">
        <v>3942</v>
      </c>
      <c r="I16" s="1334">
        <v>1353.81</v>
      </c>
      <c r="J16" s="1334">
        <v>0</v>
      </c>
      <c r="K16" s="1334">
        <v>1353.81</v>
      </c>
      <c r="L16" s="653" t="str">
        <f t="shared" si="2"/>
        <v>259</v>
      </c>
      <c r="M16" s="654" t="str">
        <f t="shared" si="0"/>
        <v>HEURES VENDUES - SVC - VW - MCI - INTERNE</v>
      </c>
      <c r="N16" s="655">
        <f>+IF(OR($Q16=Parametres!$G$2,$Q16=Parametres!$G$3),I16,C16)</f>
        <v>1353.81</v>
      </c>
      <c r="O16" s="655">
        <f>+IF(OR($Q16=Parametres!$G$2,$Q16=Parametres!$G$3),J16,D16)</f>
        <v>0</v>
      </c>
      <c r="P16" s="655">
        <f>+IF(OR($Q16=Parametres!$G$2,$Q16=Parametres!$G$3),K16,E16)</f>
        <v>1353.81</v>
      </c>
      <c r="Q16" s="654" t="str">
        <f t="shared" ref="Q16:S16" si="16">+F16</f>
        <v>1-Mémo</v>
      </c>
      <c r="R16" s="653" t="str">
        <f t="shared" si="16"/>
        <v>257</v>
      </c>
      <c r="S16" s="654" t="str">
        <f t="shared" si="16"/>
        <v>_</v>
      </c>
      <c r="T16" s="656" t="str">
        <f>+VLOOKUP($L16,Data_Validation!$A:$D,1,0)</f>
        <v>259</v>
      </c>
      <c r="U16" s="656">
        <f>+VLOOKUP($L16,Data_Validation!$A:$D,3,0)</f>
        <v>0</v>
      </c>
      <c r="V16" s="656">
        <f>+VLOOKUP($L16,Data_Validation!$A:$D,4,0)</f>
        <v>0</v>
      </c>
      <c r="W16" s="656">
        <f>+VLOOKUP($L16,Data_Validation!$A:$E,5,0)</f>
        <v>0</v>
      </c>
      <c r="X16" s="656">
        <f>+VLOOKUP($L16,Data_Validation!$A:$F,6,0)</f>
        <v>0</v>
      </c>
    </row>
    <row r="17" spans="1:24" ht="15" customHeight="1">
      <c r="A17" s="1332" t="s">
        <v>3948</v>
      </c>
      <c r="B17" s="1332" t="s">
        <v>3949</v>
      </c>
      <c r="C17" s="1333"/>
      <c r="D17" s="1333"/>
      <c r="E17" s="1333"/>
      <c r="F17" s="1332" t="s">
        <v>2</v>
      </c>
      <c r="G17" s="1332" t="s">
        <v>3950</v>
      </c>
      <c r="H17" s="1332" t="s">
        <v>3942</v>
      </c>
      <c r="I17" s="1334">
        <v>169.95</v>
      </c>
      <c r="J17" s="1334">
        <v>0</v>
      </c>
      <c r="K17" s="1334">
        <v>169.95</v>
      </c>
      <c r="L17" s="653" t="str">
        <f t="shared" si="2"/>
        <v>266</v>
      </c>
      <c r="M17" s="654" t="str">
        <f t="shared" si="0"/>
        <v>TAUX MAIN D'OEUVRE - CLIENT - VW - VEB</v>
      </c>
      <c r="N17" s="655">
        <f>+IF(OR($Q17=Parametres!$G$2,$Q17=Parametres!$G$3),I17,C17)</f>
        <v>169.95</v>
      </c>
      <c r="O17" s="655">
        <f>+IF(OR($Q17=Parametres!$G$2,$Q17=Parametres!$G$3),J17,D17)</f>
        <v>0</v>
      </c>
      <c r="P17" s="655">
        <f>+IF(OR($Q17=Parametres!$G$2,$Q17=Parametres!$G$3),K17,E17)</f>
        <v>169.95</v>
      </c>
      <c r="Q17" s="654" t="str">
        <f t="shared" ref="Q17:S17" si="17">+F17</f>
        <v>1-Mémo</v>
      </c>
      <c r="R17" s="653" t="str">
        <f t="shared" si="17"/>
        <v>26</v>
      </c>
      <c r="S17" s="654" t="str">
        <f t="shared" si="17"/>
        <v>_</v>
      </c>
      <c r="T17" s="656" t="e">
        <f>+VLOOKUP($L17,Data_Validation!$A:$D,1,0)</f>
        <v>#N/A</v>
      </c>
      <c r="U17" s="656" t="e">
        <f>+VLOOKUP($L17,Data_Validation!$A:$D,3,0)</f>
        <v>#N/A</v>
      </c>
      <c r="V17" s="656" t="e">
        <f>+VLOOKUP($L17,Data_Validation!$A:$D,4,0)</f>
        <v>#N/A</v>
      </c>
      <c r="W17" s="656" t="e">
        <f>+VLOOKUP($L17,Data_Validation!$A:$E,5,0)</f>
        <v>#N/A</v>
      </c>
      <c r="X17" s="656" t="e">
        <f>+VLOOKUP($L17,Data_Validation!$A:$F,6,0)</f>
        <v>#N/A</v>
      </c>
    </row>
    <row r="18" spans="1:24" ht="15" customHeight="1">
      <c r="A18" s="1332" t="s">
        <v>3951</v>
      </c>
      <c r="B18" s="1332" t="s">
        <v>3952</v>
      </c>
      <c r="C18" s="1333"/>
      <c r="D18" s="1333"/>
      <c r="E18" s="1333"/>
      <c r="F18" s="1332" t="s">
        <v>2</v>
      </c>
      <c r="G18" s="1332" t="s">
        <v>3950</v>
      </c>
      <c r="H18" s="1332" t="s">
        <v>3942</v>
      </c>
      <c r="I18" s="1334">
        <v>142.97</v>
      </c>
      <c r="J18" s="1334">
        <v>0</v>
      </c>
      <c r="K18" s="1334">
        <v>142.97</v>
      </c>
      <c r="L18" s="653" t="str">
        <f t="shared" si="2"/>
        <v>267</v>
      </c>
      <c r="M18" s="654" t="str">
        <f t="shared" si="0"/>
        <v>TAUX MAIN D'OEUVRE - GARANTIE - VW - VEB</v>
      </c>
      <c r="N18" s="655">
        <f>+IF(OR($Q18=Parametres!$G$2,$Q18=Parametres!$G$3),I18,C18)</f>
        <v>142.97</v>
      </c>
      <c r="O18" s="655">
        <f>+IF(OR($Q18=Parametres!$G$2,$Q18=Parametres!$G$3),J18,D18)</f>
        <v>0</v>
      </c>
      <c r="P18" s="655">
        <f>+IF(OR($Q18=Parametres!$G$2,$Q18=Parametres!$G$3),K18,E18)</f>
        <v>142.97</v>
      </c>
      <c r="Q18" s="654" t="str">
        <f t="shared" ref="Q18:S18" si="18">+F18</f>
        <v>1-Mémo</v>
      </c>
      <c r="R18" s="653" t="str">
        <f t="shared" si="18"/>
        <v>26</v>
      </c>
      <c r="S18" s="654" t="str">
        <f t="shared" si="18"/>
        <v>_</v>
      </c>
      <c r="T18" s="656" t="e">
        <f>+VLOOKUP($L18,Data_Validation!$A:$D,1,0)</f>
        <v>#N/A</v>
      </c>
      <c r="U18" s="656" t="e">
        <f>+VLOOKUP($L18,Data_Validation!$A:$D,3,0)</f>
        <v>#N/A</v>
      </c>
      <c r="V18" s="656" t="e">
        <f>+VLOOKUP($L18,Data_Validation!$A:$D,4,0)</f>
        <v>#N/A</v>
      </c>
      <c r="W18" s="656" t="e">
        <f>+VLOOKUP($L18,Data_Validation!$A:$E,5,0)</f>
        <v>#N/A</v>
      </c>
      <c r="X18" s="656" t="e">
        <f>+VLOOKUP($L18,Data_Validation!$A:$F,6,0)</f>
        <v>#N/A</v>
      </c>
    </row>
    <row r="19" spans="1:24" ht="15" customHeight="1">
      <c r="A19" s="1332" t="s">
        <v>3953</v>
      </c>
      <c r="B19" s="1332" t="s">
        <v>3954</v>
      </c>
      <c r="C19" s="1333"/>
      <c r="D19" s="1333"/>
      <c r="E19" s="1333"/>
      <c r="F19" s="1332" t="s">
        <v>2</v>
      </c>
      <c r="G19" s="1332" t="s">
        <v>3950</v>
      </c>
      <c r="H19" s="1332" t="s">
        <v>3942</v>
      </c>
      <c r="I19" s="1334">
        <v>169.95</v>
      </c>
      <c r="J19" s="1334">
        <v>0</v>
      </c>
      <c r="K19" s="1334">
        <v>169.95</v>
      </c>
      <c r="L19" s="653" t="str">
        <f t="shared" si="2"/>
        <v>268</v>
      </c>
      <c r="M19" s="654" t="str">
        <f t="shared" si="0"/>
        <v>TAUX MAIN D'OEUVRE - INTERNE - VW - VEB</v>
      </c>
      <c r="N19" s="655">
        <f>+IF(OR($Q19=Parametres!$G$2,$Q19=Parametres!$G$3),I19,C19)</f>
        <v>169.95</v>
      </c>
      <c r="O19" s="659">
        <f>+IF(OR($Q19=Parametres!$G$2,$Q19=Parametres!$G$3),J19,D19)</f>
        <v>0</v>
      </c>
      <c r="P19" s="655">
        <f>+IF(OR($Q19=Parametres!$G$2,$Q19=Parametres!$G$3),K19,E19)</f>
        <v>169.95</v>
      </c>
      <c r="Q19" s="654" t="str">
        <f t="shared" ref="Q19:S19" si="19">+F19</f>
        <v>1-Mémo</v>
      </c>
      <c r="R19" s="653" t="str">
        <f t="shared" si="19"/>
        <v>26</v>
      </c>
      <c r="S19" s="654" t="str">
        <f t="shared" si="19"/>
        <v>_</v>
      </c>
      <c r="T19" s="656" t="e">
        <f>+VLOOKUP($L19,Data_Validation!$A:$D,1,0)</f>
        <v>#N/A</v>
      </c>
      <c r="U19" s="656" t="e">
        <f>+VLOOKUP($L19,Data_Validation!$A:$D,3,0)</f>
        <v>#N/A</v>
      </c>
      <c r="V19" s="656" t="e">
        <f>+VLOOKUP($L19,Data_Validation!$A:$D,4,0)</f>
        <v>#N/A</v>
      </c>
      <c r="W19" s="656" t="e">
        <f>+VLOOKUP($L19,Data_Validation!$A:$E,5,0)</f>
        <v>#N/A</v>
      </c>
      <c r="X19" s="656" t="e">
        <f>+VLOOKUP($L19,Data_Validation!$A:$F,6,0)</f>
        <v>#N/A</v>
      </c>
    </row>
    <row r="20" spans="1:24" ht="15" customHeight="1">
      <c r="A20" s="1332" t="s">
        <v>3955</v>
      </c>
      <c r="B20" s="1332" t="s">
        <v>3956</v>
      </c>
      <c r="C20" s="1333"/>
      <c r="D20" s="1333"/>
      <c r="E20" s="1333"/>
      <c r="F20" s="1332" t="s">
        <v>2</v>
      </c>
      <c r="G20" s="1332" t="s">
        <v>3950</v>
      </c>
      <c r="H20" s="1332" t="s">
        <v>3942</v>
      </c>
      <c r="I20" s="1334">
        <v>75</v>
      </c>
      <c r="J20" s="1334">
        <v>0</v>
      </c>
      <c r="K20" s="1334">
        <v>75</v>
      </c>
      <c r="L20" s="653" t="str">
        <f t="shared" si="2"/>
        <v>269</v>
      </c>
      <c r="M20" s="654" t="str">
        <f t="shared" si="0"/>
        <v>TAUX MAIN D'OEUVRE - BODY - VW - VEB</v>
      </c>
      <c r="N20" s="655">
        <f>+IF(OR($Q20=Parametres!$G$2,$Q20=Parametres!$G$3),I20,C20)</f>
        <v>75</v>
      </c>
      <c r="O20" s="655">
        <f>+IF(OR($Q20=Parametres!$G$2,$Q20=Parametres!$G$3),J20,D20)</f>
        <v>0</v>
      </c>
      <c r="P20" s="655">
        <f>+IF(OR($Q20=Parametres!$G$2,$Q20=Parametres!$G$3),K20,E20)</f>
        <v>75</v>
      </c>
      <c r="Q20" s="654" t="str">
        <f t="shared" ref="Q20:S20" si="20">+F20</f>
        <v>1-Mémo</v>
      </c>
      <c r="R20" s="653" t="str">
        <f t="shared" si="20"/>
        <v>26</v>
      </c>
      <c r="S20" s="654" t="str">
        <f t="shared" si="20"/>
        <v>_</v>
      </c>
      <c r="T20" s="656" t="e">
        <f>+VLOOKUP($L20,Data_Validation!$A:$D,1,0)</f>
        <v>#N/A</v>
      </c>
      <c r="U20" s="656" t="e">
        <f>+VLOOKUP($L20,Data_Validation!$A:$D,3,0)</f>
        <v>#N/A</v>
      </c>
      <c r="V20" s="656" t="e">
        <f>+VLOOKUP($L20,Data_Validation!$A:$D,4,0)</f>
        <v>#N/A</v>
      </c>
      <c r="W20" s="656" t="e">
        <f>+VLOOKUP($L20,Data_Validation!$A:$E,5,0)</f>
        <v>#N/A</v>
      </c>
      <c r="X20" s="656" t="e">
        <f>+VLOOKUP($L20,Data_Validation!$A:$F,6,0)</f>
        <v>#N/A</v>
      </c>
    </row>
    <row r="21" spans="1:24" ht="15" customHeight="1">
      <c r="A21" s="1332" t="s">
        <v>749</v>
      </c>
      <c r="B21" s="1332" t="s">
        <v>1774</v>
      </c>
      <c r="C21" s="1333"/>
      <c r="D21" s="1333"/>
      <c r="E21" s="1333"/>
      <c r="F21" s="1332" t="s">
        <v>2</v>
      </c>
      <c r="G21" s="1332" t="s">
        <v>748</v>
      </c>
      <c r="H21" s="1332" t="s">
        <v>3942</v>
      </c>
      <c r="I21" s="1334">
        <v>93416.45</v>
      </c>
      <c r="J21" s="1334">
        <v>0</v>
      </c>
      <c r="K21" s="1334">
        <v>93416.45</v>
      </c>
      <c r="L21" s="653" t="str">
        <f t="shared" si="2"/>
        <v>301</v>
      </c>
      <c r="M21" s="654" t="str">
        <f t="shared" si="0"/>
        <v>CLIENT S P ET A PASSE DU 30-60</v>
      </c>
      <c r="N21" s="655">
        <f>+IF(OR($Q21=Parametres!$G$2,$Q21=Parametres!$G$3),I21,C21)</f>
        <v>93416.45</v>
      </c>
      <c r="O21" s="655">
        <f>+IF(OR($Q21=Parametres!$G$2,$Q21=Parametres!$G$3),J21,D21)</f>
        <v>0</v>
      </c>
      <c r="P21" s="655">
        <f>+IF(OR($Q21=Parametres!$G$2,$Q21=Parametres!$G$3),K21,E21)</f>
        <v>93416.45</v>
      </c>
      <c r="Q21" s="654" t="str">
        <f t="shared" ref="Q21:S21" si="21">+F21</f>
        <v>1-Mémo</v>
      </c>
      <c r="R21" s="653" t="str">
        <f t="shared" si="21"/>
        <v>30</v>
      </c>
      <c r="S21" s="654" t="str">
        <f t="shared" si="21"/>
        <v>_</v>
      </c>
      <c r="T21" s="656" t="str">
        <f>+VLOOKUP($L21,Data_Validation!$A:$D,1,0)</f>
        <v>301</v>
      </c>
      <c r="U21" s="656">
        <f>+VLOOKUP($L21,Data_Validation!$A:$D,3,0)</f>
        <v>0</v>
      </c>
      <c r="V21" s="656">
        <f>+VLOOKUP($L21,Data_Validation!$A:$D,4,0)</f>
        <v>0</v>
      </c>
      <c r="W21" s="656">
        <f>+VLOOKUP($L21,Data_Validation!$A:$E,5,0)</f>
        <v>0</v>
      </c>
      <c r="X21" s="656">
        <f>+VLOOKUP($L21,Data_Validation!$A:$F,6,0)</f>
        <v>0</v>
      </c>
    </row>
    <row r="22" spans="1:24" ht="15" customHeight="1">
      <c r="A22" s="1332" t="s">
        <v>750</v>
      </c>
      <c r="B22" s="1332" t="s">
        <v>1777</v>
      </c>
      <c r="C22" s="1333"/>
      <c r="D22" s="1333"/>
      <c r="E22" s="1333"/>
      <c r="F22" s="1332" t="s">
        <v>2</v>
      </c>
      <c r="G22" s="1332" t="s">
        <v>748</v>
      </c>
      <c r="H22" s="1332" t="s">
        <v>3942</v>
      </c>
      <c r="I22" s="1334">
        <v>18736.07</v>
      </c>
      <c r="J22" s="1334">
        <v>0</v>
      </c>
      <c r="K22" s="1334">
        <v>18736.07</v>
      </c>
      <c r="L22" s="653" t="str">
        <f t="shared" si="2"/>
        <v>302</v>
      </c>
      <c r="M22" s="654" t="str">
        <f t="shared" si="0"/>
        <v>RECLAM GARANTIE VW PASSE DU 30-60</v>
      </c>
      <c r="N22" s="655">
        <f>+IF(OR($Q22=Parametres!$G$2,$Q22=Parametres!$G$3),I22,C22)</f>
        <v>18736.07</v>
      </c>
      <c r="O22" s="655">
        <f>+IF(OR($Q22=Parametres!$G$2,$Q22=Parametres!$G$3),J22,D22)</f>
        <v>0</v>
      </c>
      <c r="P22" s="655">
        <f>+IF(OR($Q22=Parametres!$G$2,$Q22=Parametres!$G$3),K22,E22)</f>
        <v>18736.07</v>
      </c>
      <c r="Q22" s="654" t="str">
        <f t="shared" ref="Q22:S22" si="22">+F22</f>
        <v>1-Mémo</v>
      </c>
      <c r="R22" s="653" t="str">
        <f t="shared" si="22"/>
        <v>30</v>
      </c>
      <c r="S22" s="654" t="str">
        <f t="shared" si="22"/>
        <v>_</v>
      </c>
      <c r="T22" s="656" t="str">
        <f>+VLOOKUP($L22,Data_Validation!$A:$D,1,0)</f>
        <v>302</v>
      </c>
      <c r="U22" s="656">
        <f>+VLOOKUP($L22,Data_Validation!$A:$D,3,0)</f>
        <v>0</v>
      </c>
      <c r="V22" s="656">
        <f>+VLOOKUP($L22,Data_Validation!$A:$D,4,0)</f>
        <v>0</v>
      </c>
      <c r="W22" s="656">
        <f>+VLOOKUP($L22,Data_Validation!$A:$E,5,0)</f>
        <v>0</v>
      </c>
      <c r="X22" s="656">
        <f>+VLOOKUP($L22,Data_Validation!$A:$F,6,0)</f>
        <v>0</v>
      </c>
    </row>
    <row r="23" spans="1:24" ht="15" customHeight="1">
      <c r="A23" s="1332" t="s">
        <v>751</v>
      </c>
      <c r="B23" s="1332" t="s">
        <v>1780</v>
      </c>
      <c r="C23" s="1333"/>
      <c r="D23" s="1333"/>
      <c r="E23" s="1333"/>
      <c r="F23" s="1332" t="s">
        <v>2</v>
      </c>
      <c r="G23" s="1332" t="s">
        <v>748</v>
      </c>
      <c r="H23" s="1332" t="s">
        <v>3942</v>
      </c>
      <c r="I23" s="1334">
        <v>23250</v>
      </c>
      <c r="J23" s="1334">
        <v>0</v>
      </c>
      <c r="K23" s="1334">
        <v>23250</v>
      </c>
      <c r="L23" s="653" t="str">
        <f t="shared" si="2"/>
        <v>307</v>
      </c>
      <c r="M23" s="654" t="str">
        <f t="shared" si="0"/>
        <v>AUTRE REC MANUFACTURIER VW PASSE DU 30-60</v>
      </c>
      <c r="N23" s="655">
        <f>+IF(OR($Q23=Parametres!$G$2,$Q23=Parametres!$G$3),I23,C23)</f>
        <v>23250</v>
      </c>
      <c r="O23" s="655">
        <f>+IF(OR($Q23=Parametres!$G$2,$Q23=Parametres!$G$3),J23,D23)</f>
        <v>0</v>
      </c>
      <c r="P23" s="655">
        <f>+IF(OR($Q23=Parametres!$G$2,$Q23=Parametres!$G$3),K23,E23)</f>
        <v>23250</v>
      </c>
      <c r="Q23" s="654" t="str">
        <f t="shared" ref="Q23:S23" si="23">+F23</f>
        <v>1-Mémo</v>
      </c>
      <c r="R23" s="653" t="str">
        <f t="shared" si="23"/>
        <v>30</v>
      </c>
      <c r="S23" s="654" t="str">
        <f t="shared" si="23"/>
        <v>_</v>
      </c>
      <c r="T23" s="656" t="str">
        <f>+VLOOKUP($L23,Data_Validation!$A:$D,1,0)</f>
        <v>307</v>
      </c>
      <c r="U23" s="656">
        <f>+VLOOKUP($L23,Data_Validation!$A:$D,3,0)</f>
        <v>0</v>
      </c>
      <c r="V23" s="656">
        <f>+VLOOKUP($L23,Data_Validation!$A:$D,4,0)</f>
        <v>0</v>
      </c>
      <c r="W23" s="656">
        <f>+VLOOKUP($L23,Data_Validation!$A:$E,5,0)</f>
        <v>0</v>
      </c>
      <c r="X23" s="656">
        <f>+VLOOKUP($L23,Data_Validation!$A:$F,6,0)</f>
        <v>0</v>
      </c>
    </row>
    <row r="24" spans="1:24" ht="15" customHeight="1">
      <c r="A24" s="1332" t="s">
        <v>752</v>
      </c>
      <c r="B24" s="1332" t="s">
        <v>1783</v>
      </c>
      <c r="C24" s="1333"/>
      <c r="D24" s="1333"/>
      <c r="E24" s="1333"/>
      <c r="F24" s="1332" t="s">
        <v>2</v>
      </c>
      <c r="G24" s="1332" t="s">
        <v>3324</v>
      </c>
      <c r="H24" s="1332" t="s">
        <v>3942</v>
      </c>
      <c r="I24" s="1334">
        <v>42293.36</v>
      </c>
      <c r="J24" s="1334">
        <v>0</v>
      </c>
      <c r="K24" s="1334">
        <v>42293.36</v>
      </c>
      <c r="L24" s="653" t="str">
        <f t="shared" si="2"/>
        <v>311</v>
      </c>
      <c r="M24" s="654" t="str">
        <f t="shared" si="0"/>
        <v>CLIENT VEH PLUS DE 60</v>
      </c>
      <c r="N24" s="655">
        <f>+IF(OR($Q24=Parametres!$G$2,$Q24=Parametres!$G$3),I24,C24)</f>
        <v>42293.36</v>
      </c>
      <c r="O24" s="655">
        <f>+IF(OR($Q24=Parametres!$G$2,$Q24=Parametres!$G$3),J24,D24)</f>
        <v>0</v>
      </c>
      <c r="P24" s="655">
        <f>+IF(OR($Q24=Parametres!$G$2,$Q24=Parametres!$G$3),K24,E24)</f>
        <v>42293.36</v>
      </c>
      <c r="Q24" s="654" t="str">
        <f t="shared" ref="Q24:S24" si="24">+F24</f>
        <v>1-Mémo</v>
      </c>
      <c r="R24" s="653" t="str">
        <f t="shared" si="24"/>
        <v>31</v>
      </c>
      <c r="S24" s="654" t="str">
        <f t="shared" si="24"/>
        <v>_</v>
      </c>
      <c r="T24" s="656" t="str">
        <f>+VLOOKUP($L24,Data_Validation!$A:$D,1,0)</f>
        <v>311</v>
      </c>
      <c r="U24" s="656">
        <f>+VLOOKUP($L24,Data_Validation!$A:$D,3,0)</f>
        <v>0</v>
      </c>
      <c r="V24" s="656">
        <f>+VLOOKUP($L24,Data_Validation!$A:$D,4,0)</f>
        <v>0</v>
      </c>
      <c r="W24" s="656">
        <f>+VLOOKUP($L24,Data_Validation!$A:$E,5,0)</f>
        <v>0</v>
      </c>
      <c r="X24" s="656">
        <f>+VLOOKUP($L24,Data_Validation!$A:$F,6,0)</f>
        <v>0</v>
      </c>
    </row>
    <row r="25" spans="1:24" ht="15" customHeight="1">
      <c r="A25" s="1332" t="s">
        <v>753</v>
      </c>
      <c r="B25" s="1332" t="s">
        <v>1786</v>
      </c>
      <c r="C25" s="1333"/>
      <c r="D25" s="1333"/>
      <c r="E25" s="1333"/>
      <c r="F25" s="1332" t="s">
        <v>2</v>
      </c>
      <c r="G25" s="1332" t="s">
        <v>3324</v>
      </c>
      <c r="H25" s="1332" t="s">
        <v>3942</v>
      </c>
      <c r="I25" s="1334">
        <v>44578.87</v>
      </c>
      <c r="J25" s="1334">
        <v>0</v>
      </c>
      <c r="K25" s="1334">
        <v>44578.87</v>
      </c>
      <c r="L25" s="653" t="str">
        <f t="shared" si="2"/>
        <v>312</v>
      </c>
      <c r="M25" s="654" t="str">
        <f t="shared" si="0"/>
        <v>CLIENT S P ET A PLUS DE 60</v>
      </c>
      <c r="N25" s="655">
        <f>+IF(OR($Q25=Parametres!$G$2,$Q25=Parametres!$G$3),I25,C25)</f>
        <v>44578.87</v>
      </c>
      <c r="O25" s="655">
        <f>+IF(OR($Q25=Parametres!$G$2,$Q25=Parametres!$G$3),J25,D25)</f>
        <v>0</v>
      </c>
      <c r="P25" s="655">
        <f>+IF(OR($Q25=Parametres!$G$2,$Q25=Parametres!$G$3),K25,E25)</f>
        <v>44578.87</v>
      </c>
      <c r="Q25" s="654" t="str">
        <f t="shared" ref="Q25:S25" si="25">+F25</f>
        <v>1-Mémo</v>
      </c>
      <c r="R25" s="653" t="str">
        <f t="shared" si="25"/>
        <v>31</v>
      </c>
      <c r="S25" s="654" t="str">
        <f t="shared" si="25"/>
        <v>_</v>
      </c>
      <c r="T25" s="656" t="str">
        <f>+VLOOKUP($L25,Data_Validation!$A:$D,1,0)</f>
        <v>312</v>
      </c>
      <c r="U25" s="656">
        <f>+VLOOKUP($L25,Data_Validation!$A:$D,3,0)</f>
        <v>0</v>
      </c>
      <c r="V25" s="656">
        <f>+VLOOKUP($L25,Data_Validation!$A:$D,4,0)</f>
        <v>0</v>
      </c>
      <c r="W25" s="656">
        <f>+VLOOKUP($L25,Data_Validation!$A:$E,5,0)</f>
        <v>0</v>
      </c>
      <c r="X25" s="656">
        <f>+VLOOKUP($L25,Data_Validation!$A:$F,6,0)</f>
        <v>0</v>
      </c>
    </row>
    <row r="26" spans="1:24" ht="15.75" customHeight="1">
      <c r="A26" s="1332" t="s">
        <v>754</v>
      </c>
      <c r="B26" s="1332" t="s">
        <v>1789</v>
      </c>
      <c r="C26" s="1333"/>
      <c r="D26" s="1333"/>
      <c r="E26" s="1333"/>
      <c r="F26" s="1332" t="s">
        <v>2</v>
      </c>
      <c r="G26" s="1332" t="s">
        <v>3324</v>
      </c>
      <c r="H26" s="1332" t="s">
        <v>3942</v>
      </c>
      <c r="I26" s="1334">
        <v>57580.56</v>
      </c>
      <c r="J26" s="1334">
        <v>0</v>
      </c>
      <c r="K26" s="1334">
        <v>57580.56</v>
      </c>
      <c r="L26" s="653" t="str">
        <f t="shared" si="2"/>
        <v>313</v>
      </c>
      <c r="M26" s="654" t="str">
        <f t="shared" si="0"/>
        <v>RECLAMATIONS DE GARATIE VW PLUS DE 60</v>
      </c>
      <c r="N26" s="655">
        <f>+IF(OR($Q26=Parametres!$G$2,$Q26=Parametres!$G$3),I26,C26)</f>
        <v>57580.56</v>
      </c>
      <c r="O26" s="655">
        <f>+IF(OR($Q26=Parametres!$G$2,$Q26=Parametres!$G$3),J26,D26)</f>
        <v>0</v>
      </c>
      <c r="P26" s="655">
        <f>+IF(OR($Q26=Parametres!$G$2,$Q26=Parametres!$G$3),K26,E26)</f>
        <v>57580.56</v>
      </c>
      <c r="Q26" s="654" t="str">
        <f t="shared" ref="Q26:S26" si="26">+F26</f>
        <v>1-Mémo</v>
      </c>
      <c r="R26" s="653" t="str">
        <f t="shared" si="26"/>
        <v>31</v>
      </c>
      <c r="S26" s="654" t="str">
        <f t="shared" si="26"/>
        <v>_</v>
      </c>
      <c r="T26" s="656" t="str">
        <f>+VLOOKUP($L26,Data_Validation!$A:$D,1,0)</f>
        <v>313</v>
      </c>
      <c r="U26" s="656">
        <f>+VLOOKUP($L26,Data_Validation!$A:$D,3,0)</f>
        <v>0</v>
      </c>
      <c r="V26" s="656">
        <f>+VLOOKUP($L26,Data_Validation!$A:$D,4,0)</f>
        <v>0</v>
      </c>
      <c r="W26" s="656">
        <f>+VLOOKUP($L26,Data_Validation!$A:$E,5,0)</f>
        <v>0</v>
      </c>
      <c r="X26" s="656">
        <f>+VLOOKUP($L26,Data_Validation!$A:$F,6,0)</f>
        <v>0</v>
      </c>
    </row>
    <row r="27" spans="1:24" ht="15" customHeight="1">
      <c r="A27" s="1332" t="s">
        <v>755</v>
      </c>
      <c r="B27" s="1332" t="s">
        <v>1792</v>
      </c>
      <c r="C27" s="1333"/>
      <c r="D27" s="1333"/>
      <c r="E27" s="1333"/>
      <c r="F27" s="1332" t="s">
        <v>2</v>
      </c>
      <c r="G27" s="1332" t="s">
        <v>3324</v>
      </c>
      <c r="H27" s="1332" t="s">
        <v>3942</v>
      </c>
      <c r="I27" s="1334">
        <v>8597</v>
      </c>
      <c r="J27" s="1334">
        <v>0</v>
      </c>
      <c r="K27" s="1334">
        <v>8597</v>
      </c>
      <c r="L27" s="653" t="str">
        <f t="shared" si="2"/>
        <v>316</v>
      </c>
      <c r="M27" s="654" t="str">
        <f t="shared" si="0"/>
        <v>AUTRE REC MANUFACTURIER VW PLUS DE 60</v>
      </c>
      <c r="N27" s="655">
        <f>+IF(OR($Q27=Parametres!$G$2,$Q27=Parametres!$G$3),I27,C27)</f>
        <v>8597</v>
      </c>
      <c r="O27" s="655">
        <f>+IF(OR($Q27=Parametres!$G$2,$Q27=Parametres!$G$3),J27,D27)</f>
        <v>0</v>
      </c>
      <c r="P27" s="655">
        <f>+IF(OR($Q27=Parametres!$G$2,$Q27=Parametres!$G$3),K27,E27)</f>
        <v>8597</v>
      </c>
      <c r="Q27" s="654" t="str">
        <f t="shared" ref="Q27:S27" si="27">+F27</f>
        <v>1-Mémo</v>
      </c>
      <c r="R27" s="653" t="str">
        <f t="shared" si="27"/>
        <v>31</v>
      </c>
      <c r="S27" s="654" t="str">
        <f t="shared" si="27"/>
        <v>_</v>
      </c>
      <c r="T27" s="656" t="str">
        <f>+VLOOKUP($L27,Data_Validation!$A:$D,1,0)</f>
        <v>316</v>
      </c>
      <c r="U27" s="656">
        <f>+VLOOKUP($L27,Data_Validation!$A:$D,3,0)</f>
        <v>0</v>
      </c>
      <c r="V27" s="656">
        <f>+VLOOKUP($L27,Data_Validation!$A:$D,4,0)</f>
        <v>0</v>
      </c>
      <c r="W27" s="656">
        <f>+VLOOKUP($L27,Data_Validation!$A:$E,5,0)</f>
        <v>0</v>
      </c>
      <c r="X27" s="656">
        <f>+VLOOKUP($L27,Data_Validation!$A:$F,6,0)</f>
        <v>0</v>
      </c>
    </row>
    <row r="28" spans="1:24" ht="15" customHeight="1">
      <c r="A28" s="1332" t="s">
        <v>756</v>
      </c>
      <c r="B28" s="1332" t="s">
        <v>1798</v>
      </c>
      <c r="C28" s="1333"/>
      <c r="D28" s="1333"/>
      <c r="E28" s="1333"/>
      <c r="F28" s="1332" t="s">
        <v>2</v>
      </c>
      <c r="G28" s="1332" t="s">
        <v>3325</v>
      </c>
      <c r="H28" s="1332" t="s">
        <v>3942</v>
      </c>
      <c r="I28" s="1334">
        <v>0.09</v>
      </c>
      <c r="J28" s="1334">
        <v>0</v>
      </c>
      <c r="K28" s="1334">
        <v>0.09</v>
      </c>
      <c r="L28" s="653" t="str">
        <f t="shared" si="2"/>
        <v>350</v>
      </c>
      <c r="M28" s="654" t="str">
        <f t="shared" si="0"/>
        <v>UNITES USAGES +30JRS</v>
      </c>
      <c r="N28" s="655">
        <f>+IF(OR($Q28=Parametres!$G$2,$Q28=Parametres!$G$3),I28,C28)</f>
        <v>0.09</v>
      </c>
      <c r="O28" s="655">
        <f>+IF(OR($Q28=Parametres!$G$2,$Q28=Parametres!$G$3),J28,D28)</f>
        <v>0</v>
      </c>
      <c r="P28" s="655">
        <f>+IF(OR($Q28=Parametres!$G$2,$Q28=Parametres!$G$3),K28,E28)</f>
        <v>0.09</v>
      </c>
      <c r="Q28" s="654" t="str">
        <f t="shared" ref="Q28:S28" si="28">+F28</f>
        <v>1-Mémo</v>
      </c>
      <c r="R28" s="653" t="str">
        <f t="shared" si="28"/>
        <v>35</v>
      </c>
      <c r="S28" s="654" t="str">
        <f t="shared" si="28"/>
        <v>_</v>
      </c>
      <c r="T28" s="656" t="str">
        <f>+VLOOKUP($L28,Data_Validation!$A:$D,1,0)</f>
        <v>350</v>
      </c>
      <c r="U28" s="656">
        <f>+VLOOKUP($L28,Data_Validation!$A:$D,3,0)</f>
        <v>0</v>
      </c>
      <c r="V28" s="656">
        <f>+VLOOKUP($L28,Data_Validation!$A:$D,4,0)</f>
        <v>0</v>
      </c>
      <c r="W28" s="656">
        <f>+VLOOKUP($L28,Data_Validation!$A:$E,5,0)</f>
        <v>0</v>
      </c>
      <c r="X28" s="656">
        <f>+VLOOKUP($L28,Data_Validation!$A:$F,6,0)</f>
        <v>0</v>
      </c>
    </row>
    <row r="29" spans="1:24" ht="15" customHeight="1">
      <c r="A29" s="1332" t="s">
        <v>757</v>
      </c>
      <c r="B29" s="1332" t="s">
        <v>1801</v>
      </c>
      <c r="C29" s="1333"/>
      <c r="D29" s="1333"/>
      <c r="E29" s="1333"/>
      <c r="F29" s="1332" t="s">
        <v>2</v>
      </c>
      <c r="G29" s="1332" t="s">
        <v>3326</v>
      </c>
      <c r="H29" s="1332" t="s">
        <v>3942</v>
      </c>
      <c r="I29" s="1334">
        <v>166591.67999999999</v>
      </c>
      <c r="J29" s="1334">
        <v>0</v>
      </c>
      <c r="K29" s="1334">
        <v>166591.67999999999</v>
      </c>
      <c r="L29" s="653" t="str">
        <f t="shared" si="2"/>
        <v>360</v>
      </c>
      <c r="M29" s="654" t="str">
        <f t="shared" si="0"/>
        <v>OCCASION VW + 60 JRS</v>
      </c>
      <c r="N29" s="655">
        <f>+IF(OR($Q29=Parametres!$G$2,$Q29=Parametres!$G$3),I29,C29)</f>
        <v>166591.67999999999</v>
      </c>
      <c r="O29" s="655">
        <f>+IF(OR($Q29=Parametres!$G$2,$Q29=Parametres!$G$3),J29,D29)</f>
        <v>0</v>
      </c>
      <c r="P29" s="655">
        <f>+IF(OR($Q29=Parametres!$G$2,$Q29=Parametres!$G$3),K29,E29)</f>
        <v>166591.67999999999</v>
      </c>
      <c r="Q29" s="654" t="str">
        <f t="shared" ref="Q29:S29" si="29">+F29</f>
        <v>1-Mémo</v>
      </c>
      <c r="R29" s="653" t="str">
        <f t="shared" si="29"/>
        <v>36</v>
      </c>
      <c r="S29" s="654" t="str">
        <f t="shared" si="29"/>
        <v>_</v>
      </c>
      <c r="T29" s="656" t="str">
        <f>+VLOOKUP($L29,Data_Validation!$A:$D,1,0)</f>
        <v>360</v>
      </c>
      <c r="U29" s="656">
        <f>+VLOOKUP($L29,Data_Validation!$A:$D,3,0)</f>
        <v>0</v>
      </c>
      <c r="V29" s="656">
        <f>+VLOOKUP($L29,Data_Validation!$A:$D,4,0)</f>
        <v>0</v>
      </c>
      <c r="W29" s="656">
        <f>+VLOOKUP($L29,Data_Validation!$A:$E,5,0)</f>
        <v>0</v>
      </c>
      <c r="X29" s="656">
        <f>+VLOOKUP($L29,Data_Validation!$A:$F,6,0)</f>
        <v>0</v>
      </c>
    </row>
    <row r="30" spans="1:24" ht="15" customHeight="1">
      <c r="A30" s="1332" t="s">
        <v>758</v>
      </c>
      <c r="B30" s="1332" t="s">
        <v>1804</v>
      </c>
      <c r="C30" s="1333"/>
      <c r="D30" s="1333"/>
      <c r="E30" s="1333"/>
      <c r="F30" s="1332" t="s">
        <v>2</v>
      </c>
      <c r="G30" s="1332" t="s">
        <v>3327</v>
      </c>
      <c r="H30" s="1332" t="s">
        <v>3942</v>
      </c>
      <c r="I30" s="1334">
        <v>1714416</v>
      </c>
      <c r="J30" s="1334">
        <v>0</v>
      </c>
      <c r="K30" s="1334">
        <v>1714416</v>
      </c>
      <c r="L30" s="653" t="str">
        <f t="shared" si="2"/>
        <v>370</v>
      </c>
      <c r="M30" s="654" t="str">
        <f t="shared" si="0"/>
        <v>AVOIR DU PROP. MIM. REQUIS</v>
      </c>
      <c r="N30" s="655">
        <f>+IF(OR($Q30=Parametres!$G$2,$Q30=Parametres!$G$3),I30,C30)</f>
        <v>1714416</v>
      </c>
      <c r="O30" s="659">
        <f>+IF(OR($Q30=Parametres!$G$2,$Q30=Parametres!$G$3),J30,D30)</f>
        <v>0</v>
      </c>
      <c r="P30" s="655">
        <f>+IF(OR($Q30=Parametres!$G$2,$Q30=Parametres!$G$3),K30,E30)</f>
        <v>1714416</v>
      </c>
      <c r="Q30" s="654" t="str">
        <f t="shared" ref="Q30:S30" si="30">+F30</f>
        <v>1-Mémo</v>
      </c>
      <c r="R30" s="653" t="str">
        <f t="shared" si="30"/>
        <v>37</v>
      </c>
      <c r="S30" s="654" t="str">
        <f t="shared" si="30"/>
        <v>_</v>
      </c>
      <c r="T30" s="656" t="str">
        <f>+VLOOKUP($L30,Data_Validation!$A:$D,1,0)</f>
        <v>370</v>
      </c>
      <c r="U30" s="656">
        <f>+VLOOKUP($L30,Data_Validation!$A:$D,3,0)</f>
        <v>0</v>
      </c>
      <c r="V30" s="656">
        <f>+VLOOKUP($L30,Data_Validation!$A:$D,4,0)</f>
        <v>0</v>
      </c>
      <c r="W30" s="656">
        <f>+VLOOKUP($L30,Data_Validation!$A:$E,5,0)</f>
        <v>0</v>
      </c>
      <c r="X30" s="656">
        <f>+VLOOKUP($L30,Data_Validation!$A:$F,6,0)</f>
        <v>0</v>
      </c>
    </row>
    <row r="31" spans="1:24" ht="15" customHeight="1">
      <c r="A31" s="1332" t="s">
        <v>759</v>
      </c>
      <c r="B31" s="1332" t="s">
        <v>1807</v>
      </c>
      <c r="C31" s="1333"/>
      <c r="D31" s="1333"/>
      <c r="E31" s="1333"/>
      <c r="F31" s="1332" t="s">
        <v>2</v>
      </c>
      <c r="G31" s="1332" t="s">
        <v>3327</v>
      </c>
      <c r="H31" s="1332" t="s">
        <v>3942</v>
      </c>
      <c r="I31" s="1334">
        <v>2639078</v>
      </c>
      <c r="J31" s="1334">
        <v>0</v>
      </c>
      <c r="K31" s="1334">
        <v>2639078</v>
      </c>
      <c r="L31" s="653" t="str">
        <f t="shared" si="2"/>
        <v>372</v>
      </c>
      <c r="M31" s="654" t="str">
        <f t="shared" si="0"/>
        <v>FONDS DE ROULEMENT/MIN. REQUIS</v>
      </c>
      <c r="N31" s="655">
        <f>+IF(OR($Q31=Parametres!$G$2,$Q31=Parametres!$G$3),I31,C31)</f>
        <v>2639078</v>
      </c>
      <c r="O31" s="655">
        <f>+IF(OR($Q31=Parametres!$G$2,$Q31=Parametres!$G$3),J31,D31)</f>
        <v>0</v>
      </c>
      <c r="P31" s="655">
        <f>+IF(OR($Q31=Parametres!$G$2,$Q31=Parametres!$G$3),K31,E31)</f>
        <v>2639078</v>
      </c>
      <c r="Q31" s="654" t="str">
        <f t="shared" ref="Q31:S31" si="31">+F31</f>
        <v>1-Mémo</v>
      </c>
      <c r="R31" s="653" t="str">
        <f t="shared" si="31"/>
        <v>37</v>
      </c>
      <c r="S31" s="654" t="str">
        <f t="shared" si="31"/>
        <v>_</v>
      </c>
      <c r="T31" s="656" t="str">
        <f>+VLOOKUP($L31,Data_Validation!$A:$D,1,0)</f>
        <v>372</v>
      </c>
      <c r="U31" s="656">
        <f>+VLOOKUP($L31,Data_Validation!$A:$D,3,0)</f>
        <v>0</v>
      </c>
      <c r="V31" s="656">
        <f>+VLOOKUP($L31,Data_Validation!$A:$D,4,0)</f>
        <v>0</v>
      </c>
      <c r="W31" s="656">
        <f>+VLOOKUP($L31,Data_Validation!$A:$E,5,0)</f>
        <v>0</v>
      </c>
      <c r="X31" s="656">
        <f>+VLOOKUP($L31,Data_Validation!$A:$F,6,0)</f>
        <v>0</v>
      </c>
    </row>
    <row r="32" spans="1:24" ht="15" customHeight="1">
      <c r="A32" s="1332" t="s">
        <v>760</v>
      </c>
      <c r="B32" s="1332" t="s">
        <v>1812</v>
      </c>
      <c r="C32" s="1333"/>
      <c r="D32" s="1333"/>
      <c r="E32" s="1333"/>
      <c r="F32" s="1332" t="s">
        <v>2</v>
      </c>
      <c r="G32" s="1332" t="s">
        <v>761</v>
      </c>
      <c r="H32" s="1332" t="s">
        <v>3942</v>
      </c>
      <c r="I32" s="1334">
        <v>0.45</v>
      </c>
      <c r="J32" s="1334">
        <v>0</v>
      </c>
      <c r="K32" s="1334">
        <v>0.45</v>
      </c>
      <c r="L32" s="653" t="str">
        <f t="shared" si="2"/>
        <v>401</v>
      </c>
      <c r="M32" s="654" t="str">
        <f t="shared" si="0"/>
        <v>UNITES NEUVES VENDUES JANVIER</v>
      </c>
      <c r="N32" s="655">
        <f>+IF(OR($Q32=Parametres!$G$2,$Q32=Parametres!$G$3),I32,C32)</f>
        <v>0.45</v>
      </c>
      <c r="O32" s="659">
        <f>+IF(OR($Q32=Parametres!$G$2,$Q32=Parametres!$G$3),J32,D32)</f>
        <v>0</v>
      </c>
      <c r="P32" s="655">
        <f>+IF(OR($Q32=Parametres!$G$2,$Q32=Parametres!$G$3),K32,E32)</f>
        <v>0.45</v>
      </c>
      <c r="Q32" s="654" t="str">
        <f t="shared" ref="Q32:S32" si="32">+F32</f>
        <v>1-Mémo</v>
      </c>
      <c r="R32" s="653" t="str">
        <f t="shared" si="32"/>
        <v>40</v>
      </c>
      <c r="S32" s="654" t="str">
        <f t="shared" si="32"/>
        <v>_</v>
      </c>
      <c r="T32" s="656" t="str">
        <f>+VLOOKUP($L32,Data_Validation!$A:$D,1,0)</f>
        <v>401</v>
      </c>
      <c r="U32" s="656">
        <f>+VLOOKUP($L32,Data_Validation!$A:$D,3,0)</f>
        <v>0</v>
      </c>
      <c r="V32" s="656">
        <f>+VLOOKUP($L32,Data_Validation!$A:$D,4,0)</f>
        <v>0</v>
      </c>
      <c r="W32" s="656">
        <f>+VLOOKUP($L32,Data_Validation!$A:$E,5,0)</f>
        <v>0</v>
      </c>
      <c r="X32" s="656">
        <f>+VLOOKUP($L32,Data_Validation!$A:$F,6,0)</f>
        <v>0</v>
      </c>
    </row>
    <row r="33" spans="1:24" ht="15" customHeight="1">
      <c r="A33" s="1332" t="s">
        <v>762</v>
      </c>
      <c r="B33" s="1332" t="s">
        <v>1815</v>
      </c>
      <c r="C33" s="1333"/>
      <c r="D33" s="1333"/>
      <c r="E33" s="1333"/>
      <c r="F33" s="1332" t="s">
        <v>2</v>
      </c>
      <c r="G33" s="1332" t="s">
        <v>761</v>
      </c>
      <c r="H33" s="1332" t="s">
        <v>3942</v>
      </c>
      <c r="I33" s="1334">
        <v>0.51</v>
      </c>
      <c r="J33" s="1334">
        <v>0</v>
      </c>
      <c r="K33" s="1334">
        <v>0.51</v>
      </c>
      <c r="L33" s="653" t="str">
        <f t="shared" si="2"/>
        <v>402</v>
      </c>
      <c r="M33" s="654" t="str">
        <f t="shared" si="0"/>
        <v>UNITES NEUVES VENDUES FEVRIER</v>
      </c>
      <c r="N33" s="655">
        <f>+IF(OR($Q33=Parametres!$G$2,$Q33=Parametres!$G$3),I33,C33)</f>
        <v>0.51</v>
      </c>
      <c r="O33" s="655">
        <f>+IF(OR($Q33=Parametres!$G$2,$Q33=Parametres!$G$3),J33,D33)</f>
        <v>0</v>
      </c>
      <c r="P33" s="655">
        <f>+IF(OR($Q33=Parametres!$G$2,$Q33=Parametres!$G$3),K33,E33)</f>
        <v>0.51</v>
      </c>
      <c r="Q33" s="654" t="str">
        <f t="shared" ref="Q33:S33" si="33">+F33</f>
        <v>1-Mémo</v>
      </c>
      <c r="R33" s="653" t="str">
        <f t="shared" si="33"/>
        <v>40</v>
      </c>
      <c r="S33" s="654" t="str">
        <f t="shared" si="33"/>
        <v>_</v>
      </c>
      <c r="T33" s="656" t="str">
        <f>+VLOOKUP($L33,Data_Validation!$A:$D,1,0)</f>
        <v>402</v>
      </c>
      <c r="U33" s="656">
        <f>+VLOOKUP($L33,Data_Validation!$A:$D,3,0)</f>
        <v>0</v>
      </c>
      <c r="V33" s="656">
        <f>+VLOOKUP($L33,Data_Validation!$A:$D,4,0)</f>
        <v>0</v>
      </c>
      <c r="W33" s="656">
        <f>+VLOOKUP($L33,Data_Validation!$A:$E,5,0)</f>
        <v>0</v>
      </c>
      <c r="X33" s="656">
        <f>+VLOOKUP($L33,Data_Validation!$A:$F,6,0)</f>
        <v>0</v>
      </c>
    </row>
    <row r="34" spans="1:24" ht="15.75" customHeight="1">
      <c r="A34" s="1332" t="s">
        <v>773</v>
      </c>
      <c r="B34" s="1332" t="s">
        <v>1905</v>
      </c>
      <c r="C34" s="1333"/>
      <c r="D34" s="1333"/>
      <c r="E34" s="1333"/>
      <c r="F34" s="1332" t="s">
        <v>2</v>
      </c>
      <c r="G34" s="1332" t="s">
        <v>3328</v>
      </c>
      <c r="H34" s="1332" t="s">
        <v>3942</v>
      </c>
      <c r="I34" s="1334">
        <v>0.35</v>
      </c>
      <c r="J34" s="1334">
        <v>0</v>
      </c>
      <c r="K34" s="1334">
        <v>0.35</v>
      </c>
      <c r="L34" s="653" t="str">
        <f t="shared" si="2"/>
        <v>421</v>
      </c>
      <c r="M34" s="654" t="str">
        <f t="shared" si="0"/>
        <v>UNITES USAGES DET./ JANV.</v>
      </c>
      <c r="N34" s="655">
        <f>+IF(OR($Q34=Parametres!$G$2,$Q34=Parametres!$G$3),I34,C34)</f>
        <v>0.35</v>
      </c>
      <c r="O34" s="655">
        <f>+IF(OR($Q34=Parametres!$G$2,$Q34=Parametres!$G$3),J34,D34)</f>
        <v>0</v>
      </c>
      <c r="P34" s="655">
        <f>+IF(OR($Q34=Parametres!$G$2,$Q34=Parametres!$G$3),K34,E34)</f>
        <v>0.35</v>
      </c>
      <c r="Q34" s="654" t="str">
        <f t="shared" ref="Q34:S34" si="34">+F34</f>
        <v>1-Mémo</v>
      </c>
      <c r="R34" s="653" t="str">
        <f t="shared" si="34"/>
        <v>42</v>
      </c>
      <c r="S34" s="654" t="str">
        <f t="shared" si="34"/>
        <v>_</v>
      </c>
      <c r="T34" s="656" t="str">
        <f>+VLOOKUP($L34,Data_Validation!$A:$D,1,0)</f>
        <v>421</v>
      </c>
      <c r="U34" s="656">
        <f>+VLOOKUP($L34,Data_Validation!$A:$D,3,0)</f>
        <v>0</v>
      </c>
      <c r="V34" s="656">
        <f>+VLOOKUP($L34,Data_Validation!$A:$D,4,0)</f>
        <v>0</v>
      </c>
      <c r="W34" s="656">
        <f>+VLOOKUP($L34,Data_Validation!$A:$E,5,0)</f>
        <v>0</v>
      </c>
      <c r="X34" s="656">
        <f>+VLOOKUP($L34,Data_Validation!$A:$F,6,0)</f>
        <v>0</v>
      </c>
    </row>
    <row r="35" spans="1:24" ht="15" customHeight="1">
      <c r="A35" s="1332" t="s">
        <v>774</v>
      </c>
      <c r="B35" s="1332" t="s">
        <v>1912</v>
      </c>
      <c r="C35" s="1333"/>
      <c r="D35" s="1333"/>
      <c r="E35" s="1333"/>
      <c r="F35" s="1332" t="s">
        <v>2</v>
      </c>
      <c r="G35" s="1332" t="s">
        <v>3328</v>
      </c>
      <c r="H35" s="1332" t="s">
        <v>3942</v>
      </c>
      <c r="I35" s="1334">
        <v>0.18</v>
      </c>
      <c r="J35" s="1334">
        <v>0</v>
      </c>
      <c r="K35" s="1334">
        <v>0.18</v>
      </c>
      <c r="L35" s="653" t="str">
        <f t="shared" si="2"/>
        <v>422</v>
      </c>
      <c r="M35" s="654" t="str">
        <f t="shared" si="0"/>
        <v>UNITES USAGES DET./ FEVR.</v>
      </c>
      <c r="N35" s="655">
        <f>+IF(OR($Q35=Parametres!$G$2,$Q35=Parametres!$G$3),I35,C35)</f>
        <v>0.18</v>
      </c>
      <c r="O35" s="655">
        <f>+IF(OR($Q35=Parametres!$G$2,$Q35=Parametres!$G$3),J35,D35)</f>
        <v>0</v>
      </c>
      <c r="P35" s="655">
        <f>+IF(OR($Q35=Parametres!$G$2,$Q35=Parametres!$G$3),K35,E35)</f>
        <v>0.18</v>
      </c>
      <c r="Q35" s="654" t="str">
        <f t="shared" ref="Q35:S35" si="35">+F35</f>
        <v>1-Mémo</v>
      </c>
      <c r="R35" s="653" t="str">
        <f t="shared" si="35"/>
        <v>42</v>
      </c>
      <c r="S35" s="654" t="str">
        <f t="shared" si="35"/>
        <v>_</v>
      </c>
      <c r="T35" s="656" t="str">
        <f>+VLOOKUP($L35,Data_Validation!$A:$D,1,0)</f>
        <v>422</v>
      </c>
      <c r="U35" s="656">
        <f>+VLOOKUP($L35,Data_Validation!$A:$D,3,0)</f>
        <v>0</v>
      </c>
      <c r="V35" s="656">
        <f>+VLOOKUP($L35,Data_Validation!$A:$D,4,0)</f>
        <v>0</v>
      </c>
      <c r="W35" s="656">
        <f>+VLOOKUP($L35,Data_Validation!$A:$E,5,0)</f>
        <v>0</v>
      </c>
      <c r="X35" s="656">
        <f>+VLOOKUP($L35,Data_Validation!$A:$F,6,0)</f>
        <v>0</v>
      </c>
    </row>
    <row r="36" spans="1:24" ht="15" customHeight="1">
      <c r="A36" s="1332" t="s">
        <v>784</v>
      </c>
      <c r="B36" s="1332" t="s">
        <v>2055</v>
      </c>
      <c r="C36" s="1333"/>
      <c r="D36" s="1333"/>
      <c r="E36" s="1333"/>
      <c r="F36" s="1332" t="s">
        <v>2</v>
      </c>
      <c r="G36" s="1332" t="s">
        <v>785</v>
      </c>
      <c r="H36" s="1332" t="s">
        <v>3942</v>
      </c>
      <c r="I36" s="1334">
        <v>1</v>
      </c>
      <c r="J36" s="1334">
        <v>0</v>
      </c>
      <c r="K36" s="1334">
        <v>1</v>
      </c>
      <c r="L36" s="653" t="str">
        <f t="shared" si="2"/>
        <v>500</v>
      </c>
      <c r="M36" s="654" t="str">
        <f t="shared" si="0"/>
        <v>PROPRIETAIRES</v>
      </c>
      <c r="N36" s="655">
        <f>+IF(OR($Q36=Parametres!$G$2,$Q36=Parametres!$G$3),I36,C36)</f>
        <v>1</v>
      </c>
      <c r="O36" s="655">
        <f>+IF(OR($Q36=Parametres!$G$2,$Q36=Parametres!$G$3),J36,D36)</f>
        <v>0</v>
      </c>
      <c r="P36" s="655">
        <f>+IF(OR($Q36=Parametres!$G$2,$Q36=Parametres!$G$3),K36,E36)</f>
        <v>1</v>
      </c>
      <c r="Q36" s="654" t="str">
        <f t="shared" ref="Q36:S36" si="36">+F36</f>
        <v>1-Mémo</v>
      </c>
      <c r="R36" s="653" t="str">
        <f t="shared" si="36"/>
        <v>50</v>
      </c>
      <c r="S36" s="654" t="str">
        <f t="shared" si="36"/>
        <v>_</v>
      </c>
      <c r="T36" s="656" t="str">
        <f>+VLOOKUP($L36,Data_Validation!$A:$D,1,0)</f>
        <v>500</v>
      </c>
      <c r="U36" s="656">
        <f>+VLOOKUP($L36,Data_Validation!$A:$D,3,0)</f>
        <v>0</v>
      </c>
      <c r="V36" s="656">
        <f>+VLOOKUP($L36,Data_Validation!$A:$D,4,0)</f>
        <v>0</v>
      </c>
      <c r="W36" s="656" t="str">
        <f>+VLOOKUP($L36,Data_Validation!$A:$E,5,0)</f>
        <v>$</v>
      </c>
      <c r="X36" s="656">
        <f>+VLOOKUP($L36,Data_Validation!$A:$F,6,0)</f>
        <v>0</v>
      </c>
    </row>
    <row r="37" spans="1:24" ht="15" customHeight="1">
      <c r="A37" s="1332" t="s">
        <v>786</v>
      </c>
      <c r="B37" s="1332" t="s">
        <v>1113</v>
      </c>
      <c r="C37" s="1333"/>
      <c r="D37" s="1333"/>
      <c r="E37" s="1333"/>
      <c r="F37" s="1332" t="s">
        <v>2</v>
      </c>
      <c r="G37" s="1332" t="s">
        <v>785</v>
      </c>
      <c r="H37" s="1332" t="s">
        <v>3942</v>
      </c>
      <c r="I37" s="1334">
        <v>0.5</v>
      </c>
      <c r="J37" s="1334">
        <v>0</v>
      </c>
      <c r="K37" s="1334">
        <v>0.5</v>
      </c>
      <c r="L37" s="653" t="str">
        <f t="shared" si="2"/>
        <v>511</v>
      </c>
      <c r="M37" s="654" t="str">
        <f t="shared" si="0"/>
        <v>DIR. GENERAL NEUFS</v>
      </c>
      <c r="N37" s="655">
        <f>+IF(OR($Q37=Parametres!$G$2,$Q37=Parametres!$G$3),I37,C37)</f>
        <v>0.5</v>
      </c>
      <c r="O37" s="655">
        <f>+IF(OR($Q37=Parametres!$G$2,$Q37=Parametres!$G$3),J37,D37)</f>
        <v>0</v>
      </c>
      <c r="P37" s="655">
        <f>+IF(OR($Q37=Parametres!$G$2,$Q37=Parametres!$G$3),K37,E37)</f>
        <v>0.5</v>
      </c>
      <c r="Q37" s="654" t="str">
        <f t="shared" ref="Q37:S37" si="37">+F37</f>
        <v>1-Mémo</v>
      </c>
      <c r="R37" s="653" t="str">
        <f t="shared" si="37"/>
        <v>50</v>
      </c>
      <c r="S37" s="654" t="str">
        <f t="shared" si="37"/>
        <v>_</v>
      </c>
      <c r="T37" s="656" t="str">
        <f>+VLOOKUP($L37,Data_Validation!$A:$D,1,0)</f>
        <v>511</v>
      </c>
      <c r="U37" s="656">
        <f>+VLOOKUP($L37,Data_Validation!$A:$D,3,0)</f>
        <v>0</v>
      </c>
      <c r="V37" s="656">
        <f>+VLOOKUP($L37,Data_Validation!$A:$D,4,0)</f>
        <v>0</v>
      </c>
      <c r="W37" s="656" t="str">
        <f>+VLOOKUP($L37,Data_Validation!$A:$E,5,0)</f>
        <v>$</v>
      </c>
      <c r="X37" s="656">
        <f>+VLOOKUP($L37,Data_Validation!$A:$F,6,0)</f>
        <v>0</v>
      </c>
    </row>
    <row r="38" spans="1:24" ht="15" customHeight="1">
      <c r="A38" s="1332" t="s">
        <v>787</v>
      </c>
      <c r="B38" s="1332" t="s">
        <v>2087</v>
      </c>
      <c r="C38" s="1333"/>
      <c r="D38" s="1333"/>
      <c r="E38" s="1333"/>
      <c r="F38" s="1332" t="s">
        <v>2</v>
      </c>
      <c r="G38" s="1332" t="s">
        <v>785</v>
      </c>
      <c r="H38" s="1332" t="s">
        <v>3942</v>
      </c>
      <c r="I38" s="1334">
        <v>0.5</v>
      </c>
      <c r="J38" s="1334">
        <v>0</v>
      </c>
      <c r="K38" s="1334">
        <v>0.5</v>
      </c>
      <c r="L38" s="653" t="str">
        <f t="shared" si="2"/>
        <v>512</v>
      </c>
      <c r="M38" s="654" t="str">
        <f t="shared" si="0"/>
        <v>DIR. GENERAL USAGES</v>
      </c>
      <c r="N38" s="655">
        <f>+IF(OR($Q38=Parametres!$G$2,$Q38=Parametres!$G$3),I38,C38)</f>
        <v>0.5</v>
      </c>
      <c r="O38" s="655">
        <f>+IF(OR($Q38=Parametres!$G$2,$Q38=Parametres!$G$3),J38,D38)</f>
        <v>0</v>
      </c>
      <c r="P38" s="655">
        <f>+IF(OR($Q38=Parametres!$G$2,$Q38=Parametres!$G$3),K38,E38)</f>
        <v>0.5</v>
      </c>
      <c r="Q38" s="654" t="str">
        <f t="shared" ref="Q38:S38" si="38">+F38</f>
        <v>1-Mémo</v>
      </c>
      <c r="R38" s="653" t="str">
        <f t="shared" si="38"/>
        <v>50</v>
      </c>
      <c r="S38" s="654" t="str">
        <f t="shared" si="38"/>
        <v>_</v>
      </c>
      <c r="T38" s="656" t="str">
        <f>+VLOOKUP($L38,Data_Validation!$A:$D,1,0)</f>
        <v>512</v>
      </c>
      <c r="U38" s="656">
        <f>+VLOOKUP($L38,Data_Validation!$A:$D,3,0)</f>
        <v>0</v>
      </c>
      <c r="V38" s="656">
        <f>+VLOOKUP($L38,Data_Validation!$A:$D,4,0)</f>
        <v>0</v>
      </c>
      <c r="W38" s="656" t="str">
        <f>+VLOOKUP($L38,Data_Validation!$A:$E,5,0)</f>
        <v>$</v>
      </c>
      <c r="X38" s="656">
        <f>+VLOOKUP($L38,Data_Validation!$A:$F,6,0)</f>
        <v>0</v>
      </c>
    </row>
    <row r="39" spans="1:24" ht="15" customHeight="1">
      <c r="A39" s="1332" t="s">
        <v>788</v>
      </c>
      <c r="B39" s="1332" t="s">
        <v>1120</v>
      </c>
      <c r="C39" s="1333"/>
      <c r="D39" s="1333"/>
      <c r="E39" s="1333"/>
      <c r="F39" s="1332" t="s">
        <v>2</v>
      </c>
      <c r="G39" s="1332" t="s">
        <v>785</v>
      </c>
      <c r="H39" s="1332" t="s">
        <v>3942</v>
      </c>
      <c r="I39" s="1334">
        <v>0.5</v>
      </c>
      <c r="J39" s="1334">
        <v>0</v>
      </c>
      <c r="K39" s="1334">
        <v>0.5</v>
      </c>
      <c r="L39" s="653" t="str">
        <f t="shared" si="2"/>
        <v>514</v>
      </c>
      <c r="M39" s="654" t="str">
        <f t="shared" si="0"/>
        <v>DIR. GENERAL SERVICE</v>
      </c>
      <c r="N39" s="655">
        <f>+IF(OR($Q39=Parametres!$G$2,$Q39=Parametres!$G$3),I39,C39)</f>
        <v>0.5</v>
      </c>
      <c r="O39" s="659">
        <f>+IF(OR($Q39=Parametres!$G$2,$Q39=Parametres!$G$3),J39,D39)</f>
        <v>0</v>
      </c>
      <c r="P39" s="655">
        <f>+IF(OR($Q39=Parametres!$G$2,$Q39=Parametres!$G$3),K39,E39)</f>
        <v>0.5</v>
      </c>
      <c r="Q39" s="654" t="str">
        <f t="shared" ref="Q39:S39" si="39">+F39</f>
        <v>1-Mémo</v>
      </c>
      <c r="R39" s="653" t="str">
        <f t="shared" si="39"/>
        <v>50</v>
      </c>
      <c r="S39" s="654" t="str">
        <f t="shared" si="39"/>
        <v>_</v>
      </c>
      <c r="T39" s="656" t="str">
        <f>+VLOOKUP($L39,Data_Validation!$A:$D,1,0)</f>
        <v>514</v>
      </c>
      <c r="U39" s="656">
        <f>+VLOOKUP($L39,Data_Validation!$A:$D,3,0)</f>
        <v>0</v>
      </c>
      <c r="V39" s="656">
        <f>+VLOOKUP($L39,Data_Validation!$A:$D,4,0)</f>
        <v>0</v>
      </c>
      <c r="W39" s="656" t="str">
        <f>+VLOOKUP($L39,Data_Validation!$A:$E,5,0)</f>
        <v>$</v>
      </c>
      <c r="X39" s="656">
        <f>+VLOOKUP($L39,Data_Validation!$A:$F,6,0)</f>
        <v>0</v>
      </c>
    </row>
    <row r="40" spans="1:24" ht="15.75" customHeight="1">
      <c r="A40" s="1332" t="s">
        <v>789</v>
      </c>
      <c r="B40" s="1332" t="s">
        <v>2110</v>
      </c>
      <c r="C40" s="1333"/>
      <c r="D40" s="1333"/>
      <c r="E40" s="1333"/>
      <c r="F40" s="1332" t="s">
        <v>2</v>
      </c>
      <c r="G40" s="1332" t="s">
        <v>785</v>
      </c>
      <c r="H40" s="1332" t="s">
        <v>3942</v>
      </c>
      <c r="I40" s="1334">
        <v>0.5</v>
      </c>
      <c r="J40" s="1334">
        <v>0</v>
      </c>
      <c r="K40" s="1334">
        <v>0.5</v>
      </c>
      <c r="L40" s="653" t="str">
        <f t="shared" si="2"/>
        <v>517</v>
      </c>
      <c r="M40" s="654" t="str">
        <f t="shared" si="0"/>
        <v>DIR. GENERAL PIECES</v>
      </c>
      <c r="N40" s="655">
        <f>+IF(OR($Q40=Parametres!$G$2,$Q40=Parametres!$G$3),I40,C40)</f>
        <v>0.5</v>
      </c>
      <c r="O40" s="655">
        <f>+IF(OR($Q40=Parametres!$G$2,$Q40=Parametres!$G$3),J40,D40)</f>
        <v>0</v>
      </c>
      <c r="P40" s="655">
        <f>+IF(OR($Q40=Parametres!$G$2,$Q40=Parametres!$G$3),K40,E40)</f>
        <v>0.5</v>
      </c>
      <c r="Q40" s="654" t="str">
        <f t="shared" ref="Q40:S40" si="40">+F40</f>
        <v>1-Mémo</v>
      </c>
      <c r="R40" s="653" t="str">
        <f t="shared" si="40"/>
        <v>50</v>
      </c>
      <c r="S40" s="654" t="str">
        <f t="shared" si="40"/>
        <v>_</v>
      </c>
      <c r="T40" s="656" t="str">
        <f>+VLOOKUP($L40,Data_Validation!$A:$D,1,0)</f>
        <v>517</v>
      </c>
      <c r="U40" s="656">
        <f>+VLOOKUP($L40,Data_Validation!$A:$D,3,0)</f>
        <v>0</v>
      </c>
      <c r="V40" s="656">
        <f>+VLOOKUP($L40,Data_Validation!$A:$D,4,0)</f>
        <v>0</v>
      </c>
      <c r="W40" s="656" t="str">
        <f>+VLOOKUP($L40,Data_Validation!$A:$E,5,0)</f>
        <v>$</v>
      </c>
      <c r="X40" s="656">
        <f>+VLOOKUP($L40,Data_Validation!$A:$F,6,0)</f>
        <v>0</v>
      </c>
    </row>
    <row r="41" spans="1:24" ht="15" customHeight="1">
      <c r="A41" s="1332" t="s">
        <v>790</v>
      </c>
      <c r="B41" s="1332" t="s">
        <v>2119</v>
      </c>
      <c r="C41" s="1333"/>
      <c r="D41" s="1333"/>
      <c r="E41" s="1333"/>
      <c r="F41" s="1332" t="s">
        <v>2</v>
      </c>
      <c r="G41" s="1332" t="s">
        <v>785</v>
      </c>
      <c r="H41" s="1332" t="s">
        <v>3942</v>
      </c>
      <c r="I41" s="1334">
        <v>1.5</v>
      </c>
      <c r="J41" s="1334">
        <v>0</v>
      </c>
      <c r="K41" s="1334">
        <v>1.5</v>
      </c>
      <c r="L41" s="653" t="str">
        <f t="shared" si="2"/>
        <v>521</v>
      </c>
      <c r="M41" s="654" t="str">
        <f t="shared" si="0"/>
        <v>DIR. SERVICE NEUFS</v>
      </c>
      <c r="N41" s="655">
        <f>+IF(OR($Q41=Parametres!$G$2,$Q41=Parametres!$G$3),I41,C41)</f>
        <v>1.5</v>
      </c>
      <c r="O41" s="659">
        <f>+IF(OR($Q41=Parametres!$G$2,$Q41=Parametres!$G$3),J41,D41)</f>
        <v>0</v>
      </c>
      <c r="P41" s="655">
        <f>+IF(OR($Q41=Parametres!$G$2,$Q41=Parametres!$G$3),K41,E41)</f>
        <v>1.5</v>
      </c>
      <c r="Q41" s="654" t="str">
        <f t="shared" ref="Q41:S41" si="41">+F41</f>
        <v>1-Mémo</v>
      </c>
      <c r="R41" s="653" t="str">
        <f t="shared" si="41"/>
        <v>50</v>
      </c>
      <c r="S41" s="654" t="str">
        <f t="shared" si="41"/>
        <v>_</v>
      </c>
      <c r="T41" s="656" t="str">
        <f>+VLOOKUP($L41,Data_Validation!$A:$D,1,0)</f>
        <v>521</v>
      </c>
      <c r="U41" s="656">
        <f>+VLOOKUP($L41,Data_Validation!$A:$D,3,0)</f>
        <v>0</v>
      </c>
      <c r="V41" s="656">
        <f>+VLOOKUP($L41,Data_Validation!$A:$D,4,0)</f>
        <v>0</v>
      </c>
      <c r="W41" s="656" t="str">
        <f>+VLOOKUP($L41,Data_Validation!$A:$E,5,0)</f>
        <v>$</v>
      </c>
      <c r="X41" s="656">
        <f>+VLOOKUP($L41,Data_Validation!$A:$F,6,0)</f>
        <v>0</v>
      </c>
    </row>
    <row r="42" spans="1:24" ht="15" customHeight="1">
      <c r="A42" s="1332" t="s">
        <v>791</v>
      </c>
      <c r="B42" s="1332" t="s">
        <v>2128</v>
      </c>
      <c r="C42" s="1333"/>
      <c r="D42" s="1333"/>
      <c r="E42" s="1333"/>
      <c r="F42" s="1332" t="s">
        <v>2</v>
      </c>
      <c r="G42" s="1332" t="s">
        <v>785</v>
      </c>
      <c r="H42" s="1332" t="s">
        <v>3942</v>
      </c>
      <c r="I42" s="1334">
        <v>1.5</v>
      </c>
      <c r="J42" s="1334">
        <v>0</v>
      </c>
      <c r="K42" s="1334">
        <v>1.5</v>
      </c>
      <c r="L42" s="653" t="str">
        <f t="shared" si="2"/>
        <v>522</v>
      </c>
      <c r="M42" s="654" t="str">
        <f t="shared" si="0"/>
        <v>DIR. SERVICE USAGES</v>
      </c>
      <c r="N42" s="655">
        <f>+IF(OR($Q42=Parametres!$G$2,$Q42=Parametres!$G$3),I42,C42)</f>
        <v>1.5</v>
      </c>
      <c r="O42" s="655">
        <f>+IF(OR($Q42=Parametres!$G$2,$Q42=Parametres!$G$3),J42,D42)</f>
        <v>0</v>
      </c>
      <c r="P42" s="655">
        <f>+IF(OR($Q42=Parametres!$G$2,$Q42=Parametres!$G$3),K42,E42)</f>
        <v>1.5</v>
      </c>
      <c r="Q42" s="654" t="str">
        <f t="shared" ref="Q42:S42" si="42">+F42</f>
        <v>1-Mémo</v>
      </c>
      <c r="R42" s="653" t="str">
        <f t="shared" si="42"/>
        <v>50</v>
      </c>
      <c r="S42" s="654" t="str">
        <f t="shared" si="42"/>
        <v>_</v>
      </c>
      <c r="T42" s="656" t="str">
        <f>+VLOOKUP($L42,Data_Validation!$A:$D,1,0)</f>
        <v>522</v>
      </c>
      <c r="U42" s="656">
        <f>+VLOOKUP($L42,Data_Validation!$A:$D,3,0)</f>
        <v>0</v>
      </c>
      <c r="V42" s="656">
        <f>+VLOOKUP($L42,Data_Validation!$A:$D,4,0)</f>
        <v>0</v>
      </c>
      <c r="W42" s="656" t="str">
        <f>+VLOOKUP($L42,Data_Validation!$A:$E,5,0)</f>
        <v>$</v>
      </c>
      <c r="X42" s="656">
        <f>+VLOOKUP($L42,Data_Validation!$A:$F,6,0)</f>
        <v>0</v>
      </c>
    </row>
    <row r="43" spans="1:24" ht="15" customHeight="1">
      <c r="A43" s="1332" t="s">
        <v>792</v>
      </c>
      <c r="B43" s="1332" t="s">
        <v>2131</v>
      </c>
      <c r="C43" s="1333"/>
      <c r="D43" s="1333"/>
      <c r="E43" s="1333"/>
      <c r="F43" s="1332" t="s">
        <v>2</v>
      </c>
      <c r="G43" s="1332" t="s">
        <v>785</v>
      </c>
      <c r="H43" s="1332" t="s">
        <v>3942</v>
      </c>
      <c r="I43" s="1334">
        <v>1</v>
      </c>
      <c r="J43" s="1334">
        <v>0</v>
      </c>
      <c r="K43" s="1334">
        <v>1</v>
      </c>
      <c r="L43" s="653" t="str">
        <f t="shared" si="2"/>
        <v>524</v>
      </c>
      <c r="M43" s="654" t="str">
        <f t="shared" si="0"/>
        <v>DIR. SERVICE SERVICE</v>
      </c>
      <c r="N43" s="655">
        <f>+IF(OR($Q43=Parametres!$G$2,$Q43=Parametres!$G$3),I43,C43)</f>
        <v>1</v>
      </c>
      <c r="O43" s="655">
        <f>+IF(OR($Q43=Parametres!$G$2,$Q43=Parametres!$G$3),J43,D43)</f>
        <v>0</v>
      </c>
      <c r="P43" s="655">
        <f>+IF(OR($Q43=Parametres!$G$2,$Q43=Parametres!$G$3),K43,E43)</f>
        <v>1</v>
      </c>
      <c r="Q43" s="654" t="str">
        <f t="shared" ref="Q43:S43" si="43">+F43</f>
        <v>1-Mémo</v>
      </c>
      <c r="R43" s="653" t="str">
        <f t="shared" si="43"/>
        <v>50</v>
      </c>
      <c r="S43" s="654" t="str">
        <f t="shared" si="43"/>
        <v>_</v>
      </c>
      <c r="T43" s="656" t="str">
        <f>+VLOOKUP($L43,Data_Validation!$A:$D,1,0)</f>
        <v>524</v>
      </c>
      <c r="U43" s="656">
        <f>+VLOOKUP($L43,Data_Validation!$A:$D,3,0)</f>
        <v>0</v>
      </c>
      <c r="V43" s="656">
        <f>+VLOOKUP($L43,Data_Validation!$A:$D,4,0)</f>
        <v>0</v>
      </c>
      <c r="W43" s="656" t="str">
        <f>+VLOOKUP($L43,Data_Validation!$A:$E,5,0)</f>
        <v>$</v>
      </c>
      <c r="X43" s="656">
        <f>+VLOOKUP($L43,Data_Validation!$A:$F,6,0)</f>
        <v>0</v>
      </c>
    </row>
    <row r="44" spans="1:24" ht="15.75" customHeight="1">
      <c r="A44" s="1332" t="s">
        <v>793</v>
      </c>
      <c r="B44" s="1332" t="s">
        <v>2133</v>
      </c>
      <c r="C44" s="1333"/>
      <c r="D44" s="1333"/>
      <c r="E44" s="1333"/>
      <c r="F44" s="1332" t="s">
        <v>2</v>
      </c>
      <c r="G44" s="1332" t="s">
        <v>785</v>
      </c>
      <c r="H44" s="1332" t="s">
        <v>3942</v>
      </c>
      <c r="I44" s="1334">
        <v>1</v>
      </c>
      <c r="J44" s="1334">
        <v>0</v>
      </c>
      <c r="K44" s="1334">
        <v>1</v>
      </c>
      <c r="L44" s="653" t="str">
        <f t="shared" si="2"/>
        <v>527</v>
      </c>
      <c r="M44" s="654" t="str">
        <f t="shared" si="0"/>
        <v>DIR. SERVICE PIECES</v>
      </c>
      <c r="N44" s="655">
        <f>+IF(OR($Q44=Parametres!$G$2,$Q44=Parametres!$G$3),I44,C44)</f>
        <v>1</v>
      </c>
      <c r="O44" s="655">
        <f>+IF(OR($Q44=Parametres!$G$2,$Q44=Parametres!$G$3),J44,D44)</f>
        <v>0</v>
      </c>
      <c r="P44" s="655">
        <f>+IF(OR($Q44=Parametres!$G$2,$Q44=Parametres!$G$3),K44,E44)</f>
        <v>1</v>
      </c>
      <c r="Q44" s="654" t="str">
        <f t="shared" ref="Q44:S44" si="44">+F44</f>
        <v>1-Mémo</v>
      </c>
      <c r="R44" s="653" t="str">
        <f t="shared" si="44"/>
        <v>50</v>
      </c>
      <c r="S44" s="654" t="str">
        <f t="shared" si="44"/>
        <v>_</v>
      </c>
      <c r="T44" s="656" t="str">
        <f>+VLOOKUP($L44,Data_Validation!$A:$D,1,0)</f>
        <v>527</v>
      </c>
      <c r="U44" s="656">
        <f>+VLOOKUP($L44,Data_Validation!$A:$D,3,0)</f>
        <v>0</v>
      </c>
      <c r="V44" s="656">
        <f>+VLOOKUP($L44,Data_Validation!$A:$D,4,0)</f>
        <v>0</v>
      </c>
      <c r="W44" s="656" t="str">
        <f>+VLOOKUP($L44,Data_Validation!$A:$E,5,0)</f>
        <v>$</v>
      </c>
      <c r="X44" s="656">
        <f>+VLOOKUP($L44,Data_Validation!$A:$F,6,0)</f>
        <v>0</v>
      </c>
    </row>
    <row r="45" spans="1:24" ht="15" customHeight="1">
      <c r="A45" s="1332" t="s">
        <v>794</v>
      </c>
      <c r="B45" s="1332" t="s">
        <v>2157</v>
      </c>
      <c r="C45" s="1333"/>
      <c r="D45" s="1333"/>
      <c r="E45" s="1333"/>
      <c r="F45" s="1332" t="s">
        <v>2</v>
      </c>
      <c r="G45" s="1332" t="s">
        <v>3329</v>
      </c>
      <c r="H45" s="1332" t="s">
        <v>3942</v>
      </c>
      <c r="I45" s="1334">
        <v>6</v>
      </c>
      <c r="J45" s="1334">
        <v>0</v>
      </c>
      <c r="K45" s="1334">
        <v>6</v>
      </c>
      <c r="L45" s="653" t="str">
        <f t="shared" si="2"/>
        <v>541</v>
      </c>
      <c r="M45" s="654" t="str">
        <f t="shared" si="0"/>
        <v>VW REP. DES VENTES - NEUF</v>
      </c>
      <c r="N45" s="655">
        <f>+IF(OR($Q45=Parametres!$G$2,$Q45=Parametres!$G$3),I45,C45)</f>
        <v>6</v>
      </c>
      <c r="O45" s="1096">
        <f>+IF(OR($Q45=Parametres!$G$2,$Q45=Parametres!$G$3),J45,D45)</f>
        <v>0</v>
      </c>
      <c r="P45" s="655">
        <f>+IF(OR($Q45=Parametres!$G$2,$Q45=Parametres!$G$3),K45,E45)</f>
        <v>6</v>
      </c>
      <c r="Q45" s="654" t="str">
        <f t="shared" ref="Q45:S45" si="45">+F45</f>
        <v>1-Mémo</v>
      </c>
      <c r="R45" s="653" t="str">
        <f t="shared" si="45"/>
        <v>54</v>
      </c>
      <c r="S45" s="654" t="str">
        <f t="shared" si="45"/>
        <v>_</v>
      </c>
      <c r="T45" s="656" t="str">
        <f>+VLOOKUP($L45,Data_Validation!$A:$D,1,0)</f>
        <v>541</v>
      </c>
      <c r="U45" s="656">
        <f>+VLOOKUP($L45,Data_Validation!$A:$D,3,0)</f>
        <v>0</v>
      </c>
      <c r="V45" s="656">
        <f>+VLOOKUP($L45,Data_Validation!$A:$D,4,0)</f>
        <v>0</v>
      </c>
      <c r="W45" s="656" t="str">
        <f>+VLOOKUP($L45,Data_Validation!$A:$E,5,0)</f>
        <v>$</v>
      </c>
      <c r="X45" s="656">
        <f>+VLOOKUP($L45,Data_Validation!$A:$F,6,0)</f>
        <v>0</v>
      </c>
    </row>
    <row r="46" spans="1:24" ht="15" customHeight="1">
      <c r="A46" s="1332" t="s">
        <v>795</v>
      </c>
      <c r="B46" s="1332" t="s">
        <v>2163</v>
      </c>
      <c r="C46" s="1333"/>
      <c r="D46" s="1333"/>
      <c r="E46" s="1333"/>
      <c r="F46" s="1332" t="s">
        <v>2</v>
      </c>
      <c r="G46" s="1332" t="s">
        <v>785</v>
      </c>
      <c r="H46" s="1332" t="s">
        <v>3942</v>
      </c>
      <c r="I46" s="1334">
        <v>3</v>
      </c>
      <c r="J46" s="1334">
        <v>0</v>
      </c>
      <c r="K46" s="1334">
        <v>3</v>
      </c>
      <c r="L46" s="653" t="str">
        <f t="shared" si="2"/>
        <v>542</v>
      </c>
      <c r="M46" s="654" t="str">
        <f t="shared" si="0"/>
        <v>VW REP. DES VENTES - OCC.</v>
      </c>
      <c r="N46" s="655">
        <f>+IF(OR($Q46=Parametres!$G$2,$Q46=Parametres!$G$3),I46,C46)</f>
        <v>3</v>
      </c>
      <c r="O46" s="1096">
        <f>+IF(OR($Q46=Parametres!$G$2,$Q46=Parametres!$G$3),J46,D46)</f>
        <v>0</v>
      </c>
      <c r="P46" s="655">
        <f>+IF(OR($Q46=Parametres!$G$2,$Q46=Parametres!$G$3),K46,E46)</f>
        <v>3</v>
      </c>
      <c r="Q46" s="654" t="str">
        <f t="shared" ref="Q46:S46" si="46">+F46</f>
        <v>1-Mémo</v>
      </c>
      <c r="R46" s="653" t="str">
        <f t="shared" si="46"/>
        <v>50</v>
      </c>
      <c r="S46" s="654" t="str">
        <f t="shared" si="46"/>
        <v>_</v>
      </c>
      <c r="T46" s="656" t="str">
        <f>+VLOOKUP($L46,Data_Validation!$A:$D,1,0)</f>
        <v>542</v>
      </c>
      <c r="U46" s="656">
        <f>+VLOOKUP($L46,Data_Validation!$A:$D,3,0)</f>
        <v>0</v>
      </c>
      <c r="V46" s="656">
        <f>+VLOOKUP($L46,Data_Validation!$A:$D,4,0)</f>
        <v>0</v>
      </c>
      <c r="W46" s="656" t="str">
        <f>+VLOOKUP($L46,Data_Validation!$A:$E,5,0)</f>
        <v>$</v>
      </c>
      <c r="X46" s="656">
        <f>+VLOOKUP($L46,Data_Validation!$A:$F,6,0)</f>
        <v>0</v>
      </c>
    </row>
    <row r="47" spans="1:24" ht="15" customHeight="1">
      <c r="A47" s="1332" t="s">
        <v>796</v>
      </c>
      <c r="B47" s="1332" t="s">
        <v>2178</v>
      </c>
      <c r="C47" s="1333"/>
      <c r="D47" s="1333"/>
      <c r="E47" s="1333"/>
      <c r="F47" s="1332" t="s">
        <v>2</v>
      </c>
      <c r="G47" s="1332" t="s">
        <v>785</v>
      </c>
      <c r="H47" s="1332" t="s">
        <v>3942</v>
      </c>
      <c r="I47" s="1334">
        <v>2</v>
      </c>
      <c r="J47" s="1334">
        <v>0</v>
      </c>
      <c r="K47" s="1334">
        <v>2</v>
      </c>
      <c r="L47" s="653" t="str">
        <f t="shared" si="2"/>
        <v>551</v>
      </c>
      <c r="M47" s="654" t="str">
        <f t="shared" si="0"/>
        <v>DIR. COMMERCIAL NEUFS</v>
      </c>
      <c r="N47" s="655">
        <f>+IF(OR($Q47=Parametres!$G$2,$Q47=Parametres!$G$3),I47,C47)</f>
        <v>2</v>
      </c>
      <c r="O47" s="655">
        <f>+IF(OR($Q47=Parametres!$G$2,$Q47=Parametres!$G$3),J47,D47)</f>
        <v>0</v>
      </c>
      <c r="P47" s="655">
        <f>+IF(OR($Q47=Parametres!$G$2,$Q47=Parametres!$G$3),K47,E47)</f>
        <v>2</v>
      </c>
      <c r="Q47" s="654" t="str">
        <f t="shared" ref="Q47:S47" si="47">+F47</f>
        <v>1-Mémo</v>
      </c>
      <c r="R47" s="653" t="str">
        <f t="shared" si="47"/>
        <v>50</v>
      </c>
      <c r="S47" s="654" t="str">
        <f t="shared" si="47"/>
        <v>_</v>
      </c>
      <c r="T47" s="656" t="str">
        <f>+VLOOKUP($L47,Data_Validation!$A:$D,1,0)</f>
        <v>551</v>
      </c>
      <c r="U47" s="656">
        <f>+VLOOKUP($L47,Data_Validation!$A:$D,3,0)</f>
        <v>0</v>
      </c>
      <c r="V47" s="656">
        <f>+VLOOKUP($L47,Data_Validation!$A:$D,4,0)</f>
        <v>0</v>
      </c>
      <c r="W47" s="656" t="str">
        <f>+VLOOKUP($L47,Data_Validation!$A:$E,5,0)</f>
        <v>$</v>
      </c>
      <c r="X47" s="656">
        <f>+VLOOKUP($L47,Data_Validation!$A:$F,6,0)</f>
        <v>0</v>
      </c>
    </row>
    <row r="48" spans="1:24" ht="15.75" customHeight="1">
      <c r="A48" s="1332" t="s">
        <v>797</v>
      </c>
      <c r="B48" s="1332" t="s">
        <v>2181</v>
      </c>
      <c r="C48" s="1333"/>
      <c r="D48" s="1333"/>
      <c r="E48" s="1333"/>
      <c r="F48" s="1332" t="s">
        <v>2</v>
      </c>
      <c r="G48" s="1332" t="s">
        <v>785</v>
      </c>
      <c r="H48" s="1332" t="s">
        <v>3942</v>
      </c>
      <c r="I48" s="1334">
        <v>1</v>
      </c>
      <c r="J48" s="1334">
        <v>0</v>
      </c>
      <c r="K48" s="1334">
        <v>1</v>
      </c>
      <c r="L48" s="653" t="str">
        <f t="shared" si="2"/>
        <v>552</v>
      </c>
      <c r="M48" s="654" t="str">
        <f t="shared" si="0"/>
        <v>DIR. COMMERCIAL USAGES</v>
      </c>
      <c r="N48" s="655">
        <f>+IF(OR($Q48=Parametres!$G$2,$Q48=Parametres!$G$3),I48,C48)</f>
        <v>1</v>
      </c>
      <c r="O48" s="655">
        <f>+IF(OR($Q48=Parametres!$G$2,$Q48=Parametres!$G$3),J48,D48)</f>
        <v>0</v>
      </c>
      <c r="P48" s="655">
        <f>+IF(OR($Q48=Parametres!$G$2,$Q48=Parametres!$G$3),K48,E48)</f>
        <v>1</v>
      </c>
      <c r="Q48" s="654" t="str">
        <f t="shared" ref="Q48:S48" si="48">+F48</f>
        <v>1-Mémo</v>
      </c>
      <c r="R48" s="653" t="str">
        <f t="shared" si="48"/>
        <v>50</v>
      </c>
      <c r="S48" s="654" t="str">
        <f t="shared" si="48"/>
        <v>_</v>
      </c>
      <c r="T48" s="656" t="str">
        <f>+VLOOKUP($L48,Data_Validation!$A:$D,1,0)</f>
        <v>552</v>
      </c>
      <c r="U48" s="656">
        <f>+VLOOKUP($L48,Data_Validation!$A:$D,3,0)</f>
        <v>0</v>
      </c>
      <c r="V48" s="656">
        <f>+VLOOKUP($L48,Data_Validation!$A:$D,4,0)</f>
        <v>0</v>
      </c>
      <c r="W48" s="656" t="str">
        <f>+VLOOKUP($L48,Data_Validation!$A:$E,5,0)</f>
        <v>$</v>
      </c>
      <c r="X48" s="656">
        <f>+VLOOKUP($L48,Data_Validation!$A:$F,6,0)</f>
        <v>0</v>
      </c>
    </row>
    <row r="49" spans="1:24" ht="15" customHeight="1">
      <c r="A49" s="1332" t="s">
        <v>798</v>
      </c>
      <c r="B49" s="1332" t="s">
        <v>3354</v>
      </c>
      <c r="C49" s="1333"/>
      <c r="D49" s="1333"/>
      <c r="E49" s="1333"/>
      <c r="F49" s="1332" t="s">
        <v>2</v>
      </c>
      <c r="G49" s="1332" t="s">
        <v>785</v>
      </c>
      <c r="H49" s="1332" t="s">
        <v>3942</v>
      </c>
      <c r="I49" s="1334">
        <v>1</v>
      </c>
      <c r="J49" s="1334">
        <v>0</v>
      </c>
      <c r="K49" s="1334">
        <v>1</v>
      </c>
      <c r="L49" s="653" t="str">
        <f t="shared" si="2"/>
        <v>564</v>
      </c>
      <c r="M49" s="654" t="str">
        <f t="shared" si="0"/>
        <v>CONTREMAITRE SERVICE</v>
      </c>
      <c r="N49" s="655">
        <f>+IF(OR($Q49=Parametres!$G$2,$Q49=Parametres!$G$3),I49,C49)</f>
        <v>1</v>
      </c>
      <c r="O49" s="659">
        <f>+IF(OR($Q49=Parametres!$G$2,$Q49=Parametres!$G$3),J49,D49)</f>
        <v>0</v>
      </c>
      <c r="P49" s="655">
        <f>+IF(OR($Q49=Parametres!$G$2,$Q49=Parametres!$G$3),K49,E49)</f>
        <v>1</v>
      </c>
      <c r="Q49" s="654" t="str">
        <f t="shared" ref="Q49:S49" si="49">+F49</f>
        <v>1-Mémo</v>
      </c>
      <c r="R49" s="653" t="str">
        <f t="shared" si="49"/>
        <v>50</v>
      </c>
      <c r="S49" s="654" t="str">
        <f t="shared" si="49"/>
        <v>_</v>
      </c>
      <c r="T49" s="656" t="str">
        <f>+VLOOKUP($L49,Data_Validation!$A:$D,1,0)</f>
        <v>564</v>
      </c>
      <c r="U49" s="656">
        <f>+VLOOKUP($L49,Data_Validation!$A:$D,3,0)</f>
        <v>0</v>
      </c>
      <c r="V49" s="656">
        <f>+VLOOKUP($L49,Data_Validation!$A:$D,4,0)</f>
        <v>0</v>
      </c>
      <c r="W49" s="656" t="str">
        <f>+VLOOKUP($L49,Data_Validation!$A:$E,5,0)</f>
        <v>$</v>
      </c>
      <c r="X49" s="656">
        <f>+VLOOKUP($L49,Data_Validation!$A:$F,6,0)</f>
        <v>0</v>
      </c>
    </row>
    <row r="50" spans="1:24" ht="15" customHeight="1">
      <c r="A50" s="1332" t="s">
        <v>799</v>
      </c>
      <c r="B50" s="1332" t="s">
        <v>2276</v>
      </c>
      <c r="C50" s="1333"/>
      <c r="D50" s="1333"/>
      <c r="E50" s="1333"/>
      <c r="F50" s="1332" t="s">
        <v>2</v>
      </c>
      <c r="G50" s="1332" t="s">
        <v>3330</v>
      </c>
      <c r="H50" s="1332" t="s">
        <v>3942</v>
      </c>
      <c r="I50" s="1334">
        <v>4</v>
      </c>
      <c r="J50" s="1334">
        <v>0</v>
      </c>
      <c r="K50" s="1334">
        <v>4</v>
      </c>
      <c r="L50" s="653" t="str">
        <f t="shared" si="2"/>
        <v>614</v>
      </c>
      <c r="M50" s="654" t="str">
        <f t="shared" si="0"/>
        <v>VW CONSEILLERS SERVICE -SERVICE</v>
      </c>
      <c r="N50" s="655">
        <f>+IF(OR($Q50=Parametres!$G$2,$Q50=Parametres!$G$3),I50,C50)</f>
        <v>4</v>
      </c>
      <c r="O50" s="655">
        <f>+IF(OR($Q50=Parametres!$G$2,$Q50=Parametres!$G$3),J50,D50)</f>
        <v>0</v>
      </c>
      <c r="P50" s="655">
        <f>+IF(OR($Q50=Parametres!$G$2,$Q50=Parametres!$G$3),K50,E50)</f>
        <v>4</v>
      </c>
      <c r="Q50" s="654" t="str">
        <f t="shared" ref="Q50:S50" si="50">+F50</f>
        <v>1-Mémo</v>
      </c>
      <c r="R50" s="653" t="str">
        <f t="shared" si="50"/>
        <v>61</v>
      </c>
      <c r="S50" s="654" t="str">
        <f t="shared" si="50"/>
        <v>_</v>
      </c>
      <c r="T50" s="656" t="str">
        <f>+VLOOKUP($L50,Data_Validation!$A:$D,1,0)</f>
        <v>614</v>
      </c>
      <c r="U50" s="656">
        <f>+VLOOKUP($L50,Data_Validation!$A:$D,3,0)</f>
        <v>0</v>
      </c>
      <c r="V50" s="656">
        <f>+VLOOKUP($L50,Data_Validation!$A:$D,4,0)</f>
        <v>0</v>
      </c>
      <c r="W50" s="656" t="str">
        <f>+VLOOKUP($L50,Data_Validation!$A:$E,5,0)</f>
        <v>$</v>
      </c>
      <c r="X50" s="656">
        <f>+VLOOKUP($L50,Data_Validation!$A:$F,6,0)</f>
        <v>0</v>
      </c>
    </row>
    <row r="51" spans="1:24" ht="15" customHeight="1">
      <c r="A51" s="1332" t="s">
        <v>800</v>
      </c>
      <c r="B51" s="1332" t="s">
        <v>1208</v>
      </c>
      <c r="C51" s="1333"/>
      <c r="D51" s="1333"/>
      <c r="E51" s="1333"/>
      <c r="F51" s="1332" t="s">
        <v>2</v>
      </c>
      <c r="G51" s="1332" t="s">
        <v>3330</v>
      </c>
      <c r="H51" s="1332" t="s">
        <v>3942</v>
      </c>
      <c r="I51" s="1334">
        <v>1</v>
      </c>
      <c r="J51" s="1334">
        <v>0</v>
      </c>
      <c r="K51" s="1334">
        <v>1</v>
      </c>
      <c r="L51" s="653" t="str">
        <f t="shared" si="2"/>
        <v>615</v>
      </c>
      <c r="M51" s="654" t="str">
        <f t="shared" si="0"/>
        <v>VW CONSEILLERS SERVICE - PIEC. &amp; CARR.&lt;</v>
      </c>
      <c r="N51" s="655">
        <f>+IF(OR($Q51=Parametres!$G$2,$Q51=Parametres!$G$3),I51,C51)</f>
        <v>1</v>
      </c>
      <c r="O51" s="655">
        <f>+IF(OR($Q51=Parametres!$G$2,$Q51=Parametres!$G$3),J51,D51)</f>
        <v>0</v>
      </c>
      <c r="P51" s="655">
        <f>+IF(OR($Q51=Parametres!$G$2,$Q51=Parametres!$G$3),K51,E51)</f>
        <v>1</v>
      </c>
      <c r="Q51" s="654" t="str">
        <f t="shared" ref="Q51:S51" si="51">+F51</f>
        <v>1-Mémo</v>
      </c>
      <c r="R51" s="653" t="str">
        <f t="shared" si="51"/>
        <v>61</v>
      </c>
      <c r="S51" s="654" t="str">
        <f t="shared" si="51"/>
        <v>_</v>
      </c>
      <c r="T51" s="656" t="str">
        <f>+VLOOKUP($L51,Data_Validation!$A:$D,1,0)</f>
        <v>615</v>
      </c>
      <c r="U51" s="656">
        <f>+VLOOKUP($L51,Data_Validation!$A:$D,3,0)</f>
        <v>0</v>
      </c>
      <c r="V51" s="656">
        <f>+VLOOKUP($L51,Data_Validation!$A:$D,4,0)</f>
        <v>0</v>
      </c>
      <c r="W51" s="656" t="str">
        <f>+VLOOKUP($L51,Data_Validation!$A:$E,5,0)</f>
        <v>$</v>
      </c>
      <c r="X51" s="656">
        <f>+VLOOKUP($L51,Data_Validation!$A:$F,6,0)</f>
        <v>0</v>
      </c>
    </row>
    <row r="52" spans="1:24" ht="15.75" customHeight="1">
      <c r="A52" s="1332" t="s">
        <v>801</v>
      </c>
      <c r="B52" s="1332" t="s">
        <v>2337</v>
      </c>
      <c r="C52" s="1333"/>
      <c r="D52" s="1333"/>
      <c r="E52" s="1333"/>
      <c r="F52" s="1332" t="s">
        <v>2</v>
      </c>
      <c r="G52" s="1332" t="s">
        <v>785</v>
      </c>
      <c r="H52" s="1332" t="s">
        <v>3942</v>
      </c>
      <c r="I52" s="1334">
        <v>1</v>
      </c>
      <c r="J52" s="1334">
        <v>0</v>
      </c>
      <c r="K52" s="1334">
        <v>1</v>
      </c>
      <c r="L52" s="653" t="str">
        <f t="shared" si="2"/>
        <v>621</v>
      </c>
      <c r="M52" s="654" t="str">
        <f t="shared" si="0"/>
        <v>LAVEURS NEUFS</v>
      </c>
      <c r="N52" s="655">
        <f>+IF(OR($Q52=Parametres!$G$2,$Q52=Parametres!$G$3),I52,C52)</f>
        <v>1</v>
      </c>
      <c r="O52" s="655">
        <f>+IF(OR($Q52=Parametres!$G$2,$Q52=Parametres!$G$3),J52,D52)</f>
        <v>0</v>
      </c>
      <c r="P52" s="655">
        <f>+IF(OR($Q52=Parametres!$G$2,$Q52=Parametres!$G$3),K52,E52)</f>
        <v>1</v>
      </c>
      <c r="Q52" s="654" t="str">
        <f t="shared" ref="Q52:S52" si="52">+F52</f>
        <v>1-Mémo</v>
      </c>
      <c r="R52" s="653" t="str">
        <f t="shared" si="52"/>
        <v>50</v>
      </c>
      <c r="S52" s="654" t="str">
        <f t="shared" si="52"/>
        <v>_</v>
      </c>
      <c r="T52" s="656" t="str">
        <f>+VLOOKUP($L52,Data_Validation!$A:$D,1,0)</f>
        <v>621</v>
      </c>
      <c r="U52" s="656">
        <f>+VLOOKUP($L52,Data_Validation!$A:$D,3,0)</f>
        <v>0</v>
      </c>
      <c r="V52" s="656">
        <f>+VLOOKUP($L52,Data_Validation!$A:$D,4,0)</f>
        <v>0</v>
      </c>
      <c r="W52" s="656" t="str">
        <f>+VLOOKUP($L52,Data_Validation!$A:$E,5,0)</f>
        <v>$</v>
      </c>
      <c r="X52" s="656">
        <f>+VLOOKUP($L52,Data_Validation!$A:$F,6,0)</f>
        <v>0</v>
      </c>
    </row>
    <row r="53" spans="1:24" ht="15" customHeight="1">
      <c r="A53" s="1332" t="s">
        <v>802</v>
      </c>
      <c r="B53" s="1332" t="s">
        <v>2346</v>
      </c>
      <c r="C53" s="1333"/>
      <c r="D53" s="1333"/>
      <c r="E53" s="1333"/>
      <c r="F53" s="1332" t="s">
        <v>2</v>
      </c>
      <c r="G53" s="1332" t="s">
        <v>785</v>
      </c>
      <c r="H53" s="1332" t="s">
        <v>3942</v>
      </c>
      <c r="I53" s="1334">
        <v>1</v>
      </c>
      <c r="J53" s="1334">
        <v>0</v>
      </c>
      <c r="K53" s="1334">
        <v>1</v>
      </c>
      <c r="L53" s="653" t="str">
        <f t="shared" si="2"/>
        <v>622</v>
      </c>
      <c r="M53" s="654" t="str">
        <f t="shared" si="0"/>
        <v>LAVEURS USAGES</v>
      </c>
      <c r="N53" s="655">
        <f>+IF(OR($Q53=Parametres!$G$2,$Q53=Parametres!$G$3),I53,C53)</f>
        <v>1</v>
      </c>
      <c r="O53" s="655">
        <f>+IF(OR($Q53=Parametres!$G$2,$Q53=Parametres!$G$3),J53,D53)</f>
        <v>0</v>
      </c>
      <c r="P53" s="655">
        <f>+IF(OR($Q53=Parametres!$G$2,$Q53=Parametres!$G$3),K53,E53)</f>
        <v>1</v>
      </c>
      <c r="Q53" s="654" t="str">
        <f t="shared" ref="Q53:S53" si="53">+F53</f>
        <v>1-Mémo</v>
      </c>
      <c r="R53" s="653" t="str">
        <f t="shared" si="53"/>
        <v>50</v>
      </c>
      <c r="S53" s="654" t="str">
        <f t="shared" si="53"/>
        <v>_</v>
      </c>
      <c r="T53" s="656" t="str">
        <f>+VLOOKUP($L53,Data_Validation!$A:$D,1,0)</f>
        <v>622</v>
      </c>
      <c r="U53" s="656">
        <f>+VLOOKUP($L53,Data_Validation!$A:$D,3,0)</f>
        <v>0</v>
      </c>
      <c r="V53" s="656">
        <f>+VLOOKUP($L53,Data_Validation!$A:$D,4,0)</f>
        <v>0</v>
      </c>
      <c r="W53" s="656" t="str">
        <f>+VLOOKUP($L53,Data_Validation!$A:$E,5,0)</f>
        <v>$</v>
      </c>
      <c r="X53" s="656">
        <f>+VLOOKUP($L53,Data_Validation!$A:$F,6,0)</f>
        <v>0</v>
      </c>
    </row>
    <row r="54" spans="1:24" ht="15" customHeight="1">
      <c r="A54" s="1332" t="s">
        <v>803</v>
      </c>
      <c r="B54" s="1332" t="s">
        <v>2371</v>
      </c>
      <c r="C54" s="1333"/>
      <c r="D54" s="1333"/>
      <c r="E54" s="1333"/>
      <c r="F54" s="1332" t="s">
        <v>2</v>
      </c>
      <c r="G54" s="1332" t="s">
        <v>785</v>
      </c>
      <c r="H54" s="1332" t="s">
        <v>3942</v>
      </c>
      <c r="I54" s="1334">
        <v>7</v>
      </c>
      <c r="J54" s="1334">
        <v>0</v>
      </c>
      <c r="K54" s="1334">
        <v>7</v>
      </c>
      <c r="L54" s="653" t="str">
        <f t="shared" si="2"/>
        <v>624</v>
      </c>
      <c r="M54" s="654" t="str">
        <f t="shared" si="0"/>
        <v>LAVEURS SERVICE</v>
      </c>
      <c r="N54" s="655">
        <f>+IF(OR($Q54=Parametres!$G$2,$Q54=Parametres!$G$3),I54,C54)</f>
        <v>7</v>
      </c>
      <c r="O54" s="655">
        <f>+IF(OR($Q54=Parametres!$G$2,$Q54=Parametres!$G$3),J54,D54)</f>
        <v>0</v>
      </c>
      <c r="P54" s="655">
        <f>+IF(OR($Q54=Parametres!$G$2,$Q54=Parametres!$G$3),K54,E54)</f>
        <v>7</v>
      </c>
      <c r="Q54" s="654" t="str">
        <f t="shared" ref="Q54:S54" si="54">+F54</f>
        <v>1-Mémo</v>
      </c>
      <c r="R54" s="653" t="str">
        <f t="shared" si="54"/>
        <v>50</v>
      </c>
      <c r="S54" s="654" t="str">
        <f t="shared" si="54"/>
        <v>_</v>
      </c>
      <c r="T54" s="656" t="str">
        <f>+VLOOKUP($L54,Data_Validation!$A:$D,1,0)</f>
        <v>624</v>
      </c>
      <c r="U54" s="656">
        <f>+VLOOKUP($L54,Data_Validation!$A:$D,3,0)</f>
        <v>0</v>
      </c>
      <c r="V54" s="656">
        <f>+VLOOKUP($L54,Data_Validation!$A:$D,4,0)</f>
        <v>0</v>
      </c>
      <c r="W54" s="656" t="str">
        <f>+VLOOKUP($L54,Data_Validation!$A:$E,5,0)</f>
        <v>$</v>
      </c>
      <c r="X54" s="656">
        <f>+VLOOKUP($L54,Data_Validation!$A:$F,6,0)</f>
        <v>0</v>
      </c>
    </row>
    <row r="55" spans="1:24" ht="15" customHeight="1">
      <c r="A55" s="1332" t="s">
        <v>804</v>
      </c>
      <c r="B55" s="1332" t="s">
        <v>2469</v>
      </c>
      <c r="C55" s="1333"/>
      <c r="D55" s="1333"/>
      <c r="E55" s="1333"/>
      <c r="F55" s="1332" t="s">
        <v>2</v>
      </c>
      <c r="G55" s="1332" t="s">
        <v>3331</v>
      </c>
      <c r="H55" s="1332" t="s">
        <v>3942</v>
      </c>
      <c r="I55" s="1334">
        <v>12</v>
      </c>
      <c r="J55" s="1334">
        <v>0</v>
      </c>
      <c r="K55" s="1334">
        <v>12</v>
      </c>
      <c r="L55" s="653" t="str">
        <f t="shared" si="2"/>
        <v>644</v>
      </c>
      <c r="M55" s="654" t="str">
        <f t="shared" si="0"/>
        <v>VW TECHNICIENS - SERVICE</v>
      </c>
      <c r="N55" s="655">
        <f>+IF(OR($Q55=Parametres!$G$2,$Q55=Parametres!$G$3),I55,C55)</f>
        <v>12</v>
      </c>
      <c r="O55" s="655">
        <f>+IF(OR($Q55=Parametres!$G$2,$Q55=Parametres!$G$3),J55,D55)</f>
        <v>0</v>
      </c>
      <c r="P55" s="655">
        <f>+IF(OR($Q55=Parametres!$G$2,$Q55=Parametres!$G$3),K55,E55)</f>
        <v>12</v>
      </c>
      <c r="Q55" s="654" t="str">
        <f t="shared" ref="Q55:S55" si="55">+F55</f>
        <v>1-Mémo</v>
      </c>
      <c r="R55" s="653" t="str">
        <f t="shared" si="55"/>
        <v>64</v>
      </c>
      <c r="S55" s="654" t="str">
        <f t="shared" si="55"/>
        <v>_</v>
      </c>
      <c r="T55" s="656" t="str">
        <f>+VLOOKUP($L55,Data_Validation!$A:$D,1,0)</f>
        <v>644</v>
      </c>
      <c r="U55" s="656">
        <f>+VLOOKUP($L55,Data_Validation!$A:$D,3,0)</f>
        <v>0</v>
      </c>
      <c r="V55" s="656">
        <f>+VLOOKUP($L55,Data_Validation!$A:$D,4,0)</f>
        <v>0</v>
      </c>
      <c r="W55" s="656" t="str">
        <f>+VLOOKUP($L55,Data_Validation!$A:$E,5,0)</f>
        <v>$</v>
      </c>
      <c r="X55" s="656">
        <f>+VLOOKUP($L55,Data_Validation!$A:$F,6,0)</f>
        <v>0</v>
      </c>
    </row>
    <row r="56" spans="1:24" ht="15.75" customHeight="1">
      <c r="A56" s="1332" t="s">
        <v>805</v>
      </c>
      <c r="B56" s="1332" t="s">
        <v>2538</v>
      </c>
      <c r="C56" s="1333"/>
      <c r="D56" s="1333"/>
      <c r="E56" s="1333"/>
      <c r="F56" s="1332" t="s">
        <v>2</v>
      </c>
      <c r="G56" s="1332" t="s">
        <v>785</v>
      </c>
      <c r="H56" s="1332" t="s">
        <v>3942</v>
      </c>
      <c r="I56" s="1334">
        <v>0.2</v>
      </c>
      <c r="J56" s="1334">
        <v>0</v>
      </c>
      <c r="K56" s="1334">
        <v>0.2</v>
      </c>
      <c r="L56" s="653" t="str">
        <f t="shared" si="2"/>
        <v>651</v>
      </c>
      <c r="M56" s="654" t="str">
        <f t="shared" si="0"/>
        <v>DIR. ADMINIS. NEUFS</v>
      </c>
      <c r="N56" s="655">
        <f>+IF(OR($Q56=Parametres!$G$2,$Q56=Parametres!$G$3),I56,C56)</f>
        <v>0.2</v>
      </c>
      <c r="O56" s="655">
        <f>+IF(OR($Q56=Parametres!$G$2,$Q56=Parametres!$G$3),J56,D56)</f>
        <v>0</v>
      </c>
      <c r="P56" s="655">
        <f>+IF(OR($Q56=Parametres!$G$2,$Q56=Parametres!$G$3),K56,E56)</f>
        <v>0.2</v>
      </c>
      <c r="Q56" s="654" t="str">
        <f t="shared" ref="Q56:S56" si="56">+F56</f>
        <v>1-Mémo</v>
      </c>
      <c r="R56" s="653" t="str">
        <f t="shared" si="56"/>
        <v>50</v>
      </c>
      <c r="S56" s="654" t="str">
        <f t="shared" si="56"/>
        <v>_</v>
      </c>
      <c r="T56" s="656" t="str">
        <f>+VLOOKUP($L56,Data_Validation!$A:$D,1,0)</f>
        <v>651</v>
      </c>
      <c r="U56" s="656">
        <f>+VLOOKUP($L56,Data_Validation!$A:$D,3,0)</f>
        <v>0</v>
      </c>
      <c r="V56" s="656">
        <f>+VLOOKUP($L56,Data_Validation!$A:$D,4,0)</f>
        <v>0</v>
      </c>
      <c r="W56" s="656" t="str">
        <f>+VLOOKUP($L56,Data_Validation!$A:$E,5,0)</f>
        <v>$</v>
      </c>
      <c r="X56" s="656">
        <f>+VLOOKUP($L56,Data_Validation!$A:$F,6,0)</f>
        <v>0</v>
      </c>
    </row>
    <row r="57" spans="1:24" ht="15" customHeight="1">
      <c r="A57" s="1332" t="s">
        <v>806</v>
      </c>
      <c r="B57" s="1332" t="s">
        <v>2544</v>
      </c>
      <c r="C57" s="1333"/>
      <c r="D57" s="1333"/>
      <c r="E57" s="1333"/>
      <c r="F57" s="1332" t="s">
        <v>2</v>
      </c>
      <c r="G57" s="1332" t="s">
        <v>785</v>
      </c>
      <c r="H57" s="1332" t="s">
        <v>3942</v>
      </c>
      <c r="I57" s="1334">
        <v>0.2</v>
      </c>
      <c r="J57" s="1334">
        <v>0</v>
      </c>
      <c r="K57" s="1334">
        <v>0.2</v>
      </c>
      <c r="L57" s="653" t="str">
        <f t="shared" si="2"/>
        <v>652</v>
      </c>
      <c r="M57" s="654" t="str">
        <f t="shared" si="0"/>
        <v>DIR. ADMINIS. USAGES</v>
      </c>
      <c r="N57" s="655">
        <f>+IF(OR($Q57=Parametres!$G$2,$Q57=Parametres!$G$3),I57,C57)</f>
        <v>0.2</v>
      </c>
      <c r="O57" s="655">
        <f>+IF(OR($Q57=Parametres!$G$2,$Q57=Parametres!$G$3),J57,D57)</f>
        <v>0</v>
      </c>
      <c r="P57" s="655">
        <f>+IF(OR($Q57=Parametres!$G$2,$Q57=Parametres!$G$3),K57,E57)</f>
        <v>0.2</v>
      </c>
      <c r="Q57" s="654" t="str">
        <f t="shared" ref="Q57:S57" si="57">+F57</f>
        <v>1-Mémo</v>
      </c>
      <c r="R57" s="653" t="str">
        <f t="shared" si="57"/>
        <v>50</v>
      </c>
      <c r="S57" s="654" t="str">
        <f t="shared" si="57"/>
        <v>_</v>
      </c>
      <c r="T57" s="656" t="str">
        <f>+VLOOKUP($L57,Data_Validation!$A:$D,1,0)</f>
        <v>652</v>
      </c>
      <c r="U57" s="656">
        <f>+VLOOKUP($L57,Data_Validation!$A:$D,3,0)</f>
        <v>0</v>
      </c>
      <c r="V57" s="656">
        <f>+VLOOKUP($L57,Data_Validation!$A:$D,4,0)</f>
        <v>0</v>
      </c>
      <c r="W57" s="656" t="str">
        <f>+VLOOKUP($L57,Data_Validation!$A:$E,5,0)</f>
        <v>$</v>
      </c>
      <c r="X57" s="656">
        <f>+VLOOKUP($L57,Data_Validation!$A:$F,6,0)</f>
        <v>0</v>
      </c>
    </row>
    <row r="58" spans="1:24" ht="15" customHeight="1">
      <c r="A58" s="1332" t="s">
        <v>807</v>
      </c>
      <c r="B58" s="1332" t="s">
        <v>2574</v>
      </c>
      <c r="C58" s="1333"/>
      <c r="D58" s="1333"/>
      <c r="E58" s="1333"/>
      <c r="F58" s="1332" t="s">
        <v>2</v>
      </c>
      <c r="G58" s="1332" t="s">
        <v>785</v>
      </c>
      <c r="H58" s="1332" t="s">
        <v>3942</v>
      </c>
      <c r="I58" s="1334">
        <v>0.2</v>
      </c>
      <c r="J58" s="1334">
        <v>0</v>
      </c>
      <c r="K58" s="1334">
        <v>0.2</v>
      </c>
      <c r="L58" s="653" t="str">
        <f t="shared" si="2"/>
        <v>654</v>
      </c>
      <c r="M58" s="654" t="str">
        <f t="shared" si="0"/>
        <v>DIR. ADMINIS. SERVICE</v>
      </c>
      <c r="N58" s="655">
        <f>+IF(OR($Q58=Parametres!$G$2,$Q58=Parametres!$G$3),I58,C58)</f>
        <v>0.2</v>
      </c>
      <c r="O58" s="655">
        <f>+IF(OR($Q58=Parametres!$G$2,$Q58=Parametres!$G$3),J58,D58)</f>
        <v>0</v>
      </c>
      <c r="P58" s="655">
        <f>+IF(OR($Q58=Parametres!$G$2,$Q58=Parametres!$G$3),K58,E58)</f>
        <v>0.2</v>
      </c>
      <c r="Q58" s="654" t="str">
        <f t="shared" ref="Q58:S58" si="58">+F58</f>
        <v>1-Mémo</v>
      </c>
      <c r="R58" s="653" t="str">
        <f t="shared" si="58"/>
        <v>50</v>
      </c>
      <c r="S58" s="654" t="str">
        <f t="shared" si="58"/>
        <v>_</v>
      </c>
      <c r="T58" s="656" t="str">
        <f>+VLOOKUP($L58,Data_Validation!$A:$D,1,0)</f>
        <v>654</v>
      </c>
      <c r="U58" s="656">
        <f>+VLOOKUP($L58,Data_Validation!$A:$D,3,0)</f>
        <v>0</v>
      </c>
      <c r="V58" s="656">
        <f>+VLOOKUP($L58,Data_Validation!$A:$D,4,0)</f>
        <v>0</v>
      </c>
      <c r="W58" s="656" t="str">
        <f>+VLOOKUP($L58,Data_Validation!$A:$E,5,0)</f>
        <v>$</v>
      </c>
      <c r="X58" s="656">
        <f>+VLOOKUP($L58,Data_Validation!$A:$F,6,0)</f>
        <v>0</v>
      </c>
    </row>
    <row r="59" spans="1:24" ht="15" customHeight="1">
      <c r="A59" s="1332" t="s">
        <v>808</v>
      </c>
      <c r="B59" s="1332" t="s">
        <v>1267</v>
      </c>
      <c r="C59" s="1333"/>
      <c r="D59" s="1333"/>
      <c r="E59" s="1333"/>
      <c r="F59" s="1332" t="s">
        <v>2</v>
      </c>
      <c r="G59" s="1332" t="s">
        <v>785</v>
      </c>
      <c r="H59" s="1332" t="s">
        <v>3942</v>
      </c>
      <c r="I59" s="1334">
        <v>0.2</v>
      </c>
      <c r="J59" s="1334">
        <v>0</v>
      </c>
      <c r="K59" s="1334">
        <v>0.2</v>
      </c>
      <c r="L59" s="653" t="str">
        <f t="shared" si="2"/>
        <v>655</v>
      </c>
      <c r="M59" s="654" t="str">
        <f t="shared" si="0"/>
        <v>DIR. ADMINIS. CARROSS.</v>
      </c>
      <c r="N59" s="655">
        <f>+IF(OR($Q59=Parametres!$G$2,$Q59=Parametres!$G$3),I59,C59)</f>
        <v>0.2</v>
      </c>
      <c r="O59" s="659">
        <f>+IF(OR($Q59=Parametres!$G$2,$Q59=Parametres!$G$3),J59,D59)</f>
        <v>0</v>
      </c>
      <c r="P59" s="655">
        <f>+IF(OR($Q59=Parametres!$G$2,$Q59=Parametres!$G$3),K59,E59)</f>
        <v>0.2</v>
      </c>
      <c r="Q59" s="654" t="str">
        <f t="shared" ref="Q59:S59" si="59">+F59</f>
        <v>1-Mémo</v>
      </c>
      <c r="R59" s="653" t="str">
        <f t="shared" si="59"/>
        <v>50</v>
      </c>
      <c r="S59" s="654" t="str">
        <f t="shared" si="59"/>
        <v>_</v>
      </c>
      <c r="T59" s="656" t="str">
        <f>+VLOOKUP($L59,Data_Validation!$A:$D,1,0)</f>
        <v>655</v>
      </c>
      <c r="U59" s="656">
        <f>+VLOOKUP($L59,Data_Validation!$A:$D,3,0)</f>
        <v>0</v>
      </c>
      <c r="V59" s="656">
        <f>+VLOOKUP($L59,Data_Validation!$A:$D,4,0)</f>
        <v>0</v>
      </c>
      <c r="W59" s="656" t="str">
        <f>+VLOOKUP($L59,Data_Validation!$A:$E,5,0)</f>
        <v>$</v>
      </c>
      <c r="X59" s="656">
        <f>+VLOOKUP($L59,Data_Validation!$A:$F,6,0)</f>
        <v>0</v>
      </c>
    </row>
    <row r="60" spans="1:24" ht="15" customHeight="1">
      <c r="A60" s="1332" t="s">
        <v>809</v>
      </c>
      <c r="B60" s="1332" t="s">
        <v>2617</v>
      </c>
      <c r="C60" s="1333"/>
      <c r="D60" s="1333"/>
      <c r="E60" s="1333"/>
      <c r="F60" s="1332" t="s">
        <v>2</v>
      </c>
      <c r="G60" s="1332" t="s">
        <v>785</v>
      </c>
      <c r="H60" s="1332" t="s">
        <v>3942</v>
      </c>
      <c r="I60" s="1334">
        <v>0.2</v>
      </c>
      <c r="J60" s="1334">
        <v>0</v>
      </c>
      <c r="K60" s="1334">
        <v>0.2</v>
      </c>
      <c r="L60" s="653" t="str">
        <f t="shared" si="2"/>
        <v>657</v>
      </c>
      <c r="M60" s="654" t="str">
        <f t="shared" si="0"/>
        <v>DIR. ADMINIS. PIECES</v>
      </c>
      <c r="N60" s="655">
        <f>+IF(OR($Q60=Parametres!$G$2,$Q60=Parametres!$G$3),I60,C60)</f>
        <v>0.2</v>
      </c>
      <c r="O60" s="655">
        <f>+IF(OR($Q60=Parametres!$G$2,$Q60=Parametres!$G$3),J60,D60)</f>
        <v>0</v>
      </c>
      <c r="P60" s="655">
        <f>+IF(OR($Q60=Parametres!$G$2,$Q60=Parametres!$G$3),K60,E60)</f>
        <v>0.2</v>
      </c>
      <c r="Q60" s="654" t="str">
        <f t="shared" ref="Q60:S60" si="60">+F60</f>
        <v>1-Mémo</v>
      </c>
      <c r="R60" s="653" t="str">
        <f t="shared" si="60"/>
        <v>50</v>
      </c>
      <c r="S60" s="654" t="str">
        <f t="shared" si="60"/>
        <v>_</v>
      </c>
      <c r="T60" s="656" t="str">
        <f>+VLOOKUP($L60,Data_Validation!$A:$D,1,0)</f>
        <v>657</v>
      </c>
      <c r="U60" s="656">
        <f>+VLOOKUP($L60,Data_Validation!$A:$D,3,0)</f>
        <v>0</v>
      </c>
      <c r="V60" s="656">
        <f>+VLOOKUP($L60,Data_Validation!$A:$D,4,0)</f>
        <v>0</v>
      </c>
      <c r="W60" s="656" t="str">
        <f>+VLOOKUP($L60,Data_Validation!$A:$E,5,0)</f>
        <v>$</v>
      </c>
      <c r="X60" s="656">
        <f>+VLOOKUP($L60,Data_Validation!$A:$F,6,0)</f>
        <v>0</v>
      </c>
    </row>
    <row r="61" spans="1:24" ht="15" customHeight="1">
      <c r="A61" s="1332" t="s">
        <v>810</v>
      </c>
      <c r="B61" s="1332" t="s">
        <v>2635</v>
      </c>
      <c r="C61" s="1333"/>
      <c r="D61" s="1333"/>
      <c r="E61" s="1333"/>
      <c r="F61" s="1332" t="s">
        <v>2</v>
      </c>
      <c r="G61" s="1332" t="s">
        <v>785</v>
      </c>
      <c r="H61" s="1332" t="s">
        <v>3942</v>
      </c>
      <c r="I61" s="1334">
        <v>1</v>
      </c>
      <c r="J61" s="1334">
        <v>0</v>
      </c>
      <c r="K61" s="1334">
        <v>1</v>
      </c>
      <c r="L61" s="653" t="str">
        <f t="shared" si="2"/>
        <v>661</v>
      </c>
      <c r="M61" s="654" t="str">
        <f t="shared" si="0"/>
        <v>PERSONELS CLER. NEUFS</v>
      </c>
      <c r="N61" s="655">
        <f>+IF(OR($Q61=Parametres!$G$2,$Q61=Parametres!$G$3),I61,C61)</f>
        <v>1</v>
      </c>
      <c r="O61" s="655">
        <f>+IF(OR($Q61=Parametres!$G$2,$Q61=Parametres!$G$3),J61,D61)</f>
        <v>0</v>
      </c>
      <c r="P61" s="655">
        <f>+IF(OR($Q61=Parametres!$G$2,$Q61=Parametres!$G$3),K61,E61)</f>
        <v>1</v>
      </c>
      <c r="Q61" s="654" t="str">
        <f t="shared" ref="Q61:S61" si="61">+F61</f>
        <v>1-Mémo</v>
      </c>
      <c r="R61" s="653" t="str">
        <f t="shared" si="61"/>
        <v>50</v>
      </c>
      <c r="S61" s="654" t="str">
        <f t="shared" si="61"/>
        <v>_</v>
      </c>
      <c r="T61" s="656" t="str">
        <f>+VLOOKUP($L61,Data_Validation!$A:$D,1,0)</f>
        <v>661</v>
      </c>
      <c r="U61" s="656">
        <f>+VLOOKUP($L61,Data_Validation!$A:$D,3,0)</f>
        <v>0</v>
      </c>
      <c r="V61" s="656">
        <f>+VLOOKUP($L61,Data_Validation!$A:$D,4,0)</f>
        <v>0</v>
      </c>
      <c r="W61" s="656" t="str">
        <f>+VLOOKUP($L61,Data_Validation!$A:$E,5,0)</f>
        <v>$</v>
      </c>
      <c r="X61" s="656">
        <f>+VLOOKUP($L61,Data_Validation!$A:$F,6,0)</f>
        <v>0</v>
      </c>
    </row>
    <row r="62" spans="1:24" ht="15" customHeight="1">
      <c r="A62" s="1332" t="s">
        <v>811</v>
      </c>
      <c r="B62" s="1332" t="s">
        <v>2638</v>
      </c>
      <c r="C62" s="1333"/>
      <c r="D62" s="1333"/>
      <c r="E62" s="1333"/>
      <c r="F62" s="1332" t="s">
        <v>2</v>
      </c>
      <c r="G62" s="1332" t="s">
        <v>785</v>
      </c>
      <c r="H62" s="1332" t="s">
        <v>3942</v>
      </c>
      <c r="I62" s="1334">
        <v>1</v>
      </c>
      <c r="J62" s="1334">
        <v>0</v>
      </c>
      <c r="K62" s="1334">
        <v>1</v>
      </c>
      <c r="L62" s="653" t="str">
        <f t="shared" si="2"/>
        <v>662</v>
      </c>
      <c r="M62" s="654" t="str">
        <f t="shared" si="0"/>
        <v>PERSONELS CLER. USAGES</v>
      </c>
      <c r="N62" s="655">
        <f>+IF(OR($Q62=Parametres!$G$2,$Q62=Parametres!$G$3),I62,C62)</f>
        <v>1</v>
      </c>
      <c r="O62" s="655">
        <f>+IF(OR($Q62=Parametres!$G$2,$Q62=Parametres!$G$3),J62,D62)</f>
        <v>0</v>
      </c>
      <c r="P62" s="655">
        <f>+IF(OR($Q62=Parametres!$G$2,$Q62=Parametres!$G$3),K62,E62)</f>
        <v>1</v>
      </c>
      <c r="Q62" s="654" t="str">
        <f t="shared" ref="Q62:S62" si="62">+F62</f>
        <v>1-Mémo</v>
      </c>
      <c r="R62" s="653" t="str">
        <f t="shared" si="62"/>
        <v>50</v>
      </c>
      <c r="S62" s="654" t="str">
        <f t="shared" si="62"/>
        <v>_</v>
      </c>
      <c r="T62" s="656" t="str">
        <f>+VLOOKUP($L62,Data_Validation!$A:$D,1,0)</f>
        <v>662</v>
      </c>
      <c r="U62" s="656">
        <f>+VLOOKUP($L62,Data_Validation!$A:$D,3,0)</f>
        <v>0</v>
      </c>
      <c r="V62" s="656">
        <f>+VLOOKUP($L62,Data_Validation!$A:$D,4,0)</f>
        <v>0</v>
      </c>
      <c r="W62" s="656" t="str">
        <f>+VLOOKUP($L62,Data_Validation!$A:$E,5,0)</f>
        <v>$</v>
      </c>
      <c r="X62" s="656">
        <f>+VLOOKUP($L62,Data_Validation!$A:$F,6,0)</f>
        <v>0</v>
      </c>
    </row>
    <row r="63" spans="1:24" ht="15" customHeight="1">
      <c r="A63" s="1332" t="s">
        <v>812</v>
      </c>
      <c r="B63" s="1332" t="s">
        <v>2641</v>
      </c>
      <c r="C63" s="1333"/>
      <c r="D63" s="1333"/>
      <c r="E63" s="1333"/>
      <c r="F63" s="1332" t="s">
        <v>2</v>
      </c>
      <c r="G63" s="1332" t="s">
        <v>785</v>
      </c>
      <c r="H63" s="1332" t="s">
        <v>3942</v>
      </c>
      <c r="I63" s="1334">
        <v>1</v>
      </c>
      <c r="J63" s="1334">
        <v>0</v>
      </c>
      <c r="K63" s="1334">
        <v>1</v>
      </c>
      <c r="L63" s="653" t="str">
        <f t="shared" si="2"/>
        <v>664</v>
      </c>
      <c r="M63" s="654" t="str">
        <f t="shared" si="0"/>
        <v>PERSONELS CLER. SERVICE</v>
      </c>
      <c r="N63" s="655">
        <f>+IF(OR($Q63=Parametres!$G$2,$Q63=Parametres!$G$3),I63,C63)</f>
        <v>1</v>
      </c>
      <c r="O63" s="659">
        <f>+IF(OR($Q63=Parametres!$G$2,$Q63=Parametres!$G$3),J63,D63)</f>
        <v>0</v>
      </c>
      <c r="P63" s="655">
        <f>+IF(OR($Q63=Parametres!$G$2,$Q63=Parametres!$G$3),K63,E63)</f>
        <v>1</v>
      </c>
      <c r="Q63" s="654" t="str">
        <f t="shared" ref="Q63:S63" si="63">+F63</f>
        <v>1-Mémo</v>
      </c>
      <c r="R63" s="653" t="str">
        <f t="shared" si="63"/>
        <v>50</v>
      </c>
      <c r="S63" s="654" t="str">
        <f t="shared" si="63"/>
        <v>_</v>
      </c>
      <c r="T63" s="656" t="str">
        <f>+VLOOKUP($L63,Data_Validation!$A:$D,1,0)</f>
        <v>664</v>
      </c>
      <c r="U63" s="656">
        <f>+VLOOKUP($L63,Data_Validation!$A:$D,3,0)</f>
        <v>0</v>
      </c>
      <c r="V63" s="656">
        <f>+VLOOKUP($L63,Data_Validation!$A:$D,4,0)</f>
        <v>0</v>
      </c>
      <c r="W63" s="656" t="str">
        <f>+VLOOKUP($L63,Data_Validation!$A:$E,5,0)</f>
        <v>$</v>
      </c>
      <c r="X63" s="656">
        <f>+VLOOKUP($L63,Data_Validation!$A:$F,6,0)</f>
        <v>0</v>
      </c>
    </row>
    <row r="64" spans="1:24" ht="15" customHeight="1">
      <c r="A64" s="1332" t="s">
        <v>813</v>
      </c>
      <c r="B64" s="1332" t="s">
        <v>2644</v>
      </c>
      <c r="C64" s="1333"/>
      <c r="D64" s="1333"/>
      <c r="E64" s="1333"/>
      <c r="F64" s="1332" t="s">
        <v>2</v>
      </c>
      <c r="G64" s="1332" t="s">
        <v>785</v>
      </c>
      <c r="H64" s="1332" t="s">
        <v>3942</v>
      </c>
      <c r="I64" s="1334">
        <v>1</v>
      </c>
      <c r="J64" s="1334">
        <v>0</v>
      </c>
      <c r="K64" s="1334">
        <v>1</v>
      </c>
      <c r="L64" s="653" t="str">
        <f t="shared" si="2"/>
        <v>667</v>
      </c>
      <c r="M64" s="654" t="str">
        <f t="shared" si="0"/>
        <v>PERSONELS CLER. PIECES</v>
      </c>
      <c r="N64" s="655">
        <f>+IF(OR($Q64=Parametres!$G$2,$Q64=Parametres!$G$3),I64,C64)</f>
        <v>1</v>
      </c>
      <c r="O64" s="655">
        <f>+IF(OR($Q64=Parametres!$G$2,$Q64=Parametres!$G$3),J64,D64)</f>
        <v>0</v>
      </c>
      <c r="P64" s="655">
        <f>+IF(OR($Q64=Parametres!$G$2,$Q64=Parametres!$G$3),K64,E64)</f>
        <v>1</v>
      </c>
      <c r="Q64" s="654" t="str">
        <f t="shared" ref="Q64:S64" si="64">+F64</f>
        <v>1-Mémo</v>
      </c>
      <c r="R64" s="653" t="str">
        <f t="shared" si="64"/>
        <v>50</v>
      </c>
      <c r="S64" s="654" t="str">
        <f t="shared" si="64"/>
        <v>_</v>
      </c>
      <c r="T64" s="656" t="str">
        <f>+VLOOKUP($L64,Data_Validation!$A:$D,1,0)</f>
        <v>667</v>
      </c>
      <c r="U64" s="656">
        <f>+VLOOKUP($L64,Data_Validation!$A:$D,3,0)</f>
        <v>0</v>
      </c>
      <c r="V64" s="656">
        <f>+VLOOKUP($L64,Data_Validation!$A:$D,4,0)</f>
        <v>0</v>
      </c>
      <c r="W64" s="656" t="str">
        <f>+VLOOKUP($L64,Data_Validation!$A:$E,5,0)</f>
        <v>$</v>
      </c>
      <c r="X64" s="656">
        <f>+VLOOKUP($L64,Data_Validation!$A:$F,6,0)</f>
        <v>0</v>
      </c>
    </row>
    <row r="65" spans="1:24" ht="15" customHeight="1">
      <c r="A65" s="1332" t="s">
        <v>814</v>
      </c>
      <c r="B65" s="1332" t="s">
        <v>2722</v>
      </c>
      <c r="C65" s="1333"/>
      <c r="D65" s="1333"/>
      <c r="E65" s="1333"/>
      <c r="F65" s="1332" t="s">
        <v>2</v>
      </c>
      <c r="G65" s="1332" t="s">
        <v>3332</v>
      </c>
      <c r="H65" s="1332" t="s">
        <v>3942</v>
      </c>
      <c r="I65" s="1334">
        <v>3</v>
      </c>
      <c r="J65" s="1334">
        <v>0</v>
      </c>
      <c r="K65" s="1334">
        <v>3</v>
      </c>
      <c r="L65" s="653" t="str">
        <f t="shared" si="2"/>
        <v>677</v>
      </c>
      <c r="M65" s="654" t="str">
        <f t="shared" si="0"/>
        <v>VW PIECES</v>
      </c>
      <c r="N65" s="655">
        <f>+IF(OR($Q65=Parametres!$G$2,$Q65=Parametres!$G$3),I65,C65)</f>
        <v>3</v>
      </c>
      <c r="O65" s="659">
        <f>+IF(OR($Q65=Parametres!$G$2,$Q65=Parametres!$G$3),J65,D65)</f>
        <v>0</v>
      </c>
      <c r="P65" s="655">
        <f>+IF(OR($Q65=Parametres!$G$2,$Q65=Parametres!$G$3),K65,E65)</f>
        <v>3</v>
      </c>
      <c r="Q65" s="654" t="str">
        <f t="shared" ref="Q65:S65" si="65">+F65</f>
        <v>1-Mémo</v>
      </c>
      <c r="R65" s="653" t="str">
        <f t="shared" si="65"/>
        <v>67</v>
      </c>
      <c r="S65" s="654" t="str">
        <f t="shared" si="65"/>
        <v>_</v>
      </c>
      <c r="T65" s="656" t="str">
        <f>+VLOOKUP($L65,Data_Validation!$A:$D,1,0)</f>
        <v>677</v>
      </c>
      <c r="U65" s="656">
        <f>+VLOOKUP($L65,Data_Validation!$A:$D,3,0)</f>
        <v>0</v>
      </c>
      <c r="V65" s="656">
        <f>+VLOOKUP($L65,Data_Validation!$A:$D,4,0)</f>
        <v>0</v>
      </c>
      <c r="W65" s="656" t="str">
        <f>+VLOOKUP($L65,Data_Validation!$A:$E,5,0)</f>
        <v>$</v>
      </c>
      <c r="X65" s="656">
        <f>+VLOOKUP($L65,Data_Validation!$A:$F,6,0)</f>
        <v>0</v>
      </c>
    </row>
    <row r="66" spans="1:24" ht="15" customHeight="1">
      <c r="A66" s="1332" t="s">
        <v>815</v>
      </c>
      <c r="B66" s="1332" t="s">
        <v>817</v>
      </c>
      <c r="C66" s="1334">
        <v>406478.95</v>
      </c>
      <c r="D66" s="1334">
        <v>1038778.65</v>
      </c>
      <c r="E66" s="1334">
        <v>1445257.6</v>
      </c>
      <c r="F66" s="1332" t="s">
        <v>816</v>
      </c>
      <c r="G66" s="1332" t="s">
        <v>817</v>
      </c>
      <c r="H66" s="1332" t="s">
        <v>3942</v>
      </c>
      <c r="I66" s="1333"/>
      <c r="J66" s="1333"/>
      <c r="K66" s="1333"/>
      <c r="L66" s="653" t="str">
        <f t="shared" si="2"/>
        <v>1102</v>
      </c>
      <c r="M66" s="654" t="str">
        <f t="shared" si="0"/>
        <v>BANQUE DE COMMERCE C/C</v>
      </c>
      <c r="N66" s="655">
        <f>+IF(OR($Q66=Parametres!$G$2,$Q66=Parametres!$G$3),I66,C66)</f>
        <v>406478.95</v>
      </c>
      <c r="O66" s="655">
        <f>+IF(OR($Q66=Parametres!$G$2,$Q66=Parametres!$G$3),J66,D66)</f>
        <v>1038778.65</v>
      </c>
      <c r="P66" s="655">
        <f>+IF(OR($Q66=Parametres!$G$2,$Q66=Parametres!$G$3),K66,E66)</f>
        <v>1445257.6</v>
      </c>
      <c r="Q66" s="654" t="str">
        <f t="shared" ref="Q66:S66" si="66">+F66</f>
        <v>2-Actifs</v>
      </c>
      <c r="R66" s="653" t="str">
        <f t="shared" si="66"/>
        <v>1102</v>
      </c>
      <c r="S66" s="654" t="str">
        <f t="shared" si="66"/>
        <v>_</v>
      </c>
      <c r="T66" s="656" t="str">
        <f>+VLOOKUP($L66,Data_Validation!$A:$D,1,0)</f>
        <v>1102</v>
      </c>
      <c r="U66" s="656" t="str">
        <f>+VLOOKUP($L66,Data_Validation!$A:$D,3,0)</f>
        <v>Bilan</v>
      </c>
      <c r="V66" s="656" t="str">
        <f>+VLOOKUP($L66,Data_Validation!$A:$D,4,0)</f>
        <v>Encaisse</v>
      </c>
      <c r="W66" s="656" t="str">
        <f>+VLOOKUP($L66,Data_Validation!$A:$E,5,0)</f>
        <v>$</v>
      </c>
      <c r="X66" s="656">
        <f>+VLOOKUP($L66,Data_Validation!$A:$F,6,0)</f>
        <v>0</v>
      </c>
    </row>
    <row r="67" spans="1:24" ht="15" customHeight="1">
      <c r="A67" s="1332" t="s">
        <v>818</v>
      </c>
      <c r="B67" s="1332" t="s">
        <v>3356</v>
      </c>
      <c r="C67" s="1334">
        <v>0</v>
      </c>
      <c r="D67" s="1334">
        <v>-164.4</v>
      </c>
      <c r="E67" s="1334">
        <v>-164.4</v>
      </c>
      <c r="F67" s="1332" t="s">
        <v>816</v>
      </c>
      <c r="G67" s="1332" t="s">
        <v>817</v>
      </c>
      <c r="H67" s="1332" t="s">
        <v>3942</v>
      </c>
      <c r="I67" s="1333"/>
      <c r="J67" s="1333"/>
      <c r="K67" s="1333"/>
      <c r="L67" s="653" t="str">
        <f t="shared" ref="L67:L130" si="67">TEXT(B67,0)</f>
        <v>1104</v>
      </c>
      <c r="M67" s="654" t="str">
        <f t="shared" si="0"/>
        <v>MASTER CARD (CANADA TRUST)</v>
      </c>
      <c r="N67" s="655">
        <f>+IF(OR($Q67=Parametres!$G$2,$Q67=Parametres!$G$3),I67,C67)</f>
        <v>0</v>
      </c>
      <c r="O67" s="655">
        <f>+IF(OR($Q67=Parametres!$G$2,$Q67=Parametres!$G$3),J67,D67)</f>
        <v>-164.4</v>
      </c>
      <c r="P67" s="655">
        <f>+IF(OR($Q67=Parametres!$G$2,$Q67=Parametres!$G$3),K67,E67)</f>
        <v>-164.4</v>
      </c>
      <c r="Q67" s="654" t="str">
        <f t="shared" ref="Q67:S67" si="68">+F67</f>
        <v>2-Actifs</v>
      </c>
      <c r="R67" s="653" t="str">
        <f t="shared" si="68"/>
        <v>1102</v>
      </c>
      <c r="S67" s="654" t="str">
        <f t="shared" si="68"/>
        <v>_</v>
      </c>
      <c r="T67" s="656" t="str">
        <f>+VLOOKUP($L67,Data_Validation!$A:$D,1,0)</f>
        <v>1104</v>
      </c>
      <c r="U67" s="656" t="str">
        <f>+VLOOKUP($L67,Data_Validation!$A:$D,3,0)</f>
        <v>Bilan</v>
      </c>
      <c r="V67" s="656" t="str">
        <f>+VLOOKUP($L67,Data_Validation!$A:$D,4,0)</f>
        <v>Encaisse</v>
      </c>
      <c r="W67" s="656" t="str">
        <f>+VLOOKUP($L67,Data_Validation!$A:$E,5,0)</f>
        <v>$</v>
      </c>
      <c r="X67" s="656">
        <f>+VLOOKUP($L67,Data_Validation!$A:$F,6,0)</f>
        <v>0</v>
      </c>
    </row>
    <row r="68" spans="1:24" ht="15" customHeight="1">
      <c r="A68" s="1332" t="s">
        <v>3960</v>
      </c>
      <c r="B68" s="1332" t="s">
        <v>3961</v>
      </c>
      <c r="C68" s="1334">
        <v>0</v>
      </c>
      <c r="D68" s="1334">
        <v>-576168.36</v>
      </c>
      <c r="E68" s="1334">
        <v>-576168.36</v>
      </c>
      <c r="F68" s="1332" t="s">
        <v>816</v>
      </c>
      <c r="G68" s="1332" t="s">
        <v>817</v>
      </c>
      <c r="H68" s="1332" t="s">
        <v>3942</v>
      </c>
      <c r="I68" s="1333"/>
      <c r="J68" s="1333"/>
      <c r="K68" s="1333"/>
      <c r="L68" s="653" t="str">
        <f t="shared" si="67"/>
        <v>1106</v>
      </c>
      <c r="M68" s="654" t="str">
        <f t="shared" si="0"/>
        <v>TD CANADA TRUST</v>
      </c>
      <c r="N68" s="655">
        <f>+IF(OR($Q68=Parametres!$G$2,$Q68=Parametres!$G$3),I68,C68)</f>
        <v>0</v>
      </c>
      <c r="O68" s="659">
        <f>+IF(OR($Q68=Parametres!$G$2,$Q68=Parametres!$G$3),J68,D68)</f>
        <v>-576168.36</v>
      </c>
      <c r="P68" s="655">
        <f>+IF(OR($Q68=Parametres!$G$2,$Q68=Parametres!$G$3),K68,E68)</f>
        <v>-576168.36</v>
      </c>
      <c r="Q68" s="654" t="str">
        <f t="shared" ref="Q68:S68" si="69">+F68</f>
        <v>2-Actifs</v>
      </c>
      <c r="R68" s="653" t="str">
        <f t="shared" si="69"/>
        <v>1102</v>
      </c>
      <c r="S68" s="654" t="str">
        <f t="shared" si="69"/>
        <v>_</v>
      </c>
      <c r="T68" s="656" t="str">
        <f>+VLOOKUP($L68,Data_Validation!$A:$D,1,0)</f>
        <v>1106</v>
      </c>
      <c r="U68" s="656" t="str">
        <f>+VLOOKUP($L68,Data_Validation!$A:$D,3,0)</f>
        <v>Bilan</v>
      </c>
      <c r="V68" s="656" t="str">
        <f>+VLOOKUP($L68,Data_Validation!$A:$D,4,0)</f>
        <v>Encaisse</v>
      </c>
      <c r="W68" s="656" t="str">
        <f>+VLOOKUP($L68,Data_Validation!$A:$E,5,0)</f>
        <v>$</v>
      </c>
      <c r="X68" s="656">
        <f>+VLOOKUP($L68,Data_Validation!$A:$F,6,0)</f>
        <v>0</v>
      </c>
    </row>
    <row r="69" spans="1:24" ht="15" customHeight="1">
      <c r="A69" s="1332" t="s">
        <v>3886</v>
      </c>
      <c r="B69" s="1332" t="s">
        <v>3887</v>
      </c>
      <c r="C69" s="1334">
        <v>-0.01</v>
      </c>
      <c r="D69" s="1334">
        <v>0</v>
      </c>
      <c r="E69" s="1334">
        <v>-0.01</v>
      </c>
      <c r="F69" s="1332" t="s">
        <v>816</v>
      </c>
      <c r="G69" s="1332" t="s">
        <v>817</v>
      </c>
      <c r="H69" s="1332" t="s">
        <v>3942</v>
      </c>
      <c r="I69" s="1333"/>
      <c r="J69" s="1333"/>
      <c r="K69" s="1333"/>
      <c r="L69" s="653" t="str">
        <f t="shared" si="67"/>
        <v>1109</v>
      </c>
      <c r="M69" s="654" t="str">
        <f t="shared" si="0"/>
        <v>KIMOBY</v>
      </c>
      <c r="N69" s="655">
        <f>+IF(OR($Q69=Parametres!$G$2,$Q69=Parametres!$G$3),I69,C69)</f>
        <v>-0.01</v>
      </c>
      <c r="O69" s="655">
        <f>+IF(OR($Q69=Parametres!$G$2,$Q69=Parametres!$G$3),J69,D69)</f>
        <v>0</v>
      </c>
      <c r="P69" s="655">
        <f>+IF(OR($Q69=Parametres!$G$2,$Q69=Parametres!$G$3),K69,E69)</f>
        <v>-0.01</v>
      </c>
      <c r="Q69" s="654" t="str">
        <f t="shared" ref="Q69:S69" si="70">+F69</f>
        <v>2-Actifs</v>
      </c>
      <c r="R69" s="653" t="str">
        <f t="shared" si="70"/>
        <v>1102</v>
      </c>
      <c r="S69" s="654" t="str">
        <f t="shared" si="70"/>
        <v>_</v>
      </c>
      <c r="T69" s="656" t="str">
        <f>+VLOOKUP($L69,Data_Validation!$A:$D,1,0)</f>
        <v>1109</v>
      </c>
      <c r="U69" s="656" t="str">
        <f>+VLOOKUP($L69,Data_Validation!$A:$D,3,0)</f>
        <v>Bilan</v>
      </c>
      <c r="V69" s="656" t="str">
        <f>+VLOOKUP($L69,Data_Validation!$A:$D,4,0)</f>
        <v>Encaisse</v>
      </c>
      <c r="W69" s="656" t="str">
        <f>+VLOOKUP($L69,Data_Validation!$A:$E,5,0)</f>
        <v>$</v>
      </c>
      <c r="X69" s="656">
        <f>+VLOOKUP($L69,Data_Validation!$A:$F,6,0)</f>
        <v>0</v>
      </c>
    </row>
    <row r="70" spans="1:24" ht="15" customHeight="1">
      <c r="A70" s="1332" t="s">
        <v>820</v>
      </c>
      <c r="B70" s="1332" t="s">
        <v>1452</v>
      </c>
      <c r="C70" s="1334">
        <v>158.82</v>
      </c>
      <c r="D70" s="1334">
        <v>0</v>
      </c>
      <c r="E70" s="1334">
        <v>158.82</v>
      </c>
      <c r="F70" s="1332" t="s">
        <v>816</v>
      </c>
      <c r="G70" s="1332" t="s">
        <v>817</v>
      </c>
      <c r="H70" s="1332" t="s">
        <v>3942</v>
      </c>
      <c r="I70" s="1333"/>
      <c r="J70" s="1333"/>
      <c r="K70" s="1333"/>
      <c r="L70" s="653" t="str">
        <f t="shared" si="67"/>
        <v>1182</v>
      </c>
      <c r="M70" s="654" t="str">
        <f t="shared" si="0"/>
        <v>PETITE CAISSE</v>
      </c>
      <c r="N70" s="655">
        <f>+IF(OR($Q70=Parametres!$G$2,$Q70=Parametres!$G$3),I70,C70)</f>
        <v>158.82</v>
      </c>
      <c r="O70" s="655">
        <f>+IF(OR($Q70=Parametres!$G$2,$Q70=Parametres!$G$3),J70,D70)</f>
        <v>0</v>
      </c>
      <c r="P70" s="655">
        <f>+IF(OR($Q70=Parametres!$G$2,$Q70=Parametres!$G$3),K70,E70)</f>
        <v>158.82</v>
      </c>
      <c r="Q70" s="654" t="str">
        <f t="shared" ref="Q70:S70" si="71">+F70</f>
        <v>2-Actifs</v>
      </c>
      <c r="R70" s="653" t="str">
        <f t="shared" si="71"/>
        <v>1102</v>
      </c>
      <c r="S70" s="654" t="str">
        <f t="shared" si="71"/>
        <v>_</v>
      </c>
      <c r="T70" s="656" t="str">
        <f>+VLOOKUP($L70,Data_Validation!$A:$D,1,0)</f>
        <v>1182</v>
      </c>
      <c r="U70" s="656" t="str">
        <f>+VLOOKUP($L70,Data_Validation!$A:$D,3,0)</f>
        <v>Bilan</v>
      </c>
      <c r="V70" s="656" t="str">
        <f>+VLOOKUP($L70,Data_Validation!$A:$D,4,0)</f>
        <v>Encaisse</v>
      </c>
      <c r="W70" s="656" t="str">
        <f>+VLOOKUP($L70,Data_Validation!$A:$E,5,0)</f>
        <v>$</v>
      </c>
      <c r="X70" s="656">
        <f>+VLOOKUP($L70,Data_Validation!$A:$F,6,0)</f>
        <v>0</v>
      </c>
    </row>
    <row r="71" spans="1:24" ht="15" customHeight="1">
      <c r="A71" s="1332" t="s">
        <v>822</v>
      </c>
      <c r="B71" s="1332" t="s">
        <v>823</v>
      </c>
      <c r="C71" s="1334">
        <v>836117.95</v>
      </c>
      <c r="D71" s="1334">
        <v>225139.65</v>
      </c>
      <c r="E71" s="1334">
        <v>1061257.6000000001</v>
      </c>
      <c r="F71" s="1332" t="s">
        <v>816</v>
      </c>
      <c r="G71" s="1332" t="s">
        <v>823</v>
      </c>
      <c r="H71" s="1332" t="s">
        <v>3942</v>
      </c>
      <c r="I71" s="1333"/>
      <c r="J71" s="1333"/>
      <c r="K71" s="1333"/>
      <c r="L71" s="653" t="str">
        <f t="shared" si="67"/>
        <v>1202</v>
      </c>
      <c r="M71" s="654" t="str">
        <f t="shared" si="0"/>
        <v>CONTRATS EN TRANSIT</v>
      </c>
      <c r="N71" s="655">
        <f>+IF(OR($Q71=Parametres!$G$2,$Q71=Parametres!$G$3),I71,C71)</f>
        <v>836117.95</v>
      </c>
      <c r="O71" s="655">
        <f>+IF(OR($Q71=Parametres!$G$2,$Q71=Parametres!$G$3),J71,D71)</f>
        <v>225139.65</v>
      </c>
      <c r="P71" s="655">
        <f>+IF(OR($Q71=Parametres!$G$2,$Q71=Parametres!$G$3),K71,E71)</f>
        <v>1061257.6000000001</v>
      </c>
      <c r="Q71" s="654" t="str">
        <f t="shared" ref="Q71:S71" si="72">+F71</f>
        <v>2-Actifs</v>
      </c>
      <c r="R71" s="653" t="str">
        <f t="shared" si="72"/>
        <v>1202</v>
      </c>
      <c r="S71" s="654" t="str">
        <f t="shared" si="72"/>
        <v>_</v>
      </c>
      <c r="T71" s="656" t="str">
        <f>+VLOOKUP($L71,Data_Validation!$A:$D,1,0)</f>
        <v>1202</v>
      </c>
      <c r="U71" s="656" t="str">
        <f>+VLOOKUP($L71,Data_Validation!$A:$D,3,0)</f>
        <v>Bilan</v>
      </c>
      <c r="V71" s="656" t="str">
        <f>+VLOOKUP($L71,Data_Validation!$A:$D,4,0)</f>
        <v>Recevables Contrats en Transit</v>
      </c>
      <c r="W71" s="656" t="str">
        <f>+VLOOKUP($L71,Data_Validation!$A:$E,5,0)</f>
        <v>$</v>
      </c>
      <c r="X71" s="656">
        <f>+VLOOKUP($L71,Data_Validation!$A:$F,6,0)</f>
        <v>0</v>
      </c>
    </row>
    <row r="72" spans="1:24" ht="15" customHeight="1">
      <c r="A72" s="1332" t="s">
        <v>824</v>
      </c>
      <c r="B72" s="1332" t="s">
        <v>825</v>
      </c>
      <c r="C72" s="1334">
        <v>-8808.51</v>
      </c>
      <c r="D72" s="1334">
        <v>-79259.62</v>
      </c>
      <c r="E72" s="1334">
        <v>-88068.13</v>
      </c>
      <c r="F72" s="1332" t="s">
        <v>816</v>
      </c>
      <c r="G72" s="1332" t="s">
        <v>825</v>
      </c>
      <c r="H72" s="1332" t="s">
        <v>3942</v>
      </c>
      <c r="I72" s="1333"/>
      <c r="J72" s="1333"/>
      <c r="K72" s="1333"/>
      <c r="L72" s="653" t="str">
        <f t="shared" si="67"/>
        <v>1302</v>
      </c>
      <c r="M72" s="654" t="str">
        <f t="shared" si="0"/>
        <v>RECEVABLE-CLIENT-VEHICULE</v>
      </c>
      <c r="N72" s="655">
        <f>+IF(OR($Q72=Parametres!$G$2,$Q72=Parametres!$G$3),I72,C72)</f>
        <v>-8808.51</v>
      </c>
      <c r="O72" s="659">
        <f>+IF(OR($Q72=Parametres!$G$2,$Q72=Parametres!$G$3),J72,D72)</f>
        <v>-79259.62</v>
      </c>
      <c r="P72" s="655">
        <f>+IF(OR($Q72=Parametres!$G$2,$Q72=Parametres!$G$3),K72,E72)</f>
        <v>-88068.13</v>
      </c>
      <c r="Q72" s="654" t="str">
        <f t="shared" ref="Q72:S72" si="73">+F72</f>
        <v>2-Actifs</v>
      </c>
      <c r="R72" s="653" t="str">
        <f t="shared" si="73"/>
        <v>1302</v>
      </c>
      <c r="S72" s="654" t="str">
        <f t="shared" si="73"/>
        <v>_</v>
      </c>
      <c r="T72" s="656" t="str">
        <f>+VLOOKUP($L72,Data_Validation!$A:$D,1,0)</f>
        <v>1302</v>
      </c>
      <c r="U72" s="656" t="str">
        <f>+VLOOKUP($L72,Data_Validation!$A:$D,3,0)</f>
        <v>Bilan</v>
      </c>
      <c r="V72" s="656" t="str">
        <f>+VLOOKUP($L72,Data_Validation!$A:$D,4,0)</f>
        <v>Recevables Véhicules</v>
      </c>
      <c r="W72" s="656" t="str">
        <f>+VLOOKUP($L72,Data_Validation!$A:$E,5,0)</f>
        <v>$</v>
      </c>
      <c r="X72" s="656">
        <f>+VLOOKUP($L72,Data_Validation!$A:$F,6,0)</f>
        <v>0</v>
      </c>
    </row>
    <row r="73" spans="1:24" ht="15" customHeight="1">
      <c r="A73" s="1332" t="s">
        <v>826</v>
      </c>
      <c r="B73" s="1332" t="s">
        <v>1459</v>
      </c>
      <c r="C73" s="1334">
        <v>602516.30000000005</v>
      </c>
      <c r="D73" s="1334">
        <v>-81984.12</v>
      </c>
      <c r="E73" s="1334">
        <v>520532.18</v>
      </c>
      <c r="F73" s="1332" t="s">
        <v>816</v>
      </c>
      <c r="G73" s="1332" t="s">
        <v>825</v>
      </c>
      <c r="H73" s="1332" t="s">
        <v>3942</v>
      </c>
      <c r="I73" s="1333"/>
      <c r="J73" s="1333"/>
      <c r="K73" s="1333"/>
      <c r="L73" s="653" t="str">
        <f t="shared" si="67"/>
        <v>1303</v>
      </c>
      <c r="M73" s="654" t="str">
        <f t="shared" si="0"/>
        <v>RECEVABLES LPA ET AU GROS</v>
      </c>
      <c r="N73" s="655">
        <f>+IF(OR($Q73=Parametres!$G$2,$Q73=Parametres!$G$3),I73,C73)</f>
        <v>602516.30000000005</v>
      </c>
      <c r="O73" s="655">
        <f>+IF(OR($Q73=Parametres!$G$2,$Q73=Parametres!$G$3),J73,D73)</f>
        <v>-81984.12</v>
      </c>
      <c r="P73" s="655">
        <f>+IF(OR($Q73=Parametres!$G$2,$Q73=Parametres!$G$3),K73,E73)</f>
        <v>520532.18</v>
      </c>
      <c r="Q73" s="654" t="str">
        <f t="shared" ref="Q73:S73" si="74">+F73</f>
        <v>2-Actifs</v>
      </c>
      <c r="R73" s="653" t="str">
        <f t="shared" si="74"/>
        <v>1302</v>
      </c>
      <c r="S73" s="654" t="str">
        <f t="shared" si="74"/>
        <v>_</v>
      </c>
      <c r="T73" s="656" t="str">
        <f>+VLOOKUP($L73,Data_Validation!$A:$D,1,0)</f>
        <v>1303</v>
      </c>
      <c r="U73" s="656" t="str">
        <f>+VLOOKUP($L73,Data_Validation!$A:$D,3,0)</f>
        <v>Bilan</v>
      </c>
      <c r="V73" s="656" t="str">
        <f>+VLOOKUP($L73,Data_Validation!$A:$D,4,0)</f>
        <v>Recevables Véhicules</v>
      </c>
      <c r="W73" s="656" t="str">
        <f>+VLOOKUP($L73,Data_Validation!$A:$E,5,0)</f>
        <v>$</v>
      </c>
      <c r="X73" s="656">
        <f>+VLOOKUP($L73,Data_Validation!$A:$F,6,0)</f>
        <v>0</v>
      </c>
    </row>
    <row r="74" spans="1:24" ht="15" customHeight="1">
      <c r="A74" s="1332" t="s">
        <v>827</v>
      </c>
      <c r="B74" s="1332" t="s">
        <v>828</v>
      </c>
      <c r="C74" s="1334">
        <v>363314.04</v>
      </c>
      <c r="D74" s="1334">
        <v>1647.8</v>
      </c>
      <c r="E74" s="1334">
        <v>364961.84</v>
      </c>
      <c r="F74" s="1332" t="s">
        <v>816</v>
      </c>
      <c r="G74" s="1332" t="s">
        <v>828</v>
      </c>
      <c r="H74" s="1332" t="s">
        <v>3942</v>
      </c>
      <c r="I74" s="1333"/>
      <c r="J74" s="1333"/>
      <c r="K74" s="1333"/>
      <c r="L74" s="653" t="str">
        <f t="shared" si="67"/>
        <v>1304</v>
      </c>
      <c r="M74" s="654" t="str">
        <f t="shared" si="0"/>
        <v>RECEVABLES PIECES &amp; SERVICE</v>
      </c>
      <c r="N74" s="655">
        <f>+IF(OR($Q74=Parametres!$G$2,$Q74=Parametres!$G$3),I74,C74)</f>
        <v>363314.04</v>
      </c>
      <c r="O74" s="655">
        <f>+IF(OR($Q74=Parametres!$G$2,$Q74=Parametres!$G$3),J74,D74)</f>
        <v>1647.8</v>
      </c>
      <c r="P74" s="655">
        <f>+IF(OR($Q74=Parametres!$G$2,$Q74=Parametres!$G$3),K74,E74)</f>
        <v>364961.84</v>
      </c>
      <c r="Q74" s="654" t="str">
        <f t="shared" ref="Q74:S74" si="75">+F74</f>
        <v>2-Actifs</v>
      </c>
      <c r="R74" s="653" t="str">
        <f t="shared" si="75"/>
        <v>1304</v>
      </c>
      <c r="S74" s="654" t="str">
        <f t="shared" si="75"/>
        <v>_</v>
      </c>
      <c r="T74" s="656" t="str">
        <f>+VLOOKUP($L74,Data_Validation!$A:$D,1,0)</f>
        <v>1304</v>
      </c>
      <c r="U74" s="656" t="str">
        <f>+VLOOKUP($L74,Data_Validation!$A:$D,3,0)</f>
        <v>Bilan</v>
      </c>
      <c r="V74" s="656" t="str">
        <f>+VLOOKUP($L74,Data_Validation!$A:$D,4,0)</f>
        <v>Recevables Pièces et Service</v>
      </c>
      <c r="W74" s="656" t="str">
        <f>+VLOOKUP($L74,Data_Validation!$A:$E,5,0)</f>
        <v>$</v>
      </c>
      <c r="X74" s="656">
        <f>+VLOOKUP($L74,Data_Validation!$A:$F,6,0)</f>
        <v>0</v>
      </c>
    </row>
    <row r="75" spans="1:24" ht="15" customHeight="1">
      <c r="A75" s="1332" t="s">
        <v>829</v>
      </c>
      <c r="B75" s="1332" t="s">
        <v>1464</v>
      </c>
      <c r="C75" s="1334">
        <v>12584.64</v>
      </c>
      <c r="D75" s="1334">
        <v>-7345.6</v>
      </c>
      <c r="E75" s="1334">
        <v>5239.04</v>
      </c>
      <c r="F75" s="1332" t="s">
        <v>816</v>
      </c>
      <c r="G75" s="1332" t="s">
        <v>828</v>
      </c>
      <c r="H75" s="1332" t="s">
        <v>3942</v>
      </c>
      <c r="I75" s="1333"/>
      <c r="J75" s="1333"/>
      <c r="K75" s="1333"/>
      <c r="L75" s="653" t="str">
        <f t="shared" si="67"/>
        <v>1305</v>
      </c>
      <c r="M75" s="654" t="str">
        <f t="shared" si="0"/>
        <v>RECEVABLES CARROSSERIE</v>
      </c>
      <c r="N75" s="655">
        <f>+IF(OR($Q75=Parametres!$G$2,$Q75=Parametres!$G$3),I75,C75)</f>
        <v>12584.64</v>
      </c>
      <c r="O75" s="655">
        <f>+IF(OR($Q75=Parametres!$G$2,$Q75=Parametres!$G$3),J75,D75)</f>
        <v>-7345.6</v>
      </c>
      <c r="P75" s="655">
        <f>+IF(OR($Q75=Parametres!$G$2,$Q75=Parametres!$G$3),K75,E75)</f>
        <v>5239.04</v>
      </c>
      <c r="Q75" s="654" t="str">
        <f t="shared" ref="Q75:S75" si="76">+F75</f>
        <v>2-Actifs</v>
      </c>
      <c r="R75" s="653" t="str">
        <f t="shared" si="76"/>
        <v>1304</v>
      </c>
      <c r="S75" s="654" t="str">
        <f t="shared" si="76"/>
        <v>_</v>
      </c>
      <c r="T75" s="656" t="str">
        <f>+VLOOKUP($L75,Data_Validation!$A:$D,1,0)</f>
        <v>1305</v>
      </c>
      <c r="U75" s="656" t="str">
        <f>+VLOOKUP($L75,Data_Validation!$A:$D,3,0)</f>
        <v>Bilan</v>
      </c>
      <c r="V75" s="656" t="str">
        <f>+VLOOKUP($L75,Data_Validation!$A:$D,4,0)</f>
        <v>Recevables Carrosserie</v>
      </c>
      <c r="W75" s="656" t="str">
        <f>+VLOOKUP($L75,Data_Validation!$A:$E,5,0)</f>
        <v>$</v>
      </c>
      <c r="X75" s="656">
        <f>+VLOOKUP($L75,Data_Validation!$A:$F,6,0)</f>
        <v>0</v>
      </c>
    </row>
    <row r="76" spans="1:24" ht="15" customHeight="1">
      <c r="A76" s="1332" t="s">
        <v>832</v>
      </c>
      <c r="B76" s="1332" t="s">
        <v>1467</v>
      </c>
      <c r="C76" s="1334">
        <v>165004</v>
      </c>
      <c r="D76" s="1334">
        <v>51440</v>
      </c>
      <c r="E76" s="1334">
        <v>216444</v>
      </c>
      <c r="F76" s="1332" t="s">
        <v>816</v>
      </c>
      <c r="G76" s="1332" t="s">
        <v>833</v>
      </c>
      <c r="H76" s="1332" t="s">
        <v>3942</v>
      </c>
      <c r="I76" s="1333"/>
      <c r="J76" s="1333"/>
      <c r="K76" s="1333"/>
      <c r="L76" s="653" t="str">
        <f t="shared" si="67"/>
        <v>1312</v>
      </c>
      <c r="M76" s="654" t="str">
        <f t="shared" si="0"/>
        <v>RESEVE VOLKS</v>
      </c>
      <c r="N76" s="655">
        <f>+IF(OR($Q76=Parametres!$G$2,$Q76=Parametres!$G$3),I76,C76)</f>
        <v>165004</v>
      </c>
      <c r="O76" s="655">
        <f>+IF(OR($Q76=Parametres!$G$2,$Q76=Parametres!$G$3),J76,D76)</f>
        <v>51440</v>
      </c>
      <c r="P76" s="655">
        <f>+IF(OR($Q76=Parametres!$G$2,$Q76=Parametres!$G$3),K76,E76)</f>
        <v>216444</v>
      </c>
      <c r="Q76" s="654" t="str">
        <f t="shared" ref="Q76:S76" si="77">+F76</f>
        <v>2-Actifs</v>
      </c>
      <c r="R76" s="653" t="str">
        <f t="shared" si="77"/>
        <v>1314</v>
      </c>
      <c r="S76" s="654" t="str">
        <f t="shared" si="77"/>
        <v>_</v>
      </c>
      <c r="T76" s="656" t="str">
        <f>+VLOOKUP($L76,Data_Validation!$A:$D,1,0)</f>
        <v>1312</v>
      </c>
      <c r="U76" s="656" t="str">
        <f>+VLOOKUP($L76,Data_Validation!$A:$D,3,0)</f>
        <v>Bilan</v>
      </c>
      <c r="V76" s="656" t="str">
        <f>+VLOOKUP($L76,Data_Validation!$A:$D,4,0)</f>
        <v>Recevables Manufacturier</v>
      </c>
      <c r="W76" s="656" t="str">
        <f>+VLOOKUP($L76,Data_Validation!$A:$E,5,0)</f>
        <v>$</v>
      </c>
      <c r="X76" s="656">
        <f>+VLOOKUP($L76,Data_Validation!$A:$F,6,0)</f>
        <v>0</v>
      </c>
    </row>
    <row r="77" spans="1:24" ht="15" customHeight="1">
      <c r="A77" s="1332" t="s">
        <v>834</v>
      </c>
      <c r="B77" s="1332" t="s">
        <v>835</v>
      </c>
      <c r="C77" s="1334">
        <v>40792.01</v>
      </c>
      <c r="D77" s="1334">
        <v>62984.47</v>
      </c>
      <c r="E77" s="1334">
        <v>103776.48</v>
      </c>
      <c r="F77" s="1332" t="s">
        <v>816</v>
      </c>
      <c r="G77" s="1332" t="s">
        <v>835</v>
      </c>
      <c r="H77" s="1332" t="s">
        <v>3942</v>
      </c>
      <c r="I77" s="1333"/>
      <c r="J77" s="1333"/>
      <c r="K77" s="1333"/>
      <c r="L77" s="653" t="str">
        <f t="shared" si="67"/>
        <v>1332</v>
      </c>
      <c r="M77" s="654" t="str">
        <f t="shared" si="0"/>
        <v>RECLAM. RECEVABLE-GARANTIE</v>
      </c>
      <c r="N77" s="655">
        <f>+IF(OR($Q77=Parametres!$G$2,$Q77=Parametres!$G$3),I77,C77)</f>
        <v>40792.01</v>
      </c>
      <c r="O77" s="655">
        <f>+IF(OR($Q77=Parametres!$G$2,$Q77=Parametres!$G$3),J77,D77)</f>
        <v>62984.47</v>
      </c>
      <c r="P77" s="655">
        <f>+IF(OR($Q77=Parametres!$G$2,$Q77=Parametres!$G$3),K77,E77)</f>
        <v>103776.48</v>
      </c>
      <c r="Q77" s="654" t="str">
        <f t="shared" ref="Q77:S77" si="78">+F77</f>
        <v>2-Actifs</v>
      </c>
      <c r="R77" s="653" t="str">
        <f t="shared" si="78"/>
        <v>1332</v>
      </c>
      <c r="S77" s="654" t="str">
        <f t="shared" si="78"/>
        <v>_</v>
      </c>
      <c r="T77" s="656" t="str">
        <f>+VLOOKUP($L77,Data_Validation!$A:$D,1,0)</f>
        <v>1332</v>
      </c>
      <c r="U77" s="656" t="str">
        <f>+VLOOKUP($L77,Data_Validation!$A:$D,3,0)</f>
        <v>Bilan</v>
      </c>
      <c r="V77" s="656" t="str">
        <f>+VLOOKUP($L77,Data_Validation!$A:$D,4,0)</f>
        <v>Recevables Garantie Manufacturier</v>
      </c>
      <c r="W77" s="656" t="str">
        <f>+VLOOKUP($L77,Data_Validation!$A:$E,5,0)</f>
        <v>$</v>
      </c>
      <c r="X77" s="656">
        <f>+VLOOKUP($L77,Data_Validation!$A:$F,6,0)</f>
        <v>0</v>
      </c>
    </row>
    <row r="78" spans="1:24" ht="15" customHeight="1">
      <c r="A78" s="1332" t="s">
        <v>836</v>
      </c>
      <c r="B78" s="1332" t="s">
        <v>1472</v>
      </c>
      <c r="C78" s="1334">
        <v>3111.41</v>
      </c>
      <c r="D78" s="1334">
        <v>-11362.39</v>
      </c>
      <c r="E78" s="1334">
        <v>-8250.98</v>
      </c>
      <c r="F78" s="1332" t="s">
        <v>816</v>
      </c>
      <c r="G78" s="1332" t="s">
        <v>821</v>
      </c>
      <c r="H78" s="1332" t="s">
        <v>3942</v>
      </c>
      <c r="I78" s="1333"/>
      <c r="J78" s="1333"/>
      <c r="K78" s="1333"/>
      <c r="L78" s="653" t="str">
        <f t="shared" si="67"/>
        <v>1340</v>
      </c>
      <c r="M78" s="654" t="str">
        <f t="shared" si="0"/>
        <v>GARANTIE PPM</v>
      </c>
      <c r="N78" s="655">
        <f>+IF(OR($Q78=Parametres!$G$2,$Q78=Parametres!$G$3),I78,C78)</f>
        <v>3111.41</v>
      </c>
      <c r="O78" s="655">
        <f>+IF(OR($Q78=Parametres!$G$2,$Q78=Parametres!$G$3),J78,D78)</f>
        <v>-11362.39</v>
      </c>
      <c r="P78" s="655">
        <f>+IF(OR($Q78=Parametres!$G$2,$Q78=Parametres!$G$3),K78,E78)</f>
        <v>-8250.98</v>
      </c>
      <c r="Q78" s="654" t="str">
        <f t="shared" ref="Q78:S78" si="79">+F78</f>
        <v>2-Actifs</v>
      </c>
      <c r="R78" s="653" t="str">
        <f t="shared" si="79"/>
        <v>1382</v>
      </c>
      <c r="S78" s="654" t="str">
        <f t="shared" si="79"/>
        <v>_</v>
      </c>
      <c r="T78" s="656" t="str">
        <f>+VLOOKUP($L78,Data_Validation!$A:$D,1,0)</f>
        <v>1340</v>
      </c>
      <c r="U78" s="656" t="str">
        <f>+VLOOKUP($L78,Data_Validation!$A:$D,3,0)</f>
        <v>Bilan</v>
      </c>
      <c r="V78" s="656" t="str">
        <f>+VLOOKUP($L78,Data_Validation!$A:$D,4,0)</f>
        <v>recevables Autres</v>
      </c>
      <c r="W78" s="656" t="str">
        <f>+VLOOKUP($L78,Data_Validation!$A:$E,5,0)</f>
        <v>$</v>
      </c>
      <c r="X78" s="656">
        <f>+VLOOKUP($L78,Data_Validation!$A:$F,6,0)</f>
        <v>0</v>
      </c>
    </row>
    <row r="79" spans="1:24" ht="15" customHeight="1">
      <c r="A79" s="1332" t="s">
        <v>837</v>
      </c>
      <c r="B79" s="1332" t="s">
        <v>1475</v>
      </c>
      <c r="C79" s="1334">
        <v>16700</v>
      </c>
      <c r="D79" s="1334">
        <v>96000</v>
      </c>
      <c r="E79" s="1334">
        <v>112700</v>
      </c>
      <c r="F79" s="1332" t="s">
        <v>816</v>
      </c>
      <c r="G79" s="1332" t="s">
        <v>833</v>
      </c>
      <c r="H79" s="1332" t="s">
        <v>3942</v>
      </c>
      <c r="I79" s="1333"/>
      <c r="J79" s="1333"/>
      <c r="K79" s="1333"/>
      <c r="L79" s="653" t="str">
        <f t="shared" si="67"/>
        <v>1352</v>
      </c>
      <c r="M79" s="654" t="str">
        <f t="shared" si="0"/>
        <v>RECEV. MANUFACTURIER VOLKS</v>
      </c>
      <c r="N79" s="655">
        <f>+IF(OR($Q79=Parametres!$G$2,$Q79=Parametres!$G$3),I79,C79)</f>
        <v>16700</v>
      </c>
      <c r="O79" s="655">
        <f>+IF(OR($Q79=Parametres!$G$2,$Q79=Parametres!$G$3),J79,D79)</f>
        <v>96000</v>
      </c>
      <c r="P79" s="655">
        <f>+IF(OR($Q79=Parametres!$G$2,$Q79=Parametres!$G$3),K79,E79)</f>
        <v>112700</v>
      </c>
      <c r="Q79" s="654" t="str">
        <f t="shared" ref="Q79:S79" si="80">+F79</f>
        <v>2-Actifs</v>
      </c>
      <c r="R79" s="653" t="str">
        <f t="shared" si="80"/>
        <v>1314</v>
      </c>
      <c r="S79" s="654" t="str">
        <f t="shared" si="80"/>
        <v>_</v>
      </c>
      <c r="T79" s="656" t="str">
        <f>+VLOOKUP($L79,Data_Validation!$A:$D,1,0)</f>
        <v>1352</v>
      </c>
      <c r="U79" s="656" t="str">
        <f>+VLOOKUP($L79,Data_Validation!$A:$D,3,0)</f>
        <v>Bilan</v>
      </c>
      <c r="V79" s="656" t="str">
        <f>+VLOOKUP($L79,Data_Validation!$A:$D,4,0)</f>
        <v>Recevables Manufacturier</v>
      </c>
      <c r="W79" s="656" t="str">
        <f>+VLOOKUP($L79,Data_Validation!$A:$E,5,0)</f>
        <v>$</v>
      </c>
      <c r="X79" s="656">
        <f>+VLOOKUP($L79,Data_Validation!$A:$F,6,0)</f>
        <v>0</v>
      </c>
    </row>
    <row r="80" spans="1:24" ht="15.75" customHeight="1">
      <c r="A80" s="1332" t="s">
        <v>1347</v>
      </c>
      <c r="B80" s="1332" t="s">
        <v>1429</v>
      </c>
      <c r="C80" s="1334">
        <v>1098.1099999999999</v>
      </c>
      <c r="D80" s="1334">
        <v>0</v>
      </c>
      <c r="E80" s="1334">
        <v>1098.1099999999999</v>
      </c>
      <c r="F80" s="1332" t="s">
        <v>816</v>
      </c>
      <c r="G80" s="1332" t="s">
        <v>1429</v>
      </c>
      <c r="H80" s="1332" t="s">
        <v>3942</v>
      </c>
      <c r="I80" s="1333"/>
      <c r="J80" s="1333"/>
      <c r="K80" s="1333"/>
      <c r="L80" s="653" t="str">
        <f t="shared" si="67"/>
        <v>1372</v>
      </c>
      <c r="M80" s="654" t="str">
        <f t="shared" si="0"/>
        <v>TAXES DE VENTES A RECEVOIR</v>
      </c>
      <c r="N80" s="655">
        <f>+IF(OR($Q80=Parametres!$G$2,$Q80=Parametres!$G$3),I80,C80)</f>
        <v>1098.1099999999999</v>
      </c>
      <c r="O80" s="655">
        <f>+IF(OR($Q80=Parametres!$G$2,$Q80=Parametres!$G$3),J80,D80)</f>
        <v>0</v>
      </c>
      <c r="P80" s="655">
        <f>+IF(OR($Q80=Parametres!$G$2,$Q80=Parametres!$G$3),K80,E80)</f>
        <v>1098.1099999999999</v>
      </c>
      <c r="Q80" s="654" t="str">
        <f t="shared" ref="Q80:S80" si="81">+F80</f>
        <v>2-Actifs</v>
      </c>
      <c r="R80" s="653" t="str">
        <f t="shared" si="81"/>
        <v>1372</v>
      </c>
      <c r="S80" s="654" t="str">
        <f t="shared" si="81"/>
        <v>_</v>
      </c>
      <c r="T80" s="656" t="str">
        <f>+VLOOKUP($L80,Data_Validation!$A:$D,1,0)</f>
        <v>1372</v>
      </c>
      <c r="U80" s="656" t="str">
        <f>+VLOOKUP($L80,Data_Validation!$A:$D,3,0)</f>
        <v>Bilan</v>
      </c>
      <c r="V80" s="656" t="str">
        <f>+VLOOKUP($L80,Data_Validation!$A:$D,4,0)</f>
        <v>Taxes de Vente à Payer</v>
      </c>
      <c r="W80" s="656" t="str">
        <f>+VLOOKUP($L80,Data_Validation!$A:$E,5,0)</f>
        <v>$</v>
      </c>
      <c r="X80" s="656">
        <f>+VLOOKUP($L80,Data_Validation!$A:$F,6,0)</f>
        <v>0</v>
      </c>
    </row>
    <row r="81" spans="1:24" ht="15" customHeight="1">
      <c r="A81" s="1332" t="s">
        <v>840</v>
      </c>
      <c r="B81" s="1332" t="s">
        <v>841</v>
      </c>
      <c r="C81" s="1334">
        <v>8058179.5099999998</v>
      </c>
      <c r="D81" s="1334">
        <v>77309.89</v>
      </c>
      <c r="E81" s="1334">
        <v>8135489.4000000004</v>
      </c>
      <c r="F81" s="1332" t="s">
        <v>816</v>
      </c>
      <c r="G81" s="1332" t="s">
        <v>841</v>
      </c>
      <c r="H81" s="1332" t="s">
        <v>3942</v>
      </c>
      <c r="I81" s="1279"/>
      <c r="J81" s="1279"/>
      <c r="K81" s="1279"/>
      <c r="L81" s="653" t="str">
        <f t="shared" si="67"/>
        <v>1402</v>
      </c>
      <c r="M81" s="654" t="str">
        <f t="shared" si="0"/>
        <v>VEHIC. NEUFS VOLKS</v>
      </c>
      <c r="N81" s="655">
        <f>+IF(OR($Q81=Parametres!$G$2,$Q81=Parametres!$G$3),I81,C81)</f>
        <v>8058179.5099999998</v>
      </c>
      <c r="O81" s="655">
        <f>+IF(OR($Q81=Parametres!$G$2,$Q81=Parametres!$G$3),J81,D81)</f>
        <v>77309.89</v>
      </c>
      <c r="P81" s="655">
        <f>+IF(OR($Q81=Parametres!$G$2,$Q81=Parametres!$G$3),K81,E81)</f>
        <v>8135489.4000000004</v>
      </c>
      <c r="Q81" s="654" t="str">
        <f t="shared" ref="Q81:S81" si="82">+F81</f>
        <v>2-Actifs</v>
      </c>
      <c r="R81" s="653" t="str">
        <f t="shared" si="82"/>
        <v>1402</v>
      </c>
      <c r="S81" s="654" t="str">
        <f t="shared" si="82"/>
        <v>_</v>
      </c>
      <c r="T81" s="656" t="str">
        <f>+VLOOKUP($L81,Data_Validation!$A:$D,1,0)</f>
        <v>1402</v>
      </c>
      <c r="U81" s="656" t="str">
        <f>+VLOOKUP($L81,Data_Validation!$A:$D,3,0)</f>
        <v>Bilan</v>
      </c>
      <c r="V81" s="656" t="str">
        <f>+VLOOKUP($L81,Data_Validation!$A:$D,4,0)</f>
        <v>Inventaire Véhicules Neufs</v>
      </c>
      <c r="W81" s="656" t="str">
        <f>+VLOOKUP($L81,Data_Validation!$A:$E,5,0)</f>
        <v>$</v>
      </c>
      <c r="X81" s="656">
        <f>+VLOOKUP($L81,Data_Validation!$A:$F,6,0)</f>
        <v>0</v>
      </c>
    </row>
    <row r="82" spans="1:24" ht="15" customHeight="1">
      <c r="A82" s="1332" t="s">
        <v>844</v>
      </c>
      <c r="B82" s="1332" t="s">
        <v>1487</v>
      </c>
      <c r="C82" s="1334">
        <v>-4950</v>
      </c>
      <c r="D82" s="1334">
        <v>-3597.47</v>
      </c>
      <c r="E82" s="1334">
        <v>-8547.4699999999993</v>
      </c>
      <c r="F82" s="1332" t="s">
        <v>816</v>
      </c>
      <c r="G82" s="1332" t="s">
        <v>841</v>
      </c>
      <c r="H82" s="1332" t="s">
        <v>3942</v>
      </c>
      <c r="I82" s="1279"/>
      <c r="J82" s="1279"/>
      <c r="K82" s="1279"/>
      <c r="L82" s="653" t="str">
        <f t="shared" si="67"/>
        <v>1403</v>
      </c>
      <c r="M82" s="654" t="str">
        <f t="shared" si="0"/>
        <v>BRUISING VOLKS VEH. NEUFS</v>
      </c>
      <c r="N82" s="655">
        <f>+IF(OR($Q82=Parametres!$G$2,$Q82=Parametres!$G$3),I82,C82)</f>
        <v>-4950</v>
      </c>
      <c r="O82" s="655">
        <f>+IF(OR($Q82=Parametres!$G$2,$Q82=Parametres!$G$3),J82,D82)</f>
        <v>-3597.47</v>
      </c>
      <c r="P82" s="655">
        <f>+IF(OR($Q82=Parametres!$G$2,$Q82=Parametres!$G$3),K82,E82)</f>
        <v>-8547.4699999999993</v>
      </c>
      <c r="Q82" s="654" t="str">
        <f t="shared" ref="Q82:S82" si="83">+F82</f>
        <v>2-Actifs</v>
      </c>
      <c r="R82" s="653" t="str">
        <f t="shared" si="83"/>
        <v>1402</v>
      </c>
      <c r="S82" s="654" t="str">
        <f t="shared" si="83"/>
        <v>_</v>
      </c>
      <c r="T82" s="656" t="str">
        <f>+VLOOKUP($L82,Data_Validation!$A:$D,1,0)</f>
        <v>1403</v>
      </c>
      <c r="U82" s="656" t="str">
        <f>+VLOOKUP($L82,Data_Validation!$A:$D,3,0)</f>
        <v>Bilan</v>
      </c>
      <c r="V82" s="656" t="str">
        <f>+VLOOKUP($L82,Data_Validation!$A:$D,4,0)</f>
        <v>Inventaire Véhicules Neufs</v>
      </c>
      <c r="W82" s="656" t="str">
        <f>+VLOOKUP($L82,Data_Validation!$A:$E,5,0)</f>
        <v>$</v>
      </c>
      <c r="X82" s="656">
        <f>+VLOOKUP($L82,Data_Validation!$A:$F,6,0)</f>
        <v>0</v>
      </c>
    </row>
    <row r="83" spans="1:24" ht="15" customHeight="1">
      <c r="A83" s="1332" t="s">
        <v>845</v>
      </c>
      <c r="B83" s="1332" t="s">
        <v>846</v>
      </c>
      <c r="C83" s="1334">
        <v>-5300</v>
      </c>
      <c r="D83" s="1334">
        <v>-604.16</v>
      </c>
      <c r="E83" s="1334">
        <v>-5904.16</v>
      </c>
      <c r="F83" s="1332" t="s">
        <v>816</v>
      </c>
      <c r="G83" s="1332" t="s">
        <v>846</v>
      </c>
      <c r="H83" s="1332" t="s">
        <v>3942</v>
      </c>
      <c r="I83" s="1279"/>
      <c r="J83" s="1279"/>
      <c r="K83" s="1279"/>
      <c r="L83" s="653" t="str">
        <f t="shared" si="67"/>
        <v>1413</v>
      </c>
      <c r="M83" s="654" t="str">
        <f t="shared" si="0"/>
        <v>BRUISING USED CAR</v>
      </c>
      <c r="N83" s="655">
        <f>+IF(OR($Q83=Parametres!$G$2,$Q83=Parametres!$G$3),I83,C83)</f>
        <v>-5300</v>
      </c>
      <c r="O83" s="655">
        <f>+IF(OR($Q83=Parametres!$G$2,$Q83=Parametres!$G$3),J83,D83)</f>
        <v>-604.16</v>
      </c>
      <c r="P83" s="655">
        <f>+IF(OR($Q83=Parametres!$G$2,$Q83=Parametres!$G$3),K83,E83)</f>
        <v>-5904.16</v>
      </c>
      <c r="Q83" s="654" t="str">
        <f t="shared" ref="Q83:S83" si="84">+F83</f>
        <v>2-Actifs</v>
      </c>
      <c r="R83" s="653" t="str">
        <f t="shared" si="84"/>
        <v>1413</v>
      </c>
      <c r="S83" s="654" t="str">
        <f t="shared" si="84"/>
        <v>_</v>
      </c>
      <c r="T83" s="656" t="str">
        <f>+VLOOKUP($L83,Data_Validation!$A:$D,1,0)</f>
        <v>1413</v>
      </c>
      <c r="U83" s="656" t="str">
        <f>+VLOOKUP($L83,Data_Validation!$A:$D,3,0)</f>
        <v>Bilan</v>
      </c>
      <c r="V83" s="656" t="str">
        <f>+VLOOKUP($L83,Data_Validation!$A:$D,4,0)</f>
        <v>Inventaire Véhicules Usagés</v>
      </c>
      <c r="W83" s="656" t="str">
        <f>+VLOOKUP($L83,Data_Validation!$A:$E,5,0)</f>
        <v>$</v>
      </c>
      <c r="X83" s="656">
        <f>+VLOOKUP($L83,Data_Validation!$A:$F,6,0)</f>
        <v>0</v>
      </c>
    </row>
    <row r="84" spans="1:24" ht="15.75" customHeight="1">
      <c r="A84" s="1332" t="s">
        <v>847</v>
      </c>
      <c r="B84" s="1332" t="s">
        <v>848</v>
      </c>
      <c r="C84" s="1334">
        <v>1063748.73</v>
      </c>
      <c r="D84" s="1334">
        <v>17794.580000000002</v>
      </c>
      <c r="E84" s="1334">
        <v>1081543.31</v>
      </c>
      <c r="F84" s="1332" t="s">
        <v>816</v>
      </c>
      <c r="G84" s="1332" t="s">
        <v>848</v>
      </c>
      <c r="H84" s="1332" t="s">
        <v>3942</v>
      </c>
      <c r="I84" s="1279"/>
      <c r="J84" s="1279"/>
      <c r="K84" s="1279"/>
      <c r="L84" s="653" t="str">
        <f t="shared" si="67"/>
        <v>1416</v>
      </c>
      <c r="M84" s="654" t="str">
        <f t="shared" si="0"/>
        <v>INV. VEH. USAGE VW</v>
      </c>
      <c r="N84" s="655">
        <f>+IF(OR($Q84=Parametres!$G$2,$Q84=Parametres!$G$3),I84,C84)</f>
        <v>1063748.73</v>
      </c>
      <c r="O84" s="655">
        <f>+IF(OR($Q84=Parametres!$G$2,$Q84=Parametres!$G$3),J84,D84)</f>
        <v>17794.580000000002</v>
      </c>
      <c r="P84" s="661">
        <f>+IF(OR($Q84=Parametres!$G$2,$Q84=Parametres!$G$3),K84,E84)</f>
        <v>1081543.31</v>
      </c>
      <c r="Q84" s="654" t="str">
        <f t="shared" ref="Q84:S84" si="85">+F84</f>
        <v>2-Actifs</v>
      </c>
      <c r="R84" s="653" t="str">
        <f t="shared" si="85"/>
        <v>1416</v>
      </c>
      <c r="S84" s="654" t="str">
        <f t="shared" si="85"/>
        <v>_</v>
      </c>
      <c r="T84" s="656" t="str">
        <f>+VLOOKUP($L84,Data_Validation!$A:$D,1,0)</f>
        <v>1416</v>
      </c>
      <c r="U84" s="656" t="str">
        <f>+VLOOKUP($L84,Data_Validation!$A:$D,3,0)</f>
        <v>Bilan</v>
      </c>
      <c r="V84" s="656" t="str">
        <f>+VLOOKUP($L84,Data_Validation!$A:$D,4,0)</f>
        <v>Inventaire Véhicules Usagés</v>
      </c>
      <c r="W84" s="656" t="str">
        <f>+VLOOKUP($L84,Data_Validation!$A:$E,5,0)</f>
        <v>$</v>
      </c>
      <c r="X84" s="656">
        <f>+VLOOKUP($L84,Data_Validation!$A:$F,6,0)</f>
        <v>0</v>
      </c>
    </row>
    <row r="85" spans="1:24" ht="15" customHeight="1">
      <c r="A85" s="1332" t="s">
        <v>851</v>
      </c>
      <c r="B85" s="1332" t="s">
        <v>852</v>
      </c>
      <c r="C85" s="1334">
        <v>6969.58</v>
      </c>
      <c r="D85" s="1334">
        <v>5502.06</v>
      </c>
      <c r="E85" s="1334">
        <v>12471.64</v>
      </c>
      <c r="F85" s="1332" t="s">
        <v>816</v>
      </c>
      <c r="G85" s="1332" t="s">
        <v>852</v>
      </c>
      <c r="H85" s="1332" t="s">
        <v>3942</v>
      </c>
      <c r="I85" s="1279"/>
      <c r="J85" s="1279"/>
      <c r="K85" s="1279"/>
      <c r="L85" s="653" t="str">
        <f t="shared" si="67"/>
        <v>1423</v>
      </c>
      <c r="M85" s="654" t="str">
        <f t="shared" si="0"/>
        <v>RESERVE DEMO</v>
      </c>
      <c r="N85" s="655">
        <f>+IF(OR($Q85=Parametres!$G$2,$Q85=Parametres!$G$3),I85,C85)</f>
        <v>6969.58</v>
      </c>
      <c r="O85" s="655">
        <f>+IF(OR($Q85=Parametres!$G$2,$Q85=Parametres!$G$3),J85,D85)</f>
        <v>5502.06</v>
      </c>
      <c r="P85" s="661">
        <f>+IF(OR($Q85=Parametres!$G$2,$Q85=Parametres!$G$3),K85,E85)</f>
        <v>12471.64</v>
      </c>
      <c r="Q85" s="654" t="str">
        <f t="shared" ref="Q85:S85" si="86">+F85</f>
        <v>2-Actifs</v>
      </c>
      <c r="R85" s="653" t="str">
        <f t="shared" si="86"/>
        <v>1423</v>
      </c>
      <c r="S85" s="654" t="str">
        <f t="shared" si="86"/>
        <v>_</v>
      </c>
      <c r="T85" s="656" t="str">
        <f>+VLOOKUP($L85,Data_Validation!$A:$D,1,0)</f>
        <v>1423</v>
      </c>
      <c r="U85" s="656" t="str">
        <f>+VLOOKUP($L85,Data_Validation!$A:$D,3,0)</f>
        <v>Bilan</v>
      </c>
      <c r="V85" s="656" t="str">
        <f>+VLOOKUP($L85,Data_Validation!$A:$D,4,0)</f>
        <v>Inventaire Véhicules Neufs</v>
      </c>
      <c r="W85" s="656" t="str">
        <f>+VLOOKUP($L85,Data_Validation!$A:$E,5,0)</f>
        <v>$</v>
      </c>
      <c r="X85" s="656">
        <f>+VLOOKUP($L85,Data_Validation!$A:$F,6,0)</f>
        <v>0</v>
      </c>
    </row>
    <row r="86" spans="1:24" ht="15" customHeight="1">
      <c r="A86" s="1332" t="s">
        <v>853</v>
      </c>
      <c r="B86" s="1332" t="s">
        <v>3365</v>
      </c>
      <c r="C86" s="1334">
        <v>-3347.56</v>
      </c>
      <c r="D86" s="1334">
        <v>0</v>
      </c>
      <c r="E86" s="1334">
        <v>-3347.56</v>
      </c>
      <c r="F86" s="1332" t="s">
        <v>816</v>
      </c>
      <c r="G86" s="1332" t="s">
        <v>854</v>
      </c>
      <c r="H86" s="1332" t="s">
        <v>3942</v>
      </c>
      <c r="I86" s="1279"/>
      <c r="J86" s="1279"/>
      <c r="K86" s="1279"/>
      <c r="L86" s="653" t="str">
        <f t="shared" si="67"/>
        <v>1433</v>
      </c>
      <c r="M86" s="654" t="str">
        <f t="shared" si="0"/>
        <v>RESERVE COURTOISIE</v>
      </c>
      <c r="N86" s="655">
        <f>+IF(OR($Q86=Parametres!$G$2,$Q86=Parametres!$G$3),I86,C86)</f>
        <v>-3347.56</v>
      </c>
      <c r="O86" s="655">
        <f>+IF(OR($Q86=Parametres!$G$2,$Q86=Parametres!$G$3),J86,D86)</f>
        <v>0</v>
      </c>
      <c r="P86" s="661">
        <f>+IF(OR($Q86=Parametres!$G$2,$Q86=Parametres!$G$3),K86,E86)</f>
        <v>-3347.56</v>
      </c>
      <c r="Q86" s="654" t="str">
        <f t="shared" ref="Q86:S86" si="87">+F86</f>
        <v>2-Actifs</v>
      </c>
      <c r="R86" s="653" t="str">
        <f t="shared" si="87"/>
        <v>143</v>
      </c>
      <c r="S86" s="654" t="str">
        <f t="shared" si="87"/>
        <v>_</v>
      </c>
      <c r="T86" s="656" t="str">
        <f>+VLOOKUP($L86,Data_Validation!$A:$D,1,0)</f>
        <v>1433</v>
      </c>
      <c r="U86" s="656" t="str">
        <f>+VLOOKUP($L86,Data_Validation!$A:$D,3,0)</f>
        <v>Bilan</v>
      </c>
      <c r="V86" s="656" t="str">
        <f>+VLOOKUP($L86,Data_Validation!$A:$D,4,0)</f>
        <v>Inventaire Véhicules Neufs</v>
      </c>
      <c r="W86" s="656" t="str">
        <f>+VLOOKUP($L86,Data_Validation!$A:$E,5,0)</f>
        <v>$</v>
      </c>
      <c r="X86" s="656">
        <f>+VLOOKUP($L86,Data_Validation!$A:$F,6,0)</f>
        <v>0</v>
      </c>
    </row>
    <row r="87" spans="1:24" ht="15" customHeight="1">
      <c r="A87" s="1332" t="s">
        <v>855</v>
      </c>
      <c r="B87" s="1332" t="s">
        <v>856</v>
      </c>
      <c r="C87" s="1334">
        <v>439274.78</v>
      </c>
      <c r="D87" s="1334">
        <v>-45885.95</v>
      </c>
      <c r="E87" s="1334">
        <v>393388.83</v>
      </c>
      <c r="F87" s="1332" t="s">
        <v>816</v>
      </c>
      <c r="G87" s="1332" t="s">
        <v>856</v>
      </c>
      <c r="H87" s="1332" t="s">
        <v>3942</v>
      </c>
      <c r="I87" s="1279"/>
      <c r="J87" s="1279"/>
      <c r="K87" s="1279"/>
      <c r="L87" s="653" t="str">
        <f t="shared" si="67"/>
        <v>1442</v>
      </c>
      <c r="M87" s="654" t="str">
        <f t="shared" si="0"/>
        <v>PIECES &amp; ACCESSOIRES NEUFS</v>
      </c>
      <c r="N87" s="655">
        <f>+IF(OR($Q87=Parametres!$G$2,$Q87=Parametres!$G$3),I87,C87)</f>
        <v>439274.78</v>
      </c>
      <c r="O87" s="655">
        <f>+IF(OR($Q87=Parametres!$G$2,$Q87=Parametres!$G$3),J87,D87)</f>
        <v>-45885.95</v>
      </c>
      <c r="P87" s="661">
        <f>+IF(OR($Q87=Parametres!$G$2,$Q87=Parametres!$G$3),K87,E87)</f>
        <v>393388.83</v>
      </c>
      <c r="Q87" s="654" t="str">
        <f t="shared" ref="Q87:S87" si="88">+F87</f>
        <v>2-Actifs</v>
      </c>
      <c r="R87" s="653" t="str">
        <f t="shared" si="88"/>
        <v>1442</v>
      </c>
      <c r="S87" s="654" t="str">
        <f t="shared" si="88"/>
        <v>_</v>
      </c>
      <c r="T87" s="656" t="str">
        <f>+VLOOKUP($L87,Data_Validation!$A:$D,1,0)</f>
        <v>1442</v>
      </c>
      <c r="U87" s="656" t="str">
        <f>+VLOOKUP($L87,Data_Validation!$A:$D,3,0)</f>
        <v>Bilan</v>
      </c>
      <c r="V87" s="656" t="str">
        <f>+VLOOKUP($L87,Data_Validation!$A:$D,4,0)</f>
        <v>Inventaire Pièces, Pneus, Huile</v>
      </c>
      <c r="W87" s="656" t="str">
        <f>+VLOOKUP($L87,Data_Validation!$A:$E,5,0)</f>
        <v>$</v>
      </c>
      <c r="X87" s="656">
        <f>+VLOOKUP($L87,Data_Validation!$A:$F,6,0)</f>
        <v>0</v>
      </c>
    </row>
    <row r="88" spans="1:24" ht="15" customHeight="1">
      <c r="A88" s="1332" t="s">
        <v>857</v>
      </c>
      <c r="B88" s="1332" t="s">
        <v>3366</v>
      </c>
      <c r="C88" s="1334">
        <v>7459.53</v>
      </c>
      <c r="D88" s="1334">
        <v>-1248.96</v>
      </c>
      <c r="E88" s="1334">
        <v>6210.57</v>
      </c>
      <c r="F88" s="1332" t="s">
        <v>816</v>
      </c>
      <c r="G88" s="1332" t="s">
        <v>856</v>
      </c>
      <c r="H88" s="1332" t="s">
        <v>3942</v>
      </c>
      <c r="I88" s="1279"/>
      <c r="J88" s="1279"/>
      <c r="K88" s="1279"/>
      <c r="L88" s="653" t="str">
        <f t="shared" si="67"/>
        <v>1448</v>
      </c>
      <c r="M88" s="654" t="str">
        <f t="shared" si="0"/>
        <v>AUTRES MARQUES P&amp;A</v>
      </c>
      <c r="N88" s="655">
        <f>+IF(OR($Q88=Parametres!$G$2,$Q88=Parametres!$G$3),I88,C88)</f>
        <v>7459.53</v>
      </c>
      <c r="O88" s="655">
        <f>+IF(OR($Q88=Parametres!$G$2,$Q88=Parametres!$G$3),J88,D88)</f>
        <v>-1248.96</v>
      </c>
      <c r="P88" s="655">
        <f>+IF(OR($Q88=Parametres!$G$2,$Q88=Parametres!$G$3),K88,E88)</f>
        <v>6210.57</v>
      </c>
      <c r="Q88" s="654" t="str">
        <f t="shared" ref="Q88:S88" si="89">+F88</f>
        <v>2-Actifs</v>
      </c>
      <c r="R88" s="653" t="str">
        <f t="shared" si="89"/>
        <v>1442</v>
      </c>
      <c r="S88" s="654" t="str">
        <f t="shared" si="89"/>
        <v>_</v>
      </c>
      <c r="T88" s="656" t="str">
        <f>+VLOOKUP($L88,Data_Validation!$A:$D,1,0)</f>
        <v>1448</v>
      </c>
      <c r="U88" s="656" t="str">
        <f>+VLOOKUP($L88,Data_Validation!$A:$D,3,0)</f>
        <v>Bilan</v>
      </c>
      <c r="V88" s="656" t="str">
        <f>+VLOOKUP($L88,Data_Validation!$A:$D,4,0)</f>
        <v>Inventaire Pièces, Pneus, Huile</v>
      </c>
      <c r="W88" s="656" t="str">
        <f>+VLOOKUP($L88,Data_Validation!$A:$E,5,0)</f>
        <v>$</v>
      </c>
      <c r="X88" s="656">
        <f>+VLOOKUP($L88,Data_Validation!$A:$F,6,0)</f>
        <v>0</v>
      </c>
    </row>
    <row r="89" spans="1:24" ht="15" customHeight="1">
      <c r="A89" s="1332" t="s">
        <v>858</v>
      </c>
      <c r="B89" s="1332" t="s">
        <v>1498</v>
      </c>
      <c r="C89" s="1334">
        <v>37868.47</v>
      </c>
      <c r="D89" s="1334">
        <v>-642.5</v>
      </c>
      <c r="E89" s="1334">
        <v>37225.97</v>
      </c>
      <c r="F89" s="1332" t="s">
        <v>816</v>
      </c>
      <c r="G89" s="1332" t="s">
        <v>856</v>
      </c>
      <c r="H89" s="1332" t="s">
        <v>3942</v>
      </c>
      <c r="I89" s="1279"/>
      <c r="J89" s="1279"/>
      <c r="K89" s="1279"/>
      <c r="L89" s="653" t="str">
        <f t="shared" si="67"/>
        <v>1452</v>
      </c>
      <c r="M89" s="654" t="str">
        <f t="shared" si="0"/>
        <v>PNEUS</v>
      </c>
      <c r="N89" s="655">
        <f>+IF(OR($Q89=Parametres!$G$2,$Q89=Parametres!$G$3),I89,C89)</f>
        <v>37868.47</v>
      </c>
      <c r="O89" s="659">
        <f>+IF(OR($Q89=Parametres!$G$2,$Q89=Parametres!$G$3),J89,D89)</f>
        <v>-642.5</v>
      </c>
      <c r="P89" s="655">
        <f>+IF(OR($Q89=Parametres!$G$2,$Q89=Parametres!$G$3),K89,E89)</f>
        <v>37225.97</v>
      </c>
      <c r="Q89" s="654" t="str">
        <f t="shared" ref="Q89:S89" si="90">+F89</f>
        <v>2-Actifs</v>
      </c>
      <c r="R89" s="653" t="str">
        <f t="shared" si="90"/>
        <v>1442</v>
      </c>
      <c r="S89" s="654" t="str">
        <f t="shared" si="90"/>
        <v>_</v>
      </c>
      <c r="T89" s="656" t="str">
        <f>+VLOOKUP($L89,Data_Validation!$A:$D,1,0)</f>
        <v>1452</v>
      </c>
      <c r="U89" s="656" t="str">
        <f>+VLOOKUP($L89,Data_Validation!$A:$D,3,0)</f>
        <v>Bilan</v>
      </c>
      <c r="V89" s="656" t="str">
        <f>+VLOOKUP($L89,Data_Validation!$A:$D,4,0)</f>
        <v>Inventaire Pièces, Pneus, Huile</v>
      </c>
      <c r="W89" s="656" t="str">
        <f>+VLOOKUP($L89,Data_Validation!$A:$E,5,0)</f>
        <v>$</v>
      </c>
      <c r="X89" s="656">
        <f>+VLOOKUP($L89,Data_Validation!$A:$F,6,0)</f>
        <v>0</v>
      </c>
    </row>
    <row r="90" spans="1:24" ht="15" customHeight="1">
      <c r="A90" s="1332" t="s">
        <v>861</v>
      </c>
      <c r="B90" s="1332" t="s">
        <v>862</v>
      </c>
      <c r="C90" s="1334">
        <v>17617.72</v>
      </c>
      <c r="D90" s="1334">
        <v>-1111.7</v>
      </c>
      <c r="E90" s="1334">
        <v>16506.02</v>
      </c>
      <c r="F90" s="1332" t="s">
        <v>816</v>
      </c>
      <c r="G90" s="1332" t="s">
        <v>862</v>
      </c>
      <c r="H90" s="1332" t="s">
        <v>3942</v>
      </c>
      <c r="I90" s="1279"/>
      <c r="J90" s="1279"/>
      <c r="K90" s="1279"/>
      <c r="L90" s="653" t="str">
        <f t="shared" si="67"/>
        <v>1472</v>
      </c>
      <c r="M90" s="654" t="str">
        <f t="shared" si="0"/>
        <v>WIP M-O VW</v>
      </c>
      <c r="N90" s="655">
        <f>+IF(OR($Q90=Parametres!$G$2,$Q90=Parametres!$G$3),I90,C90)</f>
        <v>17617.72</v>
      </c>
      <c r="O90" s="655">
        <f>+IF(OR($Q90=Parametres!$G$2,$Q90=Parametres!$G$3),J90,D90)</f>
        <v>-1111.7</v>
      </c>
      <c r="P90" s="662">
        <f>+IF(OR($Q90=Parametres!$G$2,$Q90=Parametres!$G$3),K90,E90)</f>
        <v>16506.02</v>
      </c>
      <c r="Q90" s="654" t="str">
        <f t="shared" ref="Q90:S90" si="91">+F90</f>
        <v>2-Actifs</v>
      </c>
      <c r="R90" s="653" t="str">
        <f t="shared" si="91"/>
        <v>1472</v>
      </c>
      <c r="S90" s="654" t="str">
        <f t="shared" si="91"/>
        <v>_</v>
      </c>
      <c r="T90" s="656" t="str">
        <f>+VLOOKUP($L90,Data_Validation!$A:$D,1,0)</f>
        <v>1472</v>
      </c>
      <c r="U90" s="656" t="str">
        <f>+VLOOKUP($L90,Data_Validation!$A:$D,3,0)</f>
        <v>Bilan</v>
      </c>
      <c r="V90" s="656" t="str">
        <f>+VLOOKUP($L90,Data_Validation!$A:$D,4,0)</f>
        <v>Travaux en Cours</v>
      </c>
      <c r="W90" s="656" t="str">
        <f>+VLOOKUP($L90,Data_Validation!$A:$E,5,0)</f>
        <v>$</v>
      </c>
      <c r="X90" s="656">
        <f>+VLOOKUP($L90,Data_Validation!$A:$F,6,0)</f>
        <v>0</v>
      </c>
    </row>
    <row r="91" spans="1:24" ht="15" customHeight="1">
      <c r="A91" s="1332" t="s">
        <v>863</v>
      </c>
      <c r="B91" s="1332" t="s">
        <v>1505</v>
      </c>
      <c r="C91" s="1334">
        <v>5528.97</v>
      </c>
      <c r="D91" s="1334">
        <v>268.29000000000002</v>
      </c>
      <c r="E91" s="1334">
        <v>5797.26</v>
      </c>
      <c r="F91" s="1332" t="s">
        <v>816</v>
      </c>
      <c r="G91" s="1332" t="s">
        <v>862</v>
      </c>
      <c r="H91" s="1332" t="s">
        <v>3942</v>
      </c>
      <c r="I91" s="1279"/>
      <c r="J91" s="1279"/>
      <c r="K91" s="1279"/>
      <c r="L91" s="653" t="str">
        <f t="shared" si="67"/>
        <v>1474</v>
      </c>
      <c r="M91" s="654" t="str">
        <f t="shared" si="0"/>
        <v>INVENTAIRE SOUS-TRAITANTS</v>
      </c>
      <c r="N91" s="655">
        <f>+IF(OR($Q91=Parametres!$G$2,$Q91=Parametres!$G$3),I91,C91)</f>
        <v>5528.97</v>
      </c>
      <c r="O91" s="655">
        <f>+IF(OR($Q91=Parametres!$G$2,$Q91=Parametres!$G$3),J91,D91)</f>
        <v>268.29000000000002</v>
      </c>
      <c r="P91" s="662">
        <f>+IF(OR($Q91=Parametres!$G$2,$Q91=Parametres!$G$3),K91,E91)</f>
        <v>5797.26</v>
      </c>
      <c r="Q91" s="654" t="str">
        <f t="shared" ref="Q91:S91" si="92">+F91</f>
        <v>2-Actifs</v>
      </c>
      <c r="R91" s="653" t="str">
        <f t="shared" si="92"/>
        <v>1472</v>
      </c>
      <c r="S91" s="654" t="str">
        <f t="shared" si="92"/>
        <v>_</v>
      </c>
      <c r="T91" s="656" t="str">
        <f>+VLOOKUP($L91,Data_Validation!$A:$D,1,0)</f>
        <v>1474</v>
      </c>
      <c r="U91" s="656" t="str">
        <f>+VLOOKUP($L91,Data_Validation!$A:$D,3,0)</f>
        <v>Bilan</v>
      </c>
      <c r="V91" s="656" t="str">
        <f>+VLOOKUP($L91,Data_Validation!$A:$D,4,0)</f>
        <v>Sous-Traitance</v>
      </c>
      <c r="W91" s="656" t="str">
        <f>+VLOOKUP($L91,Data_Validation!$A:$E,5,0)</f>
        <v>$</v>
      </c>
      <c r="X91" s="656">
        <f>+VLOOKUP($L91,Data_Validation!$A:$F,6,0)</f>
        <v>0</v>
      </c>
    </row>
    <row r="92" spans="1:24" ht="15" customHeight="1">
      <c r="A92" s="1332" t="s">
        <v>864</v>
      </c>
      <c r="B92" s="1332" t="s">
        <v>1508</v>
      </c>
      <c r="C92" s="1334">
        <v>41222.21</v>
      </c>
      <c r="D92" s="1334">
        <v>-2926.43</v>
      </c>
      <c r="E92" s="1334">
        <v>38295.78</v>
      </c>
      <c r="F92" s="1332" t="s">
        <v>816</v>
      </c>
      <c r="G92" s="1332" t="s">
        <v>856</v>
      </c>
      <c r="H92" s="1332" t="s">
        <v>3942</v>
      </c>
      <c r="I92" s="1279"/>
      <c r="J92" s="1279"/>
      <c r="K92" s="1279"/>
      <c r="L92" s="653" t="str">
        <f t="shared" si="67"/>
        <v>1492</v>
      </c>
      <c r="M92" s="654" t="str">
        <f t="shared" si="0"/>
        <v>CARBURANT, HUILE, GRAISSE</v>
      </c>
      <c r="N92" s="655">
        <f>+IF(OR($Q92=Parametres!$G$2,$Q92=Parametres!$G$3),I92,C92)</f>
        <v>41222.21</v>
      </c>
      <c r="O92" s="655">
        <f>+IF(OR($Q92=Parametres!$G$2,$Q92=Parametres!$G$3),J92,D92)</f>
        <v>-2926.43</v>
      </c>
      <c r="P92" s="662">
        <f>+IF(OR($Q92=Parametres!$G$2,$Q92=Parametres!$G$3),K92,E92)</f>
        <v>38295.78</v>
      </c>
      <c r="Q92" s="654" t="str">
        <f t="shared" ref="Q92:S92" si="93">+F92</f>
        <v>2-Actifs</v>
      </c>
      <c r="R92" s="653" t="str">
        <f t="shared" si="93"/>
        <v>1442</v>
      </c>
      <c r="S92" s="654" t="str">
        <f t="shared" si="93"/>
        <v>_</v>
      </c>
      <c r="T92" s="656" t="str">
        <f>+VLOOKUP($L92,Data_Validation!$A:$D,1,0)</f>
        <v>1492</v>
      </c>
      <c r="U92" s="656" t="str">
        <f>+VLOOKUP($L92,Data_Validation!$A:$D,3,0)</f>
        <v>Bilan</v>
      </c>
      <c r="V92" s="656" t="str">
        <f>+VLOOKUP($L92,Data_Validation!$A:$D,4,0)</f>
        <v>Inventaire Pièces, Pneus, Huile</v>
      </c>
      <c r="W92" s="656" t="str">
        <f>+VLOOKUP($L92,Data_Validation!$A:$E,5,0)</f>
        <v>$</v>
      </c>
      <c r="X92" s="656">
        <f>+VLOOKUP($L92,Data_Validation!$A:$F,6,0)</f>
        <v>0</v>
      </c>
    </row>
    <row r="93" spans="1:24" ht="15" customHeight="1">
      <c r="A93" s="1332" t="s">
        <v>871</v>
      </c>
      <c r="B93" s="1332" t="s">
        <v>1525</v>
      </c>
      <c r="C93" s="1334">
        <v>5914.8</v>
      </c>
      <c r="D93" s="1334">
        <v>0</v>
      </c>
      <c r="E93" s="1334">
        <v>5914.8</v>
      </c>
      <c r="F93" s="1332" t="s">
        <v>816</v>
      </c>
      <c r="G93" s="1332" t="s">
        <v>868</v>
      </c>
      <c r="H93" s="1332" t="s">
        <v>3942</v>
      </c>
      <c r="I93" s="1279"/>
      <c r="J93" s="1279"/>
      <c r="K93" s="1279"/>
      <c r="L93" s="653" t="str">
        <f t="shared" si="67"/>
        <v>1510</v>
      </c>
      <c r="M93" s="654" t="str">
        <f t="shared" si="0"/>
        <v>DIAMOND KOTE (NANO)</v>
      </c>
      <c r="N93" s="655">
        <f>+IF(OR($Q93=Parametres!$G$2,$Q93=Parametres!$G$3),I93,C93)</f>
        <v>5914.8</v>
      </c>
      <c r="O93" s="655">
        <f>+IF(OR($Q93=Parametres!$G$2,$Q93=Parametres!$G$3),J93,D93)</f>
        <v>0</v>
      </c>
      <c r="P93" s="662">
        <f>+IF(OR($Q93=Parametres!$G$2,$Q93=Parametres!$G$3),K93,E93)</f>
        <v>5914.8</v>
      </c>
      <c r="Q93" s="654" t="str">
        <f t="shared" ref="Q93:S93" si="94">+F93</f>
        <v>2-Actifs</v>
      </c>
      <c r="R93" s="653" t="str">
        <f t="shared" si="94"/>
        <v>1500</v>
      </c>
      <c r="S93" s="654" t="str">
        <f t="shared" si="94"/>
        <v>_</v>
      </c>
      <c r="T93" s="656" t="str">
        <f>+VLOOKUP($L93,Data_Validation!$A:$D,1,0)</f>
        <v>1510</v>
      </c>
      <c r="U93" s="656" t="str">
        <f>+VLOOKUP($L93,Data_Validation!$A:$D,3,0)</f>
        <v>Bilan</v>
      </c>
      <c r="V93" s="656" t="str">
        <f>+VLOOKUP($L93,Data_Validation!$A:$D,4,0)</f>
        <v>Frais Payés d'Avance</v>
      </c>
      <c r="W93" s="656" t="str">
        <f>+VLOOKUP($L93,Data_Validation!$A:$E,5,0)</f>
        <v>$</v>
      </c>
      <c r="X93" s="656">
        <f>+VLOOKUP($L93,Data_Validation!$A:$F,6,0)</f>
        <v>0</v>
      </c>
    </row>
    <row r="94" spans="1:24" ht="15.75" customHeight="1">
      <c r="A94" s="1332" t="s">
        <v>872</v>
      </c>
      <c r="B94" s="1332" t="s">
        <v>1528</v>
      </c>
      <c r="C94" s="1334">
        <v>589.67999999999995</v>
      </c>
      <c r="D94" s="1334">
        <v>13222.12</v>
      </c>
      <c r="E94" s="1334">
        <v>13811.8</v>
      </c>
      <c r="F94" s="1332" t="s">
        <v>816</v>
      </c>
      <c r="G94" s="1332" t="s">
        <v>868</v>
      </c>
      <c r="H94" s="1332" t="s">
        <v>3942</v>
      </c>
      <c r="I94" s="1279"/>
      <c r="J94" s="1279"/>
      <c r="K94" s="1279"/>
      <c r="L94" s="653" t="str">
        <f t="shared" si="67"/>
        <v>1520</v>
      </c>
      <c r="M94" s="654" t="str">
        <f t="shared" si="0"/>
        <v>FPA IMMATRICULATION</v>
      </c>
      <c r="N94" s="655">
        <f>+IF(OR($Q94=Parametres!$G$2,$Q94=Parametres!$G$3),I94,C94)</f>
        <v>589.67999999999995</v>
      </c>
      <c r="O94" s="655">
        <f>+IF(OR($Q94=Parametres!$G$2,$Q94=Parametres!$G$3),J94,D94)</f>
        <v>13222.12</v>
      </c>
      <c r="P94" s="655">
        <f>+IF(OR($Q94=Parametres!$G$2,$Q94=Parametres!$G$3),K94,E94)</f>
        <v>13811.8</v>
      </c>
      <c r="Q94" s="654" t="str">
        <f t="shared" ref="Q94:S94" si="95">+F94</f>
        <v>2-Actifs</v>
      </c>
      <c r="R94" s="653" t="str">
        <f t="shared" si="95"/>
        <v>1500</v>
      </c>
      <c r="S94" s="654" t="str">
        <f t="shared" si="95"/>
        <v>_</v>
      </c>
      <c r="T94" s="656" t="str">
        <f>+VLOOKUP($L94,Data_Validation!$A:$D,1,0)</f>
        <v>1520</v>
      </c>
      <c r="U94" s="656" t="str">
        <f>+VLOOKUP($L94,Data_Validation!$A:$D,3,0)</f>
        <v>Bilan</v>
      </c>
      <c r="V94" s="656" t="str">
        <f>+VLOOKUP($L94,Data_Validation!$A:$D,4,0)</f>
        <v>Frais Payés d'Avance</v>
      </c>
      <c r="W94" s="656" t="str">
        <f>+VLOOKUP($L94,Data_Validation!$A:$E,5,0)</f>
        <v>$</v>
      </c>
      <c r="X94" s="656">
        <f>+VLOOKUP($L94,Data_Validation!$A:$F,6,0)</f>
        <v>0</v>
      </c>
    </row>
    <row r="95" spans="1:24" ht="15" customHeight="1">
      <c r="A95" s="1332" t="s">
        <v>3943</v>
      </c>
      <c r="B95" s="1332" t="s">
        <v>1531</v>
      </c>
      <c r="C95" s="1334">
        <v>75</v>
      </c>
      <c r="D95" s="1334">
        <v>0</v>
      </c>
      <c r="E95" s="1334">
        <v>75</v>
      </c>
      <c r="F95" s="1332" t="s">
        <v>816</v>
      </c>
      <c r="G95" s="1332" t="s">
        <v>868</v>
      </c>
      <c r="H95" s="1332" t="s">
        <v>3942</v>
      </c>
      <c r="I95" s="1279"/>
      <c r="J95" s="1279"/>
      <c r="K95" s="1279"/>
      <c r="L95" s="653" t="str">
        <f t="shared" si="67"/>
        <v>1522</v>
      </c>
      <c r="M95" s="654" t="str">
        <f t="shared" si="0"/>
        <v>FPA recours coll</v>
      </c>
      <c r="N95" s="655">
        <f>+IF(OR($Q95=Parametres!$G$2,$Q95=Parametres!$G$3),I95,C95)</f>
        <v>75</v>
      </c>
      <c r="O95" s="655">
        <f>+IF(OR($Q95=Parametres!$G$2,$Q95=Parametres!$G$3),J95,D95)</f>
        <v>0</v>
      </c>
      <c r="P95" s="655">
        <f>+IF(OR($Q95=Parametres!$G$2,$Q95=Parametres!$G$3),K95,E95)</f>
        <v>75</v>
      </c>
      <c r="Q95" s="654" t="str">
        <f t="shared" ref="Q95:S95" si="96">+F95</f>
        <v>2-Actifs</v>
      </c>
      <c r="R95" s="653" t="str">
        <f t="shared" si="96"/>
        <v>1500</v>
      </c>
      <c r="S95" s="654" t="str">
        <f t="shared" si="96"/>
        <v>_</v>
      </c>
      <c r="T95" s="656" t="str">
        <f>+VLOOKUP($L95,Data_Validation!$A:$D,1,0)</f>
        <v>1522</v>
      </c>
      <c r="U95" s="656" t="str">
        <f>+VLOOKUP($L95,Data_Validation!$A:$D,3,0)</f>
        <v>Bilan</v>
      </c>
      <c r="V95" s="656" t="str">
        <f>+VLOOKUP($L95,Data_Validation!$A:$D,4,0)</f>
        <v>Frais Payés d'Avance</v>
      </c>
      <c r="W95" s="656" t="str">
        <f>+VLOOKUP($L95,Data_Validation!$A:$E,5,0)</f>
        <v>$</v>
      </c>
      <c r="X95" s="656">
        <f>+VLOOKUP($L95,Data_Validation!$A:$F,6,0)</f>
        <v>0</v>
      </c>
    </row>
    <row r="96" spans="1:24" ht="15" customHeight="1">
      <c r="A96" s="1332" t="s">
        <v>875</v>
      </c>
      <c r="B96" s="1332" t="s">
        <v>1552</v>
      </c>
      <c r="C96" s="1334">
        <v>0</v>
      </c>
      <c r="D96" s="1334">
        <v>5.22</v>
      </c>
      <c r="E96" s="1334">
        <v>5.22</v>
      </c>
      <c r="F96" s="1332" t="s">
        <v>816</v>
      </c>
      <c r="G96" s="1332" t="s">
        <v>868</v>
      </c>
      <c r="H96" s="1332" t="s">
        <v>3942</v>
      </c>
      <c r="I96" s="1279"/>
      <c r="J96" s="1279"/>
      <c r="K96" s="1279"/>
      <c r="L96" s="653" t="str">
        <f t="shared" si="67"/>
        <v>1540</v>
      </c>
      <c r="M96" s="654" t="str">
        <f t="shared" si="0"/>
        <v>FPA CONTRATS DE SERVICES</v>
      </c>
      <c r="N96" s="655">
        <f>+IF(OR($Q96=Parametres!$G$2,$Q96=Parametres!$G$3),I96,C96)</f>
        <v>0</v>
      </c>
      <c r="O96" s="655">
        <f>+IF(OR($Q96=Parametres!$G$2,$Q96=Parametres!$G$3),J96,D96)</f>
        <v>5.22</v>
      </c>
      <c r="P96" s="662">
        <f>+IF(OR($Q96=Parametres!$G$2,$Q96=Parametres!$G$3),K96,E96)</f>
        <v>5.22</v>
      </c>
      <c r="Q96" s="654" t="str">
        <f t="shared" ref="Q96:S96" si="97">+F96</f>
        <v>2-Actifs</v>
      </c>
      <c r="R96" s="653" t="str">
        <f t="shared" si="97"/>
        <v>1500</v>
      </c>
      <c r="S96" s="654" t="str">
        <f t="shared" si="97"/>
        <v>_</v>
      </c>
      <c r="T96" s="656" t="str">
        <f>+VLOOKUP($L96,Data_Validation!$A:$D,1,0)</f>
        <v>1540</v>
      </c>
      <c r="U96" s="656" t="str">
        <f>+VLOOKUP($L96,Data_Validation!$A:$D,3,0)</f>
        <v>Bilan</v>
      </c>
      <c r="V96" s="656" t="str">
        <f>+VLOOKUP($L96,Data_Validation!$A:$D,4,0)</f>
        <v>Frais Payés d'Avance</v>
      </c>
      <c r="W96" s="656" t="str">
        <f>+VLOOKUP($L96,Data_Validation!$A:$E,5,0)</f>
        <v>$</v>
      </c>
      <c r="X96" s="656">
        <f>+VLOOKUP($L96,Data_Validation!$A:$F,6,0)</f>
        <v>0</v>
      </c>
    </row>
    <row r="97" spans="1:24" ht="15" customHeight="1">
      <c r="A97" s="1332" t="s">
        <v>879</v>
      </c>
      <c r="B97" s="1332" t="s">
        <v>3369</v>
      </c>
      <c r="C97" s="1334">
        <v>0</v>
      </c>
      <c r="D97" s="1334">
        <v>338.19</v>
      </c>
      <c r="E97" s="1334">
        <v>338.19</v>
      </c>
      <c r="F97" s="1332" t="s">
        <v>816</v>
      </c>
      <c r="G97" s="1332" t="s">
        <v>868</v>
      </c>
      <c r="H97" s="1332" t="s">
        <v>3942</v>
      </c>
      <c r="I97" s="651"/>
      <c r="J97" s="651"/>
      <c r="K97" s="651"/>
      <c r="L97" s="653" t="str">
        <f t="shared" si="67"/>
        <v>1553</v>
      </c>
      <c r="M97" s="654" t="str">
        <f t="shared" si="0"/>
        <v>CSST A PAYER OU RECEVOIR</v>
      </c>
      <c r="N97" s="655">
        <f>+IF(OR($Q97=Parametres!$G$2,$Q97=Parametres!$G$3),I97,C97)</f>
        <v>0</v>
      </c>
      <c r="O97" s="659">
        <f>+IF(OR($Q97=Parametres!$G$2,$Q97=Parametres!$G$3),J97,D97)</f>
        <v>338.19</v>
      </c>
      <c r="P97" s="655">
        <f>+IF(OR($Q97=Parametres!$G$2,$Q97=Parametres!$G$3),K97,E97)</f>
        <v>338.19</v>
      </c>
      <c r="Q97" s="654" t="str">
        <f t="shared" ref="Q97:S97" si="98">+F97</f>
        <v>2-Actifs</v>
      </c>
      <c r="R97" s="653" t="str">
        <f t="shared" si="98"/>
        <v>1500</v>
      </c>
      <c r="S97" s="654" t="str">
        <f t="shared" si="98"/>
        <v>_</v>
      </c>
      <c r="T97" s="656" t="str">
        <f>+VLOOKUP($L97,Data_Validation!$A:$D,1,0)</f>
        <v>1553</v>
      </c>
      <c r="U97" s="656" t="str">
        <f>+VLOOKUP($L97,Data_Validation!$A:$D,3,0)</f>
        <v>Bilan</v>
      </c>
      <c r="V97" s="656" t="str">
        <f>+VLOOKUP($L97,Data_Validation!$A:$D,4,0)</f>
        <v>Frais Payés d'Avance</v>
      </c>
      <c r="W97" s="656" t="str">
        <f>+VLOOKUP($L97,Data_Validation!$A:$E,5,0)</f>
        <v>$</v>
      </c>
      <c r="X97" s="656">
        <f>+VLOOKUP($L97,Data_Validation!$A:$F,6,0)</f>
        <v>0</v>
      </c>
    </row>
    <row r="98" spans="1:24" ht="15" customHeight="1">
      <c r="A98" s="1332" t="s">
        <v>880</v>
      </c>
      <c r="B98" s="1332" t="s">
        <v>1564</v>
      </c>
      <c r="C98" s="1334">
        <v>50675.8</v>
      </c>
      <c r="D98" s="1334">
        <v>0</v>
      </c>
      <c r="E98" s="1334">
        <v>50675.8</v>
      </c>
      <c r="F98" s="1332" t="s">
        <v>816</v>
      </c>
      <c r="G98" s="1332" t="s">
        <v>868</v>
      </c>
      <c r="H98" s="1332" t="s">
        <v>3942</v>
      </c>
      <c r="I98" s="651"/>
      <c r="J98" s="651"/>
      <c r="K98" s="651"/>
      <c r="L98" s="653" t="str">
        <f t="shared" si="67"/>
        <v>1582</v>
      </c>
      <c r="M98" s="654" t="str">
        <f t="shared" si="0"/>
        <v>FPA TAXES MUNICIPALES</v>
      </c>
      <c r="N98" s="655">
        <f>+IF(OR($Q98=Parametres!$G$2,$Q98=Parametres!$G$3),I98,C98)</f>
        <v>50675.8</v>
      </c>
      <c r="O98" s="659">
        <f>+IF(OR($Q98=Parametres!$G$2,$Q98=Parametres!$G$3),J98,D98)</f>
        <v>0</v>
      </c>
      <c r="P98" s="655">
        <f>+IF(OR($Q98=Parametres!$G$2,$Q98=Parametres!$G$3),K98,E98)</f>
        <v>50675.8</v>
      </c>
      <c r="Q98" s="654" t="str">
        <f t="shared" ref="Q98:S98" si="99">+F98</f>
        <v>2-Actifs</v>
      </c>
      <c r="R98" s="653" t="str">
        <f t="shared" si="99"/>
        <v>1500</v>
      </c>
      <c r="S98" s="654" t="str">
        <f t="shared" si="99"/>
        <v>_</v>
      </c>
      <c r="T98" s="656" t="str">
        <f>+VLOOKUP($L98,Data_Validation!$A:$D,1,0)</f>
        <v>1582</v>
      </c>
      <c r="U98" s="656" t="str">
        <f>+VLOOKUP($L98,Data_Validation!$A:$D,3,0)</f>
        <v>Bilan</v>
      </c>
      <c r="V98" s="656" t="str">
        <f>+VLOOKUP($L98,Data_Validation!$A:$D,4,0)</f>
        <v>Frais Payés d'Avance</v>
      </c>
      <c r="W98" s="656" t="str">
        <f>+VLOOKUP($L98,Data_Validation!$A:$E,5,0)</f>
        <v>$</v>
      </c>
      <c r="X98" s="656">
        <f>+VLOOKUP($L98,Data_Validation!$A:$F,6,0)</f>
        <v>0</v>
      </c>
    </row>
    <row r="99" spans="1:24" ht="15.75" customHeight="1">
      <c r="A99" s="1332" t="s">
        <v>881</v>
      </c>
      <c r="B99" s="1332" t="s">
        <v>1570</v>
      </c>
      <c r="C99" s="1334">
        <v>-35992.239999999998</v>
      </c>
      <c r="D99" s="1334">
        <v>-18000</v>
      </c>
      <c r="E99" s="1334">
        <v>-53992.24</v>
      </c>
      <c r="F99" s="1332" t="s">
        <v>816</v>
      </c>
      <c r="G99" s="1332" t="s">
        <v>868</v>
      </c>
      <c r="H99" s="1332" t="s">
        <v>3942</v>
      </c>
      <c r="I99" s="651"/>
      <c r="J99" s="651"/>
      <c r="K99" s="651"/>
      <c r="L99" s="653" t="str">
        <f t="shared" si="67"/>
        <v>1586</v>
      </c>
      <c r="M99" s="654" t="str">
        <f t="shared" si="0"/>
        <v>FPA TAXES SCOLAIRES</v>
      </c>
      <c r="N99" s="655">
        <f>+IF(OR($Q99=Parametres!$G$2,$Q99=Parametres!$G$3),I99,C99)</f>
        <v>-35992.239999999998</v>
      </c>
      <c r="O99" s="659">
        <f>+IF(OR($Q99=Parametres!$G$2,$Q99=Parametres!$G$3),J99,D99)</f>
        <v>-18000</v>
      </c>
      <c r="P99" s="655">
        <f>+IF(OR($Q99=Parametres!$G$2,$Q99=Parametres!$G$3),K99,E99)</f>
        <v>-53992.24</v>
      </c>
      <c r="Q99" s="654" t="str">
        <f t="shared" ref="Q99:S99" si="100">+F99</f>
        <v>2-Actifs</v>
      </c>
      <c r="R99" s="653" t="str">
        <f t="shared" si="100"/>
        <v>1500</v>
      </c>
      <c r="S99" s="654" t="str">
        <f t="shared" si="100"/>
        <v>_</v>
      </c>
      <c r="T99" s="656" t="str">
        <f>+VLOOKUP($L99,Data_Validation!$A:$D,1,0)</f>
        <v>1586</v>
      </c>
      <c r="U99" s="656" t="str">
        <f>+VLOOKUP($L99,Data_Validation!$A:$D,3,0)</f>
        <v>Bilan</v>
      </c>
      <c r="V99" s="656" t="str">
        <f>+VLOOKUP($L99,Data_Validation!$A:$D,4,0)</f>
        <v>Frais Payés d'Avance</v>
      </c>
      <c r="W99" s="656" t="str">
        <f>+VLOOKUP($L99,Data_Validation!$A:$E,5,0)</f>
        <v>$</v>
      </c>
      <c r="X99" s="656">
        <f>+VLOOKUP($L99,Data_Validation!$A:$F,6,0)</f>
        <v>0</v>
      </c>
    </row>
    <row r="100" spans="1:24" ht="15" customHeight="1">
      <c r="A100" s="1332" t="s">
        <v>883</v>
      </c>
      <c r="B100" s="1332" t="s">
        <v>1573</v>
      </c>
      <c r="C100" s="1334">
        <v>-46971.88</v>
      </c>
      <c r="D100" s="1334">
        <v>169442.43</v>
      </c>
      <c r="E100" s="1334">
        <v>122470.55</v>
      </c>
      <c r="F100" s="1332" t="s">
        <v>816</v>
      </c>
      <c r="G100" s="1332" t="s">
        <v>868</v>
      </c>
      <c r="H100" s="1332" t="s">
        <v>3942</v>
      </c>
      <c r="I100" s="652"/>
      <c r="J100" s="652"/>
      <c r="K100" s="652"/>
      <c r="L100" s="653" t="str">
        <f t="shared" si="67"/>
        <v>1592</v>
      </c>
      <c r="M100" s="654" t="str">
        <f t="shared" si="0"/>
        <v>FPA AUTRES</v>
      </c>
      <c r="N100" s="655">
        <f>+IF(OR($Q100=Parametres!$G$2,$Q100=Parametres!$G$3),I100,C100)</f>
        <v>-46971.88</v>
      </c>
      <c r="O100" s="659">
        <f>+IF(OR($Q100=Parametres!$G$2,$Q100=Parametres!$G$3),J100,D100)</f>
        <v>169442.43</v>
      </c>
      <c r="P100" s="655">
        <f>+IF(OR($Q100=Parametres!$G$2,$Q100=Parametres!$G$3),K100,E100)</f>
        <v>122470.55</v>
      </c>
      <c r="Q100" s="654" t="str">
        <f t="shared" ref="Q100:S100" si="101">+F100</f>
        <v>2-Actifs</v>
      </c>
      <c r="R100" s="653" t="str">
        <f t="shared" si="101"/>
        <v>1500</v>
      </c>
      <c r="S100" s="654" t="str">
        <f t="shared" si="101"/>
        <v>_</v>
      </c>
      <c r="T100" s="656" t="str">
        <f>+VLOOKUP($L100,Data_Validation!$A:$D,1,0)</f>
        <v>1592</v>
      </c>
      <c r="U100" s="656" t="str">
        <f>+VLOOKUP($L100,Data_Validation!$A:$D,3,0)</f>
        <v>Bilan</v>
      </c>
      <c r="V100" s="656" t="str">
        <f>+VLOOKUP($L100,Data_Validation!$A:$D,4,0)</f>
        <v>Frais Payés d'Avance</v>
      </c>
      <c r="W100" s="656" t="str">
        <f>+VLOOKUP($L100,Data_Validation!$A:$E,5,0)</f>
        <v>$</v>
      </c>
      <c r="X100" s="656">
        <f>+VLOOKUP($L100,Data_Validation!$A:$F,6,0)</f>
        <v>0</v>
      </c>
    </row>
    <row r="101" spans="1:24" ht="15" customHeight="1">
      <c r="A101" s="1332" t="s">
        <v>884</v>
      </c>
      <c r="B101" s="1332" t="s">
        <v>1585</v>
      </c>
      <c r="C101" s="1334">
        <v>0</v>
      </c>
      <c r="D101" s="1334">
        <v>94791.83</v>
      </c>
      <c r="E101" s="1334">
        <v>94791.83</v>
      </c>
      <c r="F101" s="1332" t="s">
        <v>816</v>
      </c>
      <c r="G101" s="1332" t="s">
        <v>885</v>
      </c>
      <c r="H101" s="1332" t="s">
        <v>3942</v>
      </c>
      <c r="I101" s="652"/>
      <c r="J101" s="652"/>
      <c r="K101" s="652"/>
      <c r="L101" s="653" t="str">
        <f t="shared" si="67"/>
        <v>1732</v>
      </c>
      <c r="M101" s="654" t="str">
        <f t="shared" si="0"/>
        <v>AMELIOR. LOCATIVES</v>
      </c>
      <c r="N101" s="655">
        <f>+IF(OR($Q101=Parametres!$G$2,$Q101=Parametres!$G$3),I101,C101)</f>
        <v>0</v>
      </c>
      <c r="O101" s="655">
        <f>+IF(OR($Q101=Parametres!$G$2,$Q101=Parametres!$G$3),J101,D101)</f>
        <v>94791.83</v>
      </c>
      <c r="P101" s="655">
        <f>+IF(OR($Q101=Parametres!$G$2,$Q101=Parametres!$G$3),K101,E101)</f>
        <v>94791.83</v>
      </c>
      <c r="Q101" s="654" t="str">
        <f t="shared" ref="Q101:S101" si="102">+F101</f>
        <v>2-Actifs</v>
      </c>
      <c r="R101" s="653" t="str">
        <f t="shared" si="102"/>
        <v>1700</v>
      </c>
      <c r="S101" s="654" t="str">
        <f t="shared" si="102"/>
        <v>_</v>
      </c>
      <c r="T101" s="656" t="str">
        <f>+VLOOKUP($L101,Data_Validation!$A:$D,1,0)</f>
        <v>1732</v>
      </c>
      <c r="U101" s="656" t="str">
        <f>+VLOOKUP($L101,Data_Validation!$A:$D,3,0)</f>
        <v>Bilan</v>
      </c>
      <c r="V101" s="656" t="str">
        <f>+VLOOKUP($L101,Data_Validation!$A:$D,4,0)</f>
        <v>Améliorations Locatives</v>
      </c>
      <c r="W101" s="656" t="str">
        <f>+VLOOKUP($L101,Data_Validation!$A:$E,5,0)</f>
        <v>$</v>
      </c>
      <c r="X101" s="656">
        <f>+VLOOKUP($L101,Data_Validation!$A:$F,6,0)</f>
        <v>0</v>
      </c>
    </row>
    <row r="102" spans="1:24" ht="15" customHeight="1">
      <c r="A102" s="1332" t="s">
        <v>886</v>
      </c>
      <c r="B102" s="1332" t="s">
        <v>1588</v>
      </c>
      <c r="C102" s="1334">
        <v>23243.97</v>
      </c>
      <c r="D102" s="1334">
        <v>-111768.26</v>
      </c>
      <c r="E102" s="1334">
        <v>-88524.29</v>
      </c>
      <c r="F102" s="1332" t="s">
        <v>816</v>
      </c>
      <c r="G102" s="1332" t="s">
        <v>885</v>
      </c>
      <c r="H102" s="1332" t="s">
        <v>3942</v>
      </c>
      <c r="I102" s="651"/>
      <c r="J102" s="651"/>
      <c r="K102" s="651"/>
      <c r="L102" s="653" t="str">
        <f t="shared" si="67"/>
        <v>1733</v>
      </c>
      <c r="M102" s="654" t="str">
        <f t="shared" si="0"/>
        <v>AMORT. CUM. AMEL. LOCAT.</v>
      </c>
      <c r="N102" s="655">
        <f>+IF(OR($Q102=Parametres!$G$2,$Q102=Parametres!$G$3),I102,C102)</f>
        <v>23243.97</v>
      </c>
      <c r="O102" s="655">
        <f>+IF(OR($Q102=Parametres!$G$2,$Q102=Parametres!$G$3),J102,D102)</f>
        <v>-111768.26</v>
      </c>
      <c r="P102" s="655">
        <f>+IF(OR($Q102=Parametres!$G$2,$Q102=Parametres!$G$3),K102,E102)</f>
        <v>-88524.29</v>
      </c>
      <c r="Q102" s="654" t="str">
        <f t="shared" ref="Q102:S102" si="103">+F102</f>
        <v>2-Actifs</v>
      </c>
      <c r="R102" s="653" t="str">
        <f t="shared" si="103"/>
        <v>1700</v>
      </c>
      <c r="S102" s="654" t="str">
        <f t="shared" si="103"/>
        <v>_</v>
      </c>
      <c r="T102" s="656" t="str">
        <f>+VLOOKUP($L102,Data_Validation!$A:$D,1,0)</f>
        <v>1733</v>
      </c>
      <c r="U102" s="656" t="str">
        <f>+VLOOKUP($L102,Data_Validation!$A:$D,3,0)</f>
        <v>Bilan</v>
      </c>
      <c r="V102" s="656" t="str">
        <f>+VLOOKUP($L102,Data_Validation!$A:$D,4,0)</f>
        <v>Améliorations Locatives</v>
      </c>
      <c r="W102" s="656" t="str">
        <f>+VLOOKUP($L102,Data_Validation!$A:$E,5,0)</f>
        <v>$</v>
      </c>
      <c r="X102" s="656">
        <f>+VLOOKUP($L102,Data_Validation!$A:$F,6,0)</f>
        <v>0</v>
      </c>
    </row>
    <row r="103" spans="1:24" ht="15.75" customHeight="1">
      <c r="A103" s="1332" t="s">
        <v>3349</v>
      </c>
      <c r="B103" s="1332" t="s">
        <v>3371</v>
      </c>
      <c r="C103" s="1334">
        <v>0</v>
      </c>
      <c r="D103" s="1334">
        <v>19532.55</v>
      </c>
      <c r="E103" s="1334">
        <v>19532.55</v>
      </c>
      <c r="F103" s="1332" t="s">
        <v>816</v>
      </c>
      <c r="G103" s="1332" t="s">
        <v>885</v>
      </c>
      <c r="H103" s="1332" t="s">
        <v>3942</v>
      </c>
      <c r="I103" s="651"/>
      <c r="J103" s="651"/>
      <c r="K103" s="651"/>
      <c r="L103" s="653" t="str">
        <f t="shared" si="67"/>
        <v>1734</v>
      </c>
      <c r="M103" s="654" t="str">
        <f t="shared" si="0"/>
        <v>AMELIOR. LOCATIVES CPO</v>
      </c>
      <c r="N103" s="655">
        <f>+IF(OR($Q103=Parametres!$G$2,$Q103=Parametres!$G$3),I103,C103)</f>
        <v>0</v>
      </c>
      <c r="O103" s="655">
        <f>+IF(OR($Q103=Parametres!$G$2,$Q103=Parametres!$G$3),J103,D103)</f>
        <v>19532.55</v>
      </c>
      <c r="P103" s="655">
        <f>+IF(OR($Q103=Parametres!$G$2,$Q103=Parametres!$G$3),K103,E103)</f>
        <v>19532.55</v>
      </c>
      <c r="Q103" s="654" t="str">
        <f t="shared" ref="Q103:S103" si="104">+F103</f>
        <v>2-Actifs</v>
      </c>
      <c r="R103" s="653" t="str">
        <f t="shared" si="104"/>
        <v>1700</v>
      </c>
      <c r="S103" s="654" t="str">
        <f t="shared" si="104"/>
        <v>_</v>
      </c>
      <c r="T103" s="656" t="str">
        <f>+VLOOKUP($L103,Data_Validation!$A:$D,1,0)</f>
        <v>1734</v>
      </c>
      <c r="U103" s="656" t="str">
        <f>+VLOOKUP($L103,Data_Validation!$A:$D,3,0)</f>
        <v>Bilan</v>
      </c>
      <c r="V103" s="656" t="str">
        <f>+VLOOKUP($L103,Data_Validation!$A:$D,4,0)</f>
        <v>Améliorations Locatives</v>
      </c>
      <c r="W103" s="656" t="str">
        <f>+VLOOKUP($L103,Data_Validation!$A:$E,5,0)</f>
        <v>$</v>
      </c>
      <c r="X103" s="656">
        <f>+VLOOKUP($L103,Data_Validation!$A:$F,6,0)</f>
        <v>0</v>
      </c>
    </row>
    <row r="104" spans="1:24" ht="15" customHeight="1">
      <c r="A104" s="1332" t="s">
        <v>3926</v>
      </c>
      <c r="B104" s="1332" t="s">
        <v>3927</v>
      </c>
      <c r="C104" s="1334">
        <v>0</v>
      </c>
      <c r="D104" s="1334">
        <v>-4361.1400000000003</v>
      </c>
      <c r="E104" s="1334">
        <v>-4361.1400000000003</v>
      </c>
      <c r="F104" s="1332" t="s">
        <v>816</v>
      </c>
      <c r="G104" s="1332" t="s">
        <v>885</v>
      </c>
      <c r="H104" s="1332" t="s">
        <v>3942</v>
      </c>
      <c r="I104" s="651"/>
      <c r="J104" s="651"/>
      <c r="K104" s="651"/>
      <c r="L104" s="653" t="str">
        <f t="shared" si="67"/>
        <v>1735</v>
      </c>
      <c r="M104" s="654" t="str">
        <f t="shared" si="0"/>
        <v>AMORT. CUM. AMEL. LOCAT. CPO</v>
      </c>
      <c r="N104" s="655">
        <f>+IF(OR($Q104=Parametres!$G$2,$Q104=Parametres!$G$3),I104,C104)</f>
        <v>0</v>
      </c>
      <c r="O104" s="655">
        <f>+IF(OR($Q104=Parametres!$G$2,$Q104=Parametres!$G$3),J104,D104)</f>
        <v>-4361.1400000000003</v>
      </c>
      <c r="P104" s="655">
        <f>+IF(OR($Q104=Parametres!$G$2,$Q104=Parametres!$G$3),K104,E104)</f>
        <v>-4361.1400000000003</v>
      </c>
      <c r="Q104" s="654" t="str">
        <f t="shared" ref="Q104:S104" si="105">+F104</f>
        <v>2-Actifs</v>
      </c>
      <c r="R104" s="653" t="str">
        <f t="shared" si="105"/>
        <v>1700</v>
      </c>
      <c r="S104" s="654" t="str">
        <f t="shared" si="105"/>
        <v>_</v>
      </c>
      <c r="T104" s="656" t="str">
        <f>+VLOOKUP($L104,Data_Validation!$A:$D,1,0)</f>
        <v>1735</v>
      </c>
      <c r="U104" s="656" t="str">
        <f>+VLOOKUP($L104,Data_Validation!$A:$D,3,0)</f>
        <v>Bilan</v>
      </c>
      <c r="V104" s="656" t="str">
        <f>+VLOOKUP($L104,Data_Validation!$A:$D,4,0)</f>
        <v>Améliorations Locatives</v>
      </c>
      <c r="W104" s="656" t="str">
        <f>+VLOOKUP($L104,Data_Validation!$A:$E,5,0)</f>
        <v>$</v>
      </c>
      <c r="X104" s="656">
        <f>+VLOOKUP($L104,Data_Validation!$A:$F,6,0)</f>
        <v>0</v>
      </c>
    </row>
    <row r="105" spans="1:24" ht="15" customHeight="1">
      <c r="A105" s="1332" t="s">
        <v>887</v>
      </c>
      <c r="B105" s="1332" t="s">
        <v>1591</v>
      </c>
      <c r="C105" s="1334">
        <v>1297074.98</v>
      </c>
      <c r="D105" s="1334">
        <v>0</v>
      </c>
      <c r="E105" s="1334">
        <v>1297074.98</v>
      </c>
      <c r="F105" s="1332" t="s">
        <v>816</v>
      </c>
      <c r="G105" s="1332" t="s">
        <v>885</v>
      </c>
      <c r="H105" s="1332" t="s">
        <v>3942</v>
      </c>
      <c r="I105" s="651"/>
      <c r="J105" s="651"/>
      <c r="K105" s="651"/>
      <c r="L105" s="653" t="str">
        <f t="shared" si="67"/>
        <v>1742</v>
      </c>
      <c r="M105" s="654" t="str">
        <f t="shared" si="0"/>
        <v>MACHINERIE &amp; EQUIPEMENT</v>
      </c>
      <c r="N105" s="655">
        <f>+IF(OR($Q105=Parametres!$G$2,$Q105=Parametres!$G$3),I105,C105)</f>
        <v>1297074.98</v>
      </c>
      <c r="O105" s="655">
        <f>+IF(OR($Q105=Parametres!$G$2,$Q105=Parametres!$G$3),J105,D105)</f>
        <v>0</v>
      </c>
      <c r="P105" s="655">
        <f>+IF(OR($Q105=Parametres!$G$2,$Q105=Parametres!$G$3),K105,E105)</f>
        <v>1297074.98</v>
      </c>
      <c r="Q105" s="654" t="str">
        <f t="shared" ref="Q105:S105" si="106">+F105</f>
        <v>2-Actifs</v>
      </c>
      <c r="R105" s="653" t="str">
        <f t="shared" si="106"/>
        <v>1700</v>
      </c>
      <c r="S105" s="654" t="str">
        <f t="shared" si="106"/>
        <v>_</v>
      </c>
      <c r="T105" s="656" t="str">
        <f>+VLOOKUP($L105,Data_Validation!$A:$D,1,0)</f>
        <v>1742</v>
      </c>
      <c r="U105" s="656" t="str">
        <f>+VLOOKUP($L105,Data_Validation!$A:$D,3,0)</f>
        <v>Bilan</v>
      </c>
      <c r="V105" s="656" t="str">
        <f>+VLOOKUP($L105,Data_Validation!$A:$D,4,0)</f>
        <v>Équipements Service</v>
      </c>
      <c r="W105" s="656" t="str">
        <f>+VLOOKUP($L105,Data_Validation!$A:$E,5,0)</f>
        <v>$</v>
      </c>
      <c r="X105" s="656">
        <f>+VLOOKUP($L105,Data_Validation!$A:$F,6,0)</f>
        <v>0</v>
      </c>
    </row>
    <row r="106" spans="1:24" ht="15" customHeight="1">
      <c r="A106" s="1332" t="s">
        <v>888</v>
      </c>
      <c r="B106" s="1332" t="s">
        <v>1594</v>
      </c>
      <c r="C106" s="1334">
        <v>-985178.59</v>
      </c>
      <c r="D106" s="1334">
        <v>-9517</v>
      </c>
      <c r="E106" s="1334">
        <v>-994695.59</v>
      </c>
      <c r="F106" s="1332" t="s">
        <v>816</v>
      </c>
      <c r="G106" s="1332" t="s">
        <v>885</v>
      </c>
      <c r="H106" s="1332" t="s">
        <v>3942</v>
      </c>
      <c r="I106" s="651"/>
      <c r="J106" s="651"/>
      <c r="K106" s="651"/>
      <c r="L106" s="653" t="str">
        <f t="shared" si="67"/>
        <v>1743</v>
      </c>
      <c r="M106" s="654" t="str">
        <f t="shared" si="0"/>
        <v>AMORTISS.MACHINERIE &amp; EQUIP.</v>
      </c>
      <c r="N106" s="655">
        <f>+IF(OR($Q106=Parametres!$G$2,$Q106=Parametres!$G$3),I106,C106)</f>
        <v>-985178.59</v>
      </c>
      <c r="O106" s="655">
        <f>+IF(OR($Q106=Parametres!$G$2,$Q106=Parametres!$G$3),J106,D106)</f>
        <v>-9517</v>
      </c>
      <c r="P106" s="655">
        <f>+IF(OR($Q106=Parametres!$G$2,$Q106=Parametres!$G$3),K106,E106)</f>
        <v>-994695.59</v>
      </c>
      <c r="Q106" s="654" t="str">
        <f t="shared" ref="Q106:S106" si="107">+F106</f>
        <v>2-Actifs</v>
      </c>
      <c r="R106" s="653" t="str">
        <f t="shared" si="107"/>
        <v>1700</v>
      </c>
      <c r="S106" s="654" t="str">
        <f t="shared" si="107"/>
        <v>_</v>
      </c>
      <c r="T106" s="656" t="str">
        <f>+VLOOKUP($L106,Data_Validation!$A:$D,1,0)</f>
        <v>1743</v>
      </c>
      <c r="U106" s="656" t="str">
        <f>+VLOOKUP($L106,Data_Validation!$A:$D,3,0)</f>
        <v>Bilan</v>
      </c>
      <c r="V106" s="656" t="str">
        <f>+VLOOKUP($L106,Data_Validation!$A:$D,4,0)</f>
        <v>Équipements Service</v>
      </c>
      <c r="W106" s="656" t="str">
        <f>+VLOOKUP($L106,Data_Validation!$A:$E,5,0)</f>
        <v>$</v>
      </c>
      <c r="X106" s="656">
        <f>+VLOOKUP($L106,Data_Validation!$A:$F,6,0)</f>
        <v>0</v>
      </c>
    </row>
    <row r="107" spans="1:24" ht="15" customHeight="1">
      <c r="A107" s="1332" t="s">
        <v>889</v>
      </c>
      <c r="B107" s="1332" t="s">
        <v>1597</v>
      </c>
      <c r="C107" s="1334">
        <v>47461.59</v>
      </c>
      <c r="D107" s="1334">
        <v>0</v>
      </c>
      <c r="E107" s="1334">
        <v>47461.59</v>
      </c>
      <c r="F107" s="1332" t="s">
        <v>816</v>
      </c>
      <c r="G107" s="1332" t="s">
        <v>885</v>
      </c>
      <c r="H107" s="1332" t="s">
        <v>3942</v>
      </c>
      <c r="I107" s="651"/>
      <c r="J107" s="651"/>
      <c r="K107" s="651"/>
      <c r="L107" s="653" t="str">
        <f t="shared" si="67"/>
        <v>1744</v>
      </c>
      <c r="M107" s="654" t="str">
        <f t="shared" si="0"/>
        <v>EQUIPEMENT PIECES</v>
      </c>
      <c r="N107" s="655">
        <f>+IF(OR($Q107=Parametres!$G$2,$Q107=Parametres!$G$3),I107,C107)</f>
        <v>47461.59</v>
      </c>
      <c r="O107" s="655">
        <f>+IF(OR($Q107=Parametres!$G$2,$Q107=Parametres!$G$3),J107,D107)</f>
        <v>0</v>
      </c>
      <c r="P107" s="655">
        <f>+IF(OR($Q107=Parametres!$G$2,$Q107=Parametres!$G$3),K107,E107)</f>
        <v>47461.59</v>
      </c>
      <c r="Q107" s="654" t="str">
        <f t="shared" ref="Q107:S107" si="108">+F107</f>
        <v>2-Actifs</v>
      </c>
      <c r="R107" s="653" t="str">
        <f t="shared" si="108"/>
        <v>1700</v>
      </c>
      <c r="S107" s="654" t="str">
        <f t="shared" si="108"/>
        <v>_</v>
      </c>
      <c r="T107" s="656" t="str">
        <f>+VLOOKUP($L107,Data_Validation!$A:$D,1,0)</f>
        <v>1744</v>
      </c>
      <c r="U107" s="656" t="str">
        <f>+VLOOKUP($L107,Data_Validation!$A:$D,3,0)</f>
        <v>Bilan</v>
      </c>
      <c r="V107" s="656" t="str">
        <f>+VLOOKUP($L107,Data_Validation!$A:$D,4,0)</f>
        <v>Équipements Service</v>
      </c>
      <c r="W107" s="656" t="str">
        <f>+VLOOKUP($L107,Data_Validation!$A:$E,5,0)</f>
        <v>$</v>
      </c>
      <c r="X107" s="656">
        <f>+VLOOKUP($L107,Data_Validation!$A:$F,6,0)</f>
        <v>0</v>
      </c>
    </row>
    <row r="108" spans="1:24" ht="15" customHeight="1">
      <c r="A108" s="1332" t="s">
        <v>890</v>
      </c>
      <c r="B108" s="1332" t="s">
        <v>1600</v>
      </c>
      <c r="C108" s="1334">
        <v>-47461.59</v>
      </c>
      <c r="D108" s="1334">
        <v>0</v>
      </c>
      <c r="E108" s="1334">
        <v>-47461.59</v>
      </c>
      <c r="F108" s="1332" t="s">
        <v>816</v>
      </c>
      <c r="G108" s="1332" t="s">
        <v>885</v>
      </c>
      <c r="H108" s="1332" t="s">
        <v>3942</v>
      </c>
      <c r="I108" s="651"/>
      <c r="J108" s="651"/>
      <c r="K108" s="651"/>
      <c r="L108" s="653" t="str">
        <f t="shared" si="67"/>
        <v>1745</v>
      </c>
      <c r="M108" s="654" t="str">
        <f t="shared" si="0"/>
        <v>AMORTISS.EQUIPEMENTS PIECES</v>
      </c>
      <c r="N108" s="655">
        <f>+IF(OR($Q108=Parametres!$G$2,$Q108=Parametres!$G$3),I108,C108)</f>
        <v>-47461.59</v>
      </c>
      <c r="O108" s="655">
        <f>+IF(OR($Q108=Parametres!$G$2,$Q108=Parametres!$G$3),J108,D108)</f>
        <v>0</v>
      </c>
      <c r="P108" s="655">
        <f>+IF(OR($Q108=Parametres!$G$2,$Q108=Parametres!$G$3),K108,E108)</f>
        <v>-47461.59</v>
      </c>
      <c r="Q108" s="654" t="str">
        <f t="shared" ref="Q108:S108" si="109">+F108</f>
        <v>2-Actifs</v>
      </c>
      <c r="R108" s="653" t="str">
        <f t="shared" si="109"/>
        <v>1700</v>
      </c>
      <c r="S108" s="654" t="str">
        <f t="shared" si="109"/>
        <v>_</v>
      </c>
      <c r="T108" s="656" t="str">
        <f>+VLOOKUP($L108,Data_Validation!$A:$D,1,0)</f>
        <v>1745</v>
      </c>
      <c r="U108" s="656" t="str">
        <f>+VLOOKUP($L108,Data_Validation!$A:$D,3,0)</f>
        <v>Bilan</v>
      </c>
      <c r="V108" s="656" t="str">
        <f>+VLOOKUP($L108,Data_Validation!$A:$D,4,0)</f>
        <v>Équipements Service</v>
      </c>
      <c r="W108" s="656" t="str">
        <f>+VLOOKUP($L108,Data_Validation!$A:$E,5,0)</f>
        <v>$</v>
      </c>
      <c r="X108" s="656">
        <f>+VLOOKUP($L108,Data_Validation!$A:$F,6,0)</f>
        <v>0</v>
      </c>
    </row>
    <row r="109" spans="1:24" ht="15.75" customHeight="1">
      <c r="A109" s="1332" t="s">
        <v>891</v>
      </c>
      <c r="B109" s="1332" t="s">
        <v>1609</v>
      </c>
      <c r="C109" s="1334">
        <v>456874.49</v>
      </c>
      <c r="D109" s="1334">
        <v>0</v>
      </c>
      <c r="E109" s="1334">
        <v>456874.49</v>
      </c>
      <c r="F109" s="1332" t="s">
        <v>816</v>
      </c>
      <c r="G109" s="1332" t="s">
        <v>885</v>
      </c>
      <c r="H109" s="1332" t="s">
        <v>3942</v>
      </c>
      <c r="I109" s="651"/>
      <c r="J109" s="651"/>
      <c r="K109" s="651"/>
      <c r="L109" s="653" t="str">
        <f t="shared" si="67"/>
        <v>1762</v>
      </c>
      <c r="M109" s="654" t="str">
        <f t="shared" si="0"/>
        <v>AMEUBLEMENT &amp; INSTR.</v>
      </c>
      <c r="N109" s="655">
        <f>+IF(OR($Q109=Parametres!$G$2,$Q109=Parametres!$G$3),I109,C109)</f>
        <v>456874.49</v>
      </c>
      <c r="O109" s="655">
        <f>+IF(OR($Q109=Parametres!$G$2,$Q109=Parametres!$G$3),J109,D109)</f>
        <v>0</v>
      </c>
      <c r="P109" s="655">
        <f>+IF(OR($Q109=Parametres!$G$2,$Q109=Parametres!$G$3),K109,E109)</f>
        <v>456874.49</v>
      </c>
      <c r="Q109" s="654" t="str">
        <f t="shared" ref="Q109:S109" si="110">+F109</f>
        <v>2-Actifs</v>
      </c>
      <c r="R109" s="653" t="str">
        <f t="shared" si="110"/>
        <v>1700</v>
      </c>
      <c r="S109" s="654" t="str">
        <f t="shared" si="110"/>
        <v>_</v>
      </c>
      <c r="T109" s="656" t="str">
        <f>+VLOOKUP($L109,Data_Validation!$A:$D,1,0)</f>
        <v>1762</v>
      </c>
      <c r="U109" s="656" t="str">
        <f>+VLOOKUP($L109,Data_Validation!$A:$D,3,0)</f>
        <v>Bilan</v>
      </c>
      <c r="V109" s="656" t="str">
        <f>+VLOOKUP($L109,Data_Validation!$A:$D,4,0)</f>
        <v>Mobilier</v>
      </c>
      <c r="W109" s="656" t="str">
        <f>+VLOOKUP($L109,Data_Validation!$A:$E,5,0)</f>
        <v>$</v>
      </c>
      <c r="X109" s="656">
        <f>+VLOOKUP($L109,Data_Validation!$A:$F,6,0)</f>
        <v>0</v>
      </c>
    </row>
    <row r="110" spans="1:24" ht="15" customHeight="1">
      <c r="A110" s="1332" t="s">
        <v>892</v>
      </c>
      <c r="B110" s="1332" t="s">
        <v>1612</v>
      </c>
      <c r="C110" s="1334">
        <v>-428060.27</v>
      </c>
      <c r="D110" s="1334">
        <v>0</v>
      </c>
      <c r="E110" s="1334">
        <v>-428060.27</v>
      </c>
      <c r="F110" s="1332" t="s">
        <v>816</v>
      </c>
      <c r="G110" s="1332" t="s">
        <v>885</v>
      </c>
      <c r="H110" s="1332" t="s">
        <v>3942</v>
      </c>
      <c r="I110" s="651"/>
      <c r="J110" s="651"/>
      <c r="K110" s="651"/>
      <c r="L110" s="653" t="str">
        <f t="shared" si="67"/>
        <v>1763</v>
      </c>
      <c r="M110" s="654" t="str">
        <f t="shared" si="0"/>
        <v>AMORTISS.AMEUBL.INSTR.</v>
      </c>
      <c r="N110" s="655">
        <f>+IF(OR($Q110=Parametres!$G$2,$Q110=Parametres!$G$3),I110,C110)</f>
        <v>-428060.27</v>
      </c>
      <c r="O110" s="659">
        <f>+IF(OR($Q110=Parametres!$G$2,$Q110=Parametres!$G$3),J110,D110)</f>
        <v>0</v>
      </c>
      <c r="P110" s="655">
        <f>+IF(OR($Q110=Parametres!$G$2,$Q110=Parametres!$G$3),K110,E110)</f>
        <v>-428060.27</v>
      </c>
      <c r="Q110" s="654" t="str">
        <f t="shared" ref="Q110:S110" si="111">+F110</f>
        <v>2-Actifs</v>
      </c>
      <c r="R110" s="653" t="str">
        <f t="shared" si="111"/>
        <v>1700</v>
      </c>
      <c r="S110" s="654" t="str">
        <f t="shared" si="111"/>
        <v>_</v>
      </c>
      <c r="T110" s="656" t="str">
        <f>+VLOOKUP($L110,Data_Validation!$A:$D,1,0)</f>
        <v>1763</v>
      </c>
      <c r="U110" s="656" t="str">
        <f>+VLOOKUP($L110,Data_Validation!$A:$D,3,0)</f>
        <v>Bilan</v>
      </c>
      <c r="V110" s="656" t="str">
        <f>+VLOOKUP($L110,Data_Validation!$A:$D,4,0)</f>
        <v>Mobilier</v>
      </c>
      <c r="W110" s="656" t="str">
        <f>+VLOOKUP($L110,Data_Validation!$A:$E,5,0)</f>
        <v>$</v>
      </c>
      <c r="X110" s="656">
        <f>+VLOOKUP($L110,Data_Validation!$A:$F,6,0)</f>
        <v>0</v>
      </c>
    </row>
    <row r="111" spans="1:24" ht="15" customHeight="1">
      <c r="A111" s="1332" t="s">
        <v>893</v>
      </c>
      <c r="B111" s="1332" t="s">
        <v>1615</v>
      </c>
      <c r="C111" s="1334">
        <v>3987.88</v>
      </c>
      <c r="D111" s="1334">
        <v>0</v>
      </c>
      <c r="E111" s="1334">
        <v>3987.88</v>
      </c>
      <c r="F111" s="1332" t="s">
        <v>816</v>
      </c>
      <c r="G111" s="1332" t="s">
        <v>885</v>
      </c>
      <c r="H111" s="1332" t="s">
        <v>3942</v>
      </c>
      <c r="I111" s="651"/>
      <c r="J111" s="651"/>
      <c r="K111" s="651"/>
      <c r="L111" s="653" t="str">
        <f t="shared" si="67"/>
        <v>1772</v>
      </c>
      <c r="M111" s="654" t="str">
        <f t="shared" si="0"/>
        <v>VEHICULES DE CIE</v>
      </c>
      <c r="N111" s="655">
        <f>+IF(OR($Q111=Parametres!$G$2,$Q111=Parametres!$G$3),I111,C111)</f>
        <v>3987.88</v>
      </c>
      <c r="O111" s="655">
        <f>+IF(OR($Q111=Parametres!$G$2,$Q111=Parametres!$G$3),J111,D111)</f>
        <v>0</v>
      </c>
      <c r="P111" s="655">
        <f>+IF(OR($Q111=Parametres!$G$2,$Q111=Parametres!$G$3),K111,E111)</f>
        <v>3987.88</v>
      </c>
      <c r="Q111" s="654" t="str">
        <f t="shared" ref="Q111:S111" si="112">+F111</f>
        <v>2-Actifs</v>
      </c>
      <c r="R111" s="653" t="str">
        <f t="shared" si="112"/>
        <v>1700</v>
      </c>
      <c r="S111" s="654" t="str">
        <f t="shared" si="112"/>
        <v>_</v>
      </c>
      <c r="T111" s="656" t="str">
        <f>+VLOOKUP($L111,Data_Validation!$A:$D,1,0)</f>
        <v>1772</v>
      </c>
      <c r="U111" s="656" t="str">
        <f>+VLOOKUP($L111,Data_Validation!$A:$D,3,0)</f>
        <v>Bilan</v>
      </c>
      <c r="V111" s="656" t="str">
        <f>+VLOOKUP($L111,Data_Validation!$A:$D,4,0)</f>
        <v>Équipements Service</v>
      </c>
      <c r="W111" s="656" t="str">
        <f>+VLOOKUP($L111,Data_Validation!$A:$E,5,0)</f>
        <v>$</v>
      </c>
      <c r="X111" s="656">
        <f>+VLOOKUP($L111,Data_Validation!$A:$F,6,0)</f>
        <v>0</v>
      </c>
    </row>
    <row r="112" spans="1:24" ht="15" customHeight="1">
      <c r="A112" s="1332" t="s">
        <v>894</v>
      </c>
      <c r="B112" s="1332" t="s">
        <v>1618</v>
      </c>
      <c r="C112" s="1334">
        <v>-3987.88</v>
      </c>
      <c r="D112" s="1334">
        <v>0</v>
      </c>
      <c r="E112" s="1334">
        <v>-3987.88</v>
      </c>
      <c r="F112" s="1332" t="s">
        <v>816</v>
      </c>
      <c r="G112" s="1332" t="s">
        <v>885</v>
      </c>
      <c r="H112" s="1332" t="s">
        <v>3942</v>
      </c>
      <c r="I112" s="651"/>
      <c r="J112" s="651"/>
      <c r="K112" s="651"/>
      <c r="L112" s="653" t="str">
        <f t="shared" si="67"/>
        <v>1773</v>
      </c>
      <c r="M112" s="654" t="str">
        <f t="shared" si="0"/>
        <v>DEPRECIATION &amp; AMORT.</v>
      </c>
      <c r="N112" s="655">
        <f>+IF(OR($Q112=Parametres!$G$2,$Q112=Parametres!$G$3),I112,C112)</f>
        <v>-3987.88</v>
      </c>
      <c r="O112" s="655">
        <f>+IF(OR($Q112=Parametres!$G$2,$Q112=Parametres!$G$3),J112,D112)</f>
        <v>0</v>
      </c>
      <c r="P112" s="655">
        <f>+IF(OR($Q112=Parametres!$G$2,$Q112=Parametres!$G$3),K112,E112)</f>
        <v>-3987.88</v>
      </c>
      <c r="Q112" s="654" t="str">
        <f t="shared" ref="Q112:S112" si="113">+F112</f>
        <v>2-Actifs</v>
      </c>
      <c r="R112" s="653" t="str">
        <f t="shared" si="113"/>
        <v>1700</v>
      </c>
      <c r="S112" s="654" t="str">
        <f t="shared" si="113"/>
        <v>_</v>
      </c>
      <c r="T112" s="656" t="str">
        <f>+VLOOKUP($L112,Data_Validation!$A:$D,1,0)</f>
        <v>1773</v>
      </c>
      <c r="U112" s="656" t="str">
        <f>+VLOOKUP($L112,Data_Validation!$A:$D,3,0)</f>
        <v>Bilan</v>
      </c>
      <c r="V112" s="656" t="str">
        <f>+VLOOKUP($L112,Data_Validation!$A:$D,4,0)</f>
        <v>Équipements Service</v>
      </c>
      <c r="W112" s="656" t="str">
        <f>+VLOOKUP($L112,Data_Validation!$A:$E,5,0)</f>
        <v>$</v>
      </c>
      <c r="X112" s="656">
        <f>+VLOOKUP($L112,Data_Validation!$A:$F,6,0)</f>
        <v>0</v>
      </c>
    </row>
    <row r="113" spans="1:24" ht="15.75" customHeight="1">
      <c r="A113" s="1332" t="s">
        <v>895</v>
      </c>
      <c r="B113" s="1332" t="s">
        <v>1621</v>
      </c>
      <c r="C113" s="1334">
        <v>189957.05</v>
      </c>
      <c r="D113" s="1334">
        <v>0</v>
      </c>
      <c r="E113" s="1334">
        <v>189957.05</v>
      </c>
      <c r="F113" s="1332" t="s">
        <v>816</v>
      </c>
      <c r="G113" s="1332" t="s">
        <v>885</v>
      </c>
      <c r="H113" s="1332" t="s">
        <v>3942</v>
      </c>
      <c r="I113" s="651"/>
      <c r="J113" s="651"/>
      <c r="K113" s="651"/>
      <c r="L113" s="653" t="str">
        <f t="shared" si="67"/>
        <v>1786</v>
      </c>
      <c r="M113" s="654" t="str">
        <f t="shared" si="0"/>
        <v>EQUIPEMENT INFORMATIQUE</v>
      </c>
      <c r="N113" s="655">
        <f>+IF(OR($Q113=Parametres!$G$2,$Q113=Parametres!$G$3),I113,C113)</f>
        <v>189957.05</v>
      </c>
      <c r="O113" s="655">
        <f>+IF(OR($Q113=Parametres!$G$2,$Q113=Parametres!$G$3),J113,D113)</f>
        <v>0</v>
      </c>
      <c r="P113" s="655">
        <f>+IF(OR($Q113=Parametres!$G$2,$Q113=Parametres!$G$3),K113,E113)</f>
        <v>189957.05</v>
      </c>
      <c r="Q113" s="654" t="str">
        <f t="shared" ref="Q113:S113" si="114">+F113</f>
        <v>2-Actifs</v>
      </c>
      <c r="R113" s="653" t="str">
        <f t="shared" si="114"/>
        <v>1700</v>
      </c>
      <c r="S113" s="654" t="str">
        <f t="shared" si="114"/>
        <v>_</v>
      </c>
      <c r="T113" s="656" t="str">
        <f>+VLOOKUP($L113,Data_Validation!$A:$D,1,0)</f>
        <v>1786</v>
      </c>
      <c r="U113" s="656" t="str">
        <f>+VLOOKUP($L113,Data_Validation!$A:$D,3,0)</f>
        <v>Bilan</v>
      </c>
      <c r="V113" s="656" t="str">
        <f>+VLOOKUP($L113,Data_Validation!$A:$D,4,0)</f>
        <v>Équipements Informatique</v>
      </c>
      <c r="W113" s="656" t="str">
        <f>+VLOOKUP($L113,Data_Validation!$A:$E,5,0)</f>
        <v>$</v>
      </c>
      <c r="X113" s="656">
        <f>+VLOOKUP($L113,Data_Validation!$A:$F,6,0)</f>
        <v>0</v>
      </c>
    </row>
    <row r="114" spans="1:24" ht="15" customHeight="1">
      <c r="A114" s="1332" t="s">
        <v>896</v>
      </c>
      <c r="B114" s="1332" t="s">
        <v>1624</v>
      </c>
      <c r="C114" s="1334">
        <v>-166618.79</v>
      </c>
      <c r="D114" s="1334">
        <v>0</v>
      </c>
      <c r="E114" s="1334">
        <v>-166618.79</v>
      </c>
      <c r="F114" s="1332" t="s">
        <v>816</v>
      </c>
      <c r="G114" s="1332" t="s">
        <v>885</v>
      </c>
      <c r="H114" s="1332" t="s">
        <v>3942</v>
      </c>
      <c r="I114" s="651"/>
      <c r="J114" s="651"/>
      <c r="K114" s="651"/>
      <c r="L114" s="653" t="str">
        <f t="shared" si="67"/>
        <v>1787</v>
      </c>
      <c r="M114" s="654" t="str">
        <f t="shared" si="0"/>
        <v>AMORTISS.EQUIP.INFORMATIQUES</v>
      </c>
      <c r="N114" s="655">
        <f>+IF(OR($Q114=Parametres!$G$2,$Q114=Parametres!$G$3),I114,C114)</f>
        <v>-166618.79</v>
      </c>
      <c r="O114" s="655">
        <f>+IF(OR($Q114=Parametres!$G$2,$Q114=Parametres!$G$3),J114,D114)</f>
        <v>0</v>
      </c>
      <c r="P114" s="655">
        <f>+IF(OR($Q114=Parametres!$G$2,$Q114=Parametres!$G$3),K114,E114)</f>
        <v>-166618.79</v>
      </c>
      <c r="Q114" s="654" t="str">
        <f t="shared" ref="Q114:S114" si="115">+F114</f>
        <v>2-Actifs</v>
      </c>
      <c r="R114" s="653" t="str">
        <f t="shared" si="115"/>
        <v>1700</v>
      </c>
      <c r="S114" s="654" t="str">
        <f t="shared" si="115"/>
        <v>_</v>
      </c>
      <c r="T114" s="656" t="str">
        <f>+VLOOKUP($L114,Data_Validation!$A:$D,1,0)</f>
        <v>1787</v>
      </c>
      <c r="U114" s="656" t="str">
        <f>+VLOOKUP($L114,Data_Validation!$A:$D,3,0)</f>
        <v>Bilan</v>
      </c>
      <c r="V114" s="656" t="str">
        <f>+VLOOKUP($L114,Data_Validation!$A:$D,4,0)</f>
        <v>Équipements Informatique</v>
      </c>
      <c r="W114" s="656" t="str">
        <f>+VLOOKUP($L114,Data_Validation!$A:$E,5,0)</f>
        <v>$</v>
      </c>
      <c r="X114" s="656">
        <f>+VLOOKUP($L114,Data_Validation!$A:$F,6,0)</f>
        <v>0</v>
      </c>
    </row>
    <row r="115" spans="1:24" ht="15" customHeight="1">
      <c r="A115" s="1332" t="s">
        <v>897</v>
      </c>
      <c r="B115" s="1332" t="s">
        <v>1627</v>
      </c>
      <c r="C115" s="1334">
        <v>126772.66</v>
      </c>
      <c r="D115" s="1334">
        <v>10347.469999999999</v>
      </c>
      <c r="E115" s="1334">
        <v>137120.13</v>
      </c>
      <c r="F115" s="1332" t="s">
        <v>816</v>
      </c>
      <c r="G115" s="1332" t="s">
        <v>885</v>
      </c>
      <c r="H115" s="1332" t="s">
        <v>3942</v>
      </c>
      <c r="I115" s="652"/>
      <c r="J115" s="652"/>
      <c r="K115" s="652"/>
      <c r="L115" s="653" t="str">
        <f t="shared" si="67"/>
        <v>1792</v>
      </c>
      <c r="M115" s="654" t="str">
        <f t="shared" si="0"/>
        <v>ENSEIGNES</v>
      </c>
      <c r="N115" s="655">
        <f>+IF(OR($Q115=Parametres!$G$2,$Q115=Parametres!$G$3),I115,C115)</f>
        <v>126772.66</v>
      </c>
      <c r="O115" s="655">
        <f>+IF(OR($Q115=Parametres!$G$2,$Q115=Parametres!$G$3),J115,D115)</f>
        <v>10347.469999999999</v>
      </c>
      <c r="P115" s="655">
        <f>+IF(OR($Q115=Parametres!$G$2,$Q115=Parametres!$G$3),K115,E115)</f>
        <v>137120.13</v>
      </c>
      <c r="Q115" s="654" t="str">
        <f t="shared" ref="Q115:S115" si="116">+F115</f>
        <v>2-Actifs</v>
      </c>
      <c r="R115" s="653" t="str">
        <f t="shared" si="116"/>
        <v>1700</v>
      </c>
      <c r="S115" s="654" t="str">
        <f t="shared" si="116"/>
        <v>_</v>
      </c>
      <c r="T115" s="656" t="str">
        <f>+VLOOKUP($L115,Data_Validation!$A:$D,1,0)</f>
        <v>1792</v>
      </c>
      <c r="U115" s="656" t="str">
        <f>+VLOOKUP($L115,Data_Validation!$A:$D,3,0)</f>
        <v>Bilan</v>
      </c>
      <c r="V115" s="656" t="str">
        <f>+VLOOKUP($L115,Data_Validation!$A:$D,4,0)</f>
        <v>Enseigne</v>
      </c>
      <c r="W115" s="656" t="str">
        <f>+VLOOKUP($L115,Data_Validation!$A:$E,5,0)</f>
        <v>$</v>
      </c>
      <c r="X115" s="656">
        <f>+VLOOKUP($L115,Data_Validation!$A:$F,6,0)</f>
        <v>0</v>
      </c>
    </row>
    <row r="116" spans="1:24" ht="15" customHeight="1">
      <c r="A116" s="1332" t="s">
        <v>898</v>
      </c>
      <c r="B116" s="1332" t="s">
        <v>1630</v>
      </c>
      <c r="C116" s="1334">
        <v>-119700.42</v>
      </c>
      <c r="D116" s="1334">
        <v>0</v>
      </c>
      <c r="E116" s="1334">
        <v>-119700.42</v>
      </c>
      <c r="F116" s="1332" t="s">
        <v>816</v>
      </c>
      <c r="G116" s="1332" t="s">
        <v>885</v>
      </c>
      <c r="H116" s="1332" t="s">
        <v>3942</v>
      </c>
      <c r="I116" s="652"/>
      <c r="J116" s="652"/>
      <c r="K116" s="652"/>
      <c r="L116" s="653" t="str">
        <f t="shared" si="67"/>
        <v>1793</v>
      </c>
      <c r="M116" s="654" t="str">
        <f t="shared" si="0"/>
        <v>AMORT. CUM. ENSEIGNES</v>
      </c>
      <c r="N116" s="655">
        <f>+IF(OR($Q116=Parametres!$G$2,$Q116=Parametres!$G$3),I116,C116)</f>
        <v>-119700.42</v>
      </c>
      <c r="O116" s="655">
        <f>+IF(OR($Q116=Parametres!$G$2,$Q116=Parametres!$G$3),J116,D116)</f>
        <v>0</v>
      </c>
      <c r="P116" s="655">
        <f>+IF(OR($Q116=Parametres!$G$2,$Q116=Parametres!$G$3),K116,E116)</f>
        <v>-119700.42</v>
      </c>
      <c r="Q116" s="654" t="str">
        <f t="shared" ref="Q116:S116" si="117">+F116</f>
        <v>2-Actifs</v>
      </c>
      <c r="R116" s="653" t="str">
        <f t="shared" si="117"/>
        <v>1700</v>
      </c>
      <c r="S116" s="654" t="str">
        <f t="shared" si="117"/>
        <v>_</v>
      </c>
      <c r="T116" s="656" t="str">
        <f>+VLOOKUP($L116,Data_Validation!$A:$D,1,0)</f>
        <v>1793</v>
      </c>
      <c r="U116" s="656" t="str">
        <f>+VLOOKUP($L116,Data_Validation!$A:$D,3,0)</f>
        <v>Bilan</v>
      </c>
      <c r="V116" s="656" t="str">
        <f>+VLOOKUP($L116,Data_Validation!$A:$D,4,0)</f>
        <v>Enseigne</v>
      </c>
      <c r="W116" s="656" t="str">
        <f>+VLOOKUP($L116,Data_Validation!$A:$E,5,0)</f>
        <v>$</v>
      </c>
      <c r="X116" s="656">
        <f>+VLOOKUP($L116,Data_Validation!$A:$F,6,0)</f>
        <v>0</v>
      </c>
    </row>
    <row r="117" spans="1:24" ht="15.75" customHeight="1">
      <c r="A117" s="1332" t="s">
        <v>3334</v>
      </c>
      <c r="B117" s="1332" t="s">
        <v>899</v>
      </c>
      <c r="C117" s="1334">
        <v>0</v>
      </c>
      <c r="D117" s="1334">
        <v>9630258.0500000007</v>
      </c>
      <c r="E117" s="1334">
        <v>9630258.0500000007</v>
      </c>
      <c r="F117" s="1332" t="s">
        <v>816</v>
      </c>
      <c r="G117" s="1332" t="s">
        <v>899</v>
      </c>
      <c r="H117" s="1332" t="s">
        <v>3942</v>
      </c>
      <c r="I117" s="652"/>
      <c r="J117" s="652"/>
      <c r="K117" s="652"/>
      <c r="L117" s="653" t="str">
        <f t="shared" si="67"/>
        <v>1804</v>
      </c>
      <c r="M117" s="654" t="str">
        <f t="shared" si="0"/>
        <v>AVANCES COMPLEXE INTERCO</v>
      </c>
      <c r="N117" s="655">
        <f>+IF(OR($Q117=Parametres!$G$2,$Q117=Parametres!$G$3),I117,C117)</f>
        <v>0</v>
      </c>
      <c r="O117" s="655">
        <f>+IF(OR($Q117=Parametres!$G$2,$Q117=Parametres!$G$3),J117,D117)</f>
        <v>9630258.0500000007</v>
      </c>
      <c r="P117" s="655">
        <f>+IF(OR($Q117=Parametres!$G$2,$Q117=Parametres!$G$3),K117,E117)</f>
        <v>9630258.0500000007</v>
      </c>
      <c r="Q117" s="654" t="str">
        <f t="shared" ref="Q117:S117" si="118">+F117</f>
        <v>2-Actifs</v>
      </c>
      <c r="R117" s="653" t="str">
        <f t="shared" si="118"/>
        <v>1804</v>
      </c>
      <c r="S117" s="654" t="str">
        <f t="shared" si="118"/>
        <v>_</v>
      </c>
      <c r="T117" s="656" t="str">
        <f>+VLOOKUP($L117,Data_Validation!$A:$D,1,0)</f>
        <v>1804</v>
      </c>
      <c r="U117" s="656" t="str">
        <f>+VLOOKUP($L117,Data_Validation!$A:$D,3,0)</f>
        <v>Bilan</v>
      </c>
      <c r="V117" s="656" t="str">
        <f>+VLOOKUP($L117,Data_Validation!$A:$D,4,0)</f>
        <v>Avances à Recevoir Long Terme</v>
      </c>
      <c r="W117" s="656" t="str">
        <f>+VLOOKUP($L117,Data_Validation!$A:$E,5,0)</f>
        <v>$</v>
      </c>
      <c r="X117" s="656">
        <f>+VLOOKUP($L117,Data_Validation!$A:$F,6,0)</f>
        <v>0</v>
      </c>
    </row>
    <row r="118" spans="1:24" ht="15" customHeight="1">
      <c r="A118" s="1332" t="s">
        <v>3963</v>
      </c>
      <c r="B118" s="1332" t="s">
        <v>3372</v>
      </c>
      <c r="C118" s="1334">
        <v>0</v>
      </c>
      <c r="D118" s="1334">
        <v>-952444</v>
      </c>
      <c r="E118" s="1334">
        <v>-952444</v>
      </c>
      <c r="F118" s="1332" t="s">
        <v>816</v>
      </c>
      <c r="G118" s="1332" t="s">
        <v>899</v>
      </c>
      <c r="H118" s="1332" t="s">
        <v>3942</v>
      </c>
      <c r="I118" s="663"/>
      <c r="J118" s="663"/>
      <c r="K118" s="663"/>
      <c r="L118" s="653" t="str">
        <f t="shared" si="67"/>
        <v>1805</v>
      </c>
      <c r="M118" s="654" t="str">
        <f t="shared" si="0"/>
        <v>AVANCES GPA INTERCO</v>
      </c>
      <c r="N118" s="655">
        <f>+IF(OR($Q118=Parametres!$G$2,$Q118=Parametres!$G$3),I118,C118)</f>
        <v>0</v>
      </c>
      <c r="O118" s="655">
        <f>+IF(OR($Q118=Parametres!$G$2,$Q118=Parametres!$G$3),J118,D118)</f>
        <v>-952444</v>
      </c>
      <c r="P118" s="655">
        <f>+IF(OR($Q118=Parametres!$G$2,$Q118=Parametres!$G$3),K118,E118)</f>
        <v>-952444</v>
      </c>
      <c r="Q118" s="654" t="str">
        <f t="shared" ref="Q118:S118" si="119">+F118</f>
        <v>2-Actifs</v>
      </c>
      <c r="R118" s="653" t="str">
        <f t="shared" si="119"/>
        <v>1804</v>
      </c>
      <c r="S118" s="654" t="str">
        <f t="shared" si="119"/>
        <v>_</v>
      </c>
      <c r="T118" s="656" t="str">
        <f>+VLOOKUP($L118,Data_Validation!$A:$D,1,0)</f>
        <v>1805</v>
      </c>
      <c r="U118" s="656" t="str">
        <f>+VLOOKUP($L118,Data_Validation!$A:$D,3,0)</f>
        <v>Bilan</v>
      </c>
      <c r="V118" s="656" t="str">
        <f>+VLOOKUP($L118,Data_Validation!$A:$D,4,0)</f>
        <v>Avances à Recevoir Long Terme</v>
      </c>
      <c r="W118" s="656" t="str">
        <f>+VLOOKUP($L118,Data_Validation!$A:$E,5,0)</f>
        <v>$</v>
      </c>
      <c r="X118" s="656">
        <f>+VLOOKUP($L118,Data_Validation!$A:$F,6,0)</f>
        <v>0</v>
      </c>
    </row>
    <row r="119" spans="1:24" ht="15" customHeight="1">
      <c r="A119" s="1332" t="s">
        <v>900</v>
      </c>
      <c r="B119" s="1332" t="s">
        <v>1635</v>
      </c>
      <c r="C119" s="1334">
        <v>0</v>
      </c>
      <c r="D119" s="1334">
        <v>1811.63</v>
      </c>
      <c r="E119" s="1334">
        <v>1811.63</v>
      </c>
      <c r="F119" s="1332" t="s">
        <v>816</v>
      </c>
      <c r="G119" s="1332" t="s">
        <v>821</v>
      </c>
      <c r="H119" s="1332" t="s">
        <v>3942</v>
      </c>
      <c r="I119" s="652"/>
      <c r="J119" s="652"/>
      <c r="K119" s="652"/>
      <c r="L119" s="653" t="str">
        <f t="shared" si="67"/>
        <v>1806</v>
      </c>
      <c r="M119" s="654" t="str">
        <f t="shared" si="0"/>
        <v>FINANCEMENT RECEVABLE</v>
      </c>
      <c r="N119" s="655">
        <f>+IF(OR($Q119=Parametres!$G$2,$Q119=Parametres!$G$3),I119,C119)</f>
        <v>0</v>
      </c>
      <c r="O119" s="655">
        <f>+IF(OR($Q119=Parametres!$G$2,$Q119=Parametres!$G$3),J119,D119)</f>
        <v>1811.63</v>
      </c>
      <c r="P119" s="655">
        <f>+IF(OR($Q119=Parametres!$G$2,$Q119=Parametres!$G$3),K119,E119)</f>
        <v>1811.63</v>
      </c>
      <c r="Q119" s="654" t="str">
        <f t="shared" ref="Q119:S119" si="120">+F119</f>
        <v>2-Actifs</v>
      </c>
      <c r="R119" s="653" t="str">
        <f t="shared" si="120"/>
        <v>1382</v>
      </c>
      <c r="S119" s="654" t="str">
        <f t="shared" si="120"/>
        <v>_</v>
      </c>
      <c r="T119" s="656" t="str">
        <f>+VLOOKUP($L119,Data_Validation!$A:$D,1,0)</f>
        <v>1806</v>
      </c>
      <c r="U119" s="656" t="str">
        <f>+VLOOKUP($L119,Data_Validation!$A:$D,3,0)</f>
        <v>Bilan</v>
      </c>
      <c r="V119" s="656" t="str">
        <f>+VLOOKUP($L119,Data_Validation!$A:$D,4,0)</f>
        <v>Recevables Autres</v>
      </c>
      <c r="W119" s="656" t="str">
        <f>+VLOOKUP($L119,Data_Validation!$A:$E,5,0)</f>
        <v>$</v>
      </c>
      <c r="X119" s="656">
        <f>+VLOOKUP($L119,Data_Validation!$A:$F,6,0)</f>
        <v>0</v>
      </c>
    </row>
    <row r="120" spans="1:24" ht="15" customHeight="1">
      <c r="A120" s="1332" t="s">
        <v>3957</v>
      </c>
      <c r="B120" s="1332" t="s">
        <v>3958</v>
      </c>
      <c r="C120" s="1334">
        <v>5900000</v>
      </c>
      <c r="D120" s="1334">
        <v>-5900000</v>
      </c>
      <c r="E120" s="1334">
        <v>0</v>
      </c>
      <c r="F120" s="1332" t="s">
        <v>816</v>
      </c>
      <c r="G120" s="1332" t="s">
        <v>3958</v>
      </c>
      <c r="H120" s="1332" t="s">
        <v>3942</v>
      </c>
      <c r="I120" s="652"/>
      <c r="J120" s="652"/>
      <c r="K120" s="652"/>
      <c r="L120" s="653" t="str">
        <f t="shared" si="67"/>
        <v>1814</v>
      </c>
      <c r="M120" s="654" t="str">
        <f t="shared" si="0"/>
        <v>ACHALANDAGE</v>
      </c>
      <c r="N120" s="655">
        <f>+IF(OR($Q120=Parametres!$G$2,$Q120=Parametres!$G$3),I120,C120)</f>
        <v>5900000</v>
      </c>
      <c r="O120" s="655">
        <f>+IF(OR($Q120=Parametres!$G$2,$Q120=Parametres!$G$3),J120,D120)</f>
        <v>-5900000</v>
      </c>
      <c r="P120" s="655">
        <f>+IF(OR($Q120=Parametres!$G$2,$Q120=Parametres!$G$3),K120,E120)</f>
        <v>0</v>
      </c>
      <c r="Q120" s="654" t="str">
        <f t="shared" ref="Q120:S120" si="121">+F120</f>
        <v>2-Actifs</v>
      </c>
      <c r="R120" s="653" t="str">
        <f t="shared" si="121"/>
        <v>1814</v>
      </c>
      <c r="S120" s="654" t="str">
        <f t="shared" si="121"/>
        <v>_</v>
      </c>
      <c r="T120" s="656" t="str">
        <f>+VLOOKUP($L120,Data_Validation!$A:$D,1,0)</f>
        <v>1814</v>
      </c>
      <c r="U120" s="656" t="str">
        <f>+VLOOKUP($L120,Data_Validation!$A:$D,3,0)</f>
        <v>Bilan</v>
      </c>
      <c r="V120" s="656" t="str">
        <f>+VLOOKUP($L120,Data_Validation!$A:$D,4,0)</f>
        <v>Achalandage</v>
      </c>
      <c r="W120" s="656" t="str">
        <f>+VLOOKUP($L120,Data_Validation!$A:$E,5,0)</f>
        <v>$</v>
      </c>
      <c r="X120" s="656">
        <f>+VLOOKUP($L120,Data_Validation!$A:$F,6,0)</f>
        <v>0</v>
      </c>
    </row>
    <row r="121" spans="1:24" ht="15" customHeight="1">
      <c r="A121" s="1332" t="s">
        <v>901</v>
      </c>
      <c r="B121" s="1332" t="s">
        <v>903</v>
      </c>
      <c r="C121" s="1334">
        <v>-9050350.0500000007</v>
      </c>
      <c r="D121" s="1334">
        <v>-818173.65</v>
      </c>
      <c r="E121" s="1334">
        <v>-9868523.6999999993</v>
      </c>
      <c r="F121" s="1332" t="s">
        <v>902</v>
      </c>
      <c r="G121" s="1332" t="s">
        <v>903</v>
      </c>
      <c r="H121" s="1332" t="s">
        <v>3942</v>
      </c>
      <c r="I121" s="651"/>
      <c r="J121" s="651"/>
      <c r="K121" s="651"/>
      <c r="L121" s="653" t="str">
        <f t="shared" si="67"/>
        <v>2101</v>
      </c>
      <c r="M121" s="654" t="str">
        <f t="shared" si="0"/>
        <v>NOTE A PAYER VEH. NEUFS VOLKS</v>
      </c>
      <c r="N121" s="655">
        <f>+IF(OR($Q121=Parametres!$G$2,$Q121=Parametres!$G$3),I121,C121)</f>
        <v>-9050350.0500000007</v>
      </c>
      <c r="O121" s="659">
        <f>+IF(OR($Q121=Parametres!$G$2,$Q121=Parametres!$G$3),J121,D121)</f>
        <v>-818173.65</v>
      </c>
      <c r="P121" s="655">
        <f>+IF(OR($Q121=Parametres!$G$2,$Q121=Parametres!$G$3),K121,E121)</f>
        <v>-9868523.6999999993</v>
      </c>
      <c r="Q121" s="654" t="str">
        <f t="shared" ref="Q121:S121" si="122">+F121</f>
        <v>3-Passifs</v>
      </c>
      <c r="R121" s="653" t="str">
        <f t="shared" si="122"/>
        <v>2101</v>
      </c>
      <c r="S121" s="654" t="str">
        <f t="shared" si="122"/>
        <v>_</v>
      </c>
      <c r="T121" s="656" t="str">
        <f>+VLOOKUP($L121,Data_Validation!$A:$D,1,0)</f>
        <v>2101</v>
      </c>
      <c r="U121" s="656" t="str">
        <f>+VLOOKUP($L121,Data_Validation!$A:$D,3,0)</f>
        <v>Bilan</v>
      </c>
      <c r="V121" s="656" t="str">
        <f>+VLOOKUP($L121,Data_Validation!$A:$D,4,0)</f>
        <v>Effet à Payer Véhicules Neufs</v>
      </c>
      <c r="W121" s="656" t="str">
        <f>+VLOOKUP($L121,Data_Validation!$A:$E,5,0)</f>
        <v>$</v>
      </c>
      <c r="X121" s="656">
        <f>+VLOOKUP($L121,Data_Validation!$A:$F,6,0)</f>
        <v>0</v>
      </c>
    </row>
    <row r="122" spans="1:24" ht="15" customHeight="1">
      <c r="A122" s="1332" t="s">
        <v>904</v>
      </c>
      <c r="B122" s="1332" t="s">
        <v>905</v>
      </c>
      <c r="C122" s="1334">
        <v>-352221.38</v>
      </c>
      <c r="D122" s="1334">
        <v>-344188.59</v>
      </c>
      <c r="E122" s="1334">
        <v>-696409.97</v>
      </c>
      <c r="F122" s="1332" t="s">
        <v>902</v>
      </c>
      <c r="G122" s="1332" t="s">
        <v>905</v>
      </c>
      <c r="H122" s="1332" t="s">
        <v>3942</v>
      </c>
      <c r="I122" s="652"/>
      <c r="J122" s="652"/>
      <c r="K122" s="652"/>
      <c r="L122" s="653" t="str">
        <f t="shared" si="67"/>
        <v>2103</v>
      </c>
      <c r="M122" s="654" t="str">
        <f t="shared" si="0"/>
        <v>NOTE PAYABLE-FIN. VEH. USAG.</v>
      </c>
      <c r="N122" s="655">
        <f>+IF(OR($Q122=Parametres!$G$2,$Q122=Parametres!$G$3),I122,C122)</f>
        <v>-352221.38</v>
      </c>
      <c r="O122" s="655">
        <f>+IF(OR($Q122=Parametres!$G$2,$Q122=Parametres!$G$3),J122,D122)</f>
        <v>-344188.59</v>
      </c>
      <c r="P122" s="655">
        <f>+IF(OR($Q122=Parametres!$G$2,$Q122=Parametres!$G$3),K122,E122)</f>
        <v>-696409.97</v>
      </c>
      <c r="Q122" s="654" t="str">
        <f t="shared" ref="Q122:S122" si="123">+F122</f>
        <v>3-Passifs</v>
      </c>
      <c r="R122" s="653" t="str">
        <f t="shared" si="123"/>
        <v>2103</v>
      </c>
      <c r="S122" s="654" t="str">
        <f t="shared" si="123"/>
        <v>_</v>
      </c>
      <c r="T122" s="656" t="str">
        <f>+VLOOKUP($L122,Data_Validation!$A:$D,1,0)</f>
        <v>2103</v>
      </c>
      <c r="U122" s="656" t="str">
        <f>+VLOOKUP($L122,Data_Validation!$A:$D,3,0)</f>
        <v>Bilan</v>
      </c>
      <c r="V122" s="656" t="str">
        <f>+VLOOKUP($L122,Data_Validation!$A:$D,4,0)</f>
        <v>Effet à Payer Véhicules Usagés</v>
      </c>
      <c r="W122" s="656" t="str">
        <f>+VLOOKUP($L122,Data_Validation!$A:$E,5,0)</f>
        <v>$</v>
      </c>
      <c r="X122" s="656">
        <f>+VLOOKUP($L122,Data_Validation!$A:$F,6,0)</f>
        <v>0</v>
      </c>
    </row>
    <row r="123" spans="1:24" ht="15.75" customHeight="1">
      <c r="A123" s="1332" t="s">
        <v>910</v>
      </c>
      <c r="B123" s="1332" t="s">
        <v>911</v>
      </c>
      <c r="C123" s="1334">
        <v>-206075.17</v>
      </c>
      <c r="D123" s="1334">
        <v>113371.64</v>
      </c>
      <c r="E123" s="1334">
        <v>-92703.53</v>
      </c>
      <c r="F123" s="1332" t="s">
        <v>902</v>
      </c>
      <c r="G123" s="1332" t="s">
        <v>911</v>
      </c>
      <c r="H123" s="1332" t="s">
        <v>3942</v>
      </c>
      <c r="I123" s="651"/>
      <c r="J123" s="651"/>
      <c r="K123" s="651"/>
      <c r="L123" s="653" t="str">
        <f t="shared" si="67"/>
        <v>2221</v>
      </c>
      <c r="M123" s="654" t="str">
        <f t="shared" si="0"/>
        <v>TVQ A PAYER</v>
      </c>
      <c r="N123" s="655">
        <f>+IF(OR($Q123=Parametres!$G$2,$Q123=Parametres!$G$3),I123,C123)</f>
        <v>-206075.17</v>
      </c>
      <c r="O123" s="659">
        <f>+IF(OR($Q123=Parametres!$G$2,$Q123=Parametres!$G$3),J123,D123)</f>
        <v>113371.64</v>
      </c>
      <c r="P123" s="655">
        <f>+IF(OR($Q123=Parametres!$G$2,$Q123=Parametres!$G$3),K123,E123)</f>
        <v>-92703.53</v>
      </c>
      <c r="Q123" s="654" t="str">
        <f t="shared" ref="Q123:S123" si="124">+F123</f>
        <v>3-Passifs</v>
      </c>
      <c r="R123" s="653" t="str">
        <f t="shared" si="124"/>
        <v>2221</v>
      </c>
      <c r="S123" s="654" t="str">
        <f t="shared" si="124"/>
        <v>_</v>
      </c>
      <c r="T123" s="656" t="str">
        <f>+VLOOKUP($L123,Data_Validation!$A:$D,1,0)</f>
        <v>2221</v>
      </c>
      <c r="U123" s="656" t="str">
        <f>+VLOOKUP($L123,Data_Validation!$A:$D,3,0)</f>
        <v>Bilan</v>
      </c>
      <c r="V123" s="656" t="str">
        <f>+VLOOKUP($L123,Data_Validation!$A:$D,4,0)</f>
        <v>Taxes de Vente à Payer</v>
      </c>
      <c r="W123" s="656" t="str">
        <f>+VLOOKUP($L123,Data_Validation!$A:$E,5,0)</f>
        <v>$</v>
      </c>
      <c r="X123" s="656">
        <f>+VLOOKUP($L123,Data_Validation!$A:$F,6,0)</f>
        <v>0</v>
      </c>
    </row>
    <row r="124" spans="1:24" ht="15" customHeight="1">
      <c r="A124" s="1332" t="s">
        <v>912</v>
      </c>
      <c r="B124" s="1332" t="s">
        <v>1652</v>
      </c>
      <c r="C124" s="1334">
        <v>147269.56</v>
      </c>
      <c r="D124" s="1334">
        <v>-66469.14</v>
      </c>
      <c r="E124" s="1334">
        <v>80800.42</v>
      </c>
      <c r="F124" s="1332" t="s">
        <v>902</v>
      </c>
      <c r="G124" s="1332" t="s">
        <v>911</v>
      </c>
      <c r="H124" s="1332" t="s">
        <v>3942</v>
      </c>
      <c r="I124" s="652"/>
      <c r="J124" s="652"/>
      <c r="K124" s="652"/>
      <c r="L124" s="653" t="str">
        <f t="shared" si="67"/>
        <v>2222</v>
      </c>
      <c r="M124" s="654" t="str">
        <f t="shared" si="0"/>
        <v>TVQ A RECEVOIR</v>
      </c>
      <c r="N124" s="655">
        <f>+IF(OR($Q124=Parametres!$G$2,$Q124=Parametres!$G$3),I124,C124)</f>
        <v>147269.56</v>
      </c>
      <c r="O124" s="655">
        <f>+IF(OR($Q124=Parametres!$G$2,$Q124=Parametres!$G$3),J124,D124)</f>
        <v>-66469.14</v>
      </c>
      <c r="P124" s="655">
        <f>+IF(OR($Q124=Parametres!$G$2,$Q124=Parametres!$G$3),K124,E124)</f>
        <v>80800.42</v>
      </c>
      <c r="Q124" s="654" t="str">
        <f t="shared" ref="Q124:S124" si="125">+F124</f>
        <v>3-Passifs</v>
      </c>
      <c r="R124" s="653" t="str">
        <f t="shared" si="125"/>
        <v>2221</v>
      </c>
      <c r="S124" s="654" t="str">
        <f t="shared" si="125"/>
        <v>_</v>
      </c>
      <c r="T124" s="656" t="str">
        <f>+VLOOKUP($L124,Data_Validation!$A:$D,1,0)</f>
        <v>2222</v>
      </c>
      <c r="U124" s="656" t="str">
        <f>+VLOOKUP($L124,Data_Validation!$A:$D,3,0)</f>
        <v>Bilan</v>
      </c>
      <c r="V124" s="656" t="str">
        <f>+VLOOKUP($L124,Data_Validation!$A:$D,4,0)</f>
        <v>Taxes de Vente à Payer</v>
      </c>
      <c r="W124" s="656" t="str">
        <f>+VLOOKUP($L124,Data_Validation!$A:$E,5,0)</f>
        <v>$</v>
      </c>
      <c r="X124" s="656">
        <f>+VLOOKUP($L124,Data_Validation!$A:$F,6,0)</f>
        <v>0</v>
      </c>
    </row>
    <row r="125" spans="1:24" ht="15" customHeight="1">
      <c r="A125" s="1332" t="s">
        <v>913</v>
      </c>
      <c r="B125" s="1332" t="s">
        <v>914</v>
      </c>
      <c r="C125" s="1334">
        <v>-484347.39</v>
      </c>
      <c r="D125" s="1334">
        <v>152872.99</v>
      </c>
      <c r="E125" s="1334">
        <v>-331474.40000000002</v>
      </c>
      <c r="F125" s="1332" t="s">
        <v>902</v>
      </c>
      <c r="G125" s="1332" t="s">
        <v>914</v>
      </c>
      <c r="H125" s="1332" t="s">
        <v>3942</v>
      </c>
      <c r="I125" s="651"/>
      <c r="J125" s="651"/>
      <c r="K125" s="651"/>
      <c r="L125" s="653" t="str">
        <f t="shared" si="67"/>
        <v>2223</v>
      </c>
      <c r="M125" s="654" t="str">
        <f t="shared" si="0"/>
        <v>TPS A PAYER</v>
      </c>
      <c r="N125" s="655">
        <f>+IF(OR($Q125=Parametres!$G$2,$Q125=Parametres!$G$3),I125,C125)</f>
        <v>-484347.39</v>
      </c>
      <c r="O125" s="655">
        <f>+IF(OR($Q125=Parametres!$G$2,$Q125=Parametres!$G$3),J125,D125)</f>
        <v>152872.99</v>
      </c>
      <c r="P125" s="655">
        <f>+IF(OR($Q125=Parametres!$G$2,$Q125=Parametres!$G$3),K125,E125)</f>
        <v>-331474.40000000002</v>
      </c>
      <c r="Q125" s="654" t="str">
        <f t="shared" ref="Q125:S125" si="126">+F125</f>
        <v>3-Passifs</v>
      </c>
      <c r="R125" s="653" t="str">
        <f t="shared" si="126"/>
        <v>2223</v>
      </c>
      <c r="S125" s="654" t="str">
        <f t="shared" si="126"/>
        <v>_</v>
      </c>
      <c r="T125" s="656" t="str">
        <f>+VLOOKUP($L125,Data_Validation!$A:$D,1,0)</f>
        <v>2223</v>
      </c>
      <c r="U125" s="656" t="str">
        <f>+VLOOKUP($L125,Data_Validation!$A:$D,3,0)</f>
        <v>Bilan</v>
      </c>
      <c r="V125" s="656" t="str">
        <f>+VLOOKUP($L125,Data_Validation!$A:$D,4,0)</f>
        <v>Taxes de Vente à Payer</v>
      </c>
      <c r="W125" s="656" t="str">
        <f>+VLOOKUP($L125,Data_Validation!$A:$E,5,0)</f>
        <v>$</v>
      </c>
      <c r="X125" s="656">
        <f>+VLOOKUP($L125,Data_Validation!$A:$F,6,0)</f>
        <v>0</v>
      </c>
    </row>
    <row r="126" spans="1:24" ht="15" customHeight="1">
      <c r="A126" s="1332" t="s">
        <v>915</v>
      </c>
      <c r="B126" s="1332" t="s">
        <v>1657</v>
      </c>
      <c r="C126" s="1334">
        <v>462041.49</v>
      </c>
      <c r="D126" s="1334">
        <v>-154412.79</v>
      </c>
      <c r="E126" s="1334">
        <v>307628.7</v>
      </c>
      <c r="F126" s="1332" t="s">
        <v>902</v>
      </c>
      <c r="G126" s="1332" t="s">
        <v>914</v>
      </c>
      <c r="H126" s="1332" t="s">
        <v>3942</v>
      </c>
      <c r="I126" s="652"/>
      <c r="J126" s="652"/>
      <c r="K126" s="652"/>
      <c r="L126" s="653" t="str">
        <f t="shared" si="67"/>
        <v>2224</v>
      </c>
      <c r="M126" s="654" t="str">
        <f t="shared" si="0"/>
        <v>TPS A RECEVOIR</v>
      </c>
      <c r="N126" s="655">
        <f>+IF(OR($Q126=Parametres!$G$2,$Q126=Parametres!$G$3),I126,C126)</f>
        <v>462041.49</v>
      </c>
      <c r="O126" s="655">
        <f>+IF(OR($Q126=Parametres!$G$2,$Q126=Parametres!$G$3),J126,D126)</f>
        <v>-154412.79</v>
      </c>
      <c r="P126" s="655">
        <f>+IF(OR($Q126=Parametres!$G$2,$Q126=Parametres!$G$3),K126,E126)</f>
        <v>307628.7</v>
      </c>
      <c r="Q126" s="654" t="str">
        <f t="shared" ref="Q126:S126" si="127">+F126</f>
        <v>3-Passifs</v>
      </c>
      <c r="R126" s="653" t="str">
        <f t="shared" si="127"/>
        <v>2223</v>
      </c>
      <c r="S126" s="654" t="str">
        <f t="shared" si="127"/>
        <v>_</v>
      </c>
      <c r="T126" s="656" t="str">
        <f>+VLOOKUP($L126,Data_Validation!$A:$D,1,0)</f>
        <v>2224</v>
      </c>
      <c r="U126" s="656" t="str">
        <f>+VLOOKUP($L126,Data_Validation!$A:$D,3,0)</f>
        <v>Bilan</v>
      </c>
      <c r="V126" s="656" t="str">
        <f>+VLOOKUP($L126,Data_Validation!$A:$D,4,0)</f>
        <v>Taxes de Vente à Payer</v>
      </c>
      <c r="W126" s="656" t="str">
        <f>+VLOOKUP($L126,Data_Validation!$A:$E,5,0)</f>
        <v>$</v>
      </c>
      <c r="X126" s="656">
        <f>+VLOOKUP($L126,Data_Validation!$A:$F,6,0)</f>
        <v>0</v>
      </c>
    </row>
    <row r="127" spans="1:24" ht="15" customHeight="1">
      <c r="A127" s="1332" t="s">
        <v>916</v>
      </c>
      <c r="B127" s="1332" t="s">
        <v>1660</v>
      </c>
      <c r="C127" s="1334">
        <v>-3778</v>
      </c>
      <c r="D127" s="1334">
        <v>1399.5</v>
      </c>
      <c r="E127" s="1334">
        <v>-2378.5</v>
      </c>
      <c r="F127" s="1332" t="s">
        <v>902</v>
      </c>
      <c r="G127" s="1332" t="s">
        <v>911</v>
      </c>
      <c r="H127" s="1332" t="s">
        <v>3942</v>
      </c>
      <c r="I127" s="663"/>
      <c r="J127" s="663"/>
      <c r="K127" s="663"/>
      <c r="L127" s="653" t="str">
        <f t="shared" si="67"/>
        <v>2225</v>
      </c>
      <c r="M127" s="654" t="str">
        <f t="shared" si="0"/>
        <v>DROIT SUR PNEUS</v>
      </c>
      <c r="N127" s="655">
        <f>+IF(OR($Q127=Parametres!$G$2,$Q127=Parametres!$G$3),I127,C127)</f>
        <v>-3778</v>
      </c>
      <c r="O127" s="655">
        <f>+IF(OR($Q127=Parametres!$G$2,$Q127=Parametres!$G$3),J127,D127)</f>
        <v>1399.5</v>
      </c>
      <c r="P127" s="655">
        <f>+IF(OR($Q127=Parametres!$G$2,$Q127=Parametres!$G$3),K127,E127)</f>
        <v>-2378.5</v>
      </c>
      <c r="Q127" s="654" t="str">
        <f t="shared" ref="Q127:S127" si="128">+F127</f>
        <v>3-Passifs</v>
      </c>
      <c r="R127" s="653" t="str">
        <f t="shared" si="128"/>
        <v>2221</v>
      </c>
      <c r="S127" s="654" t="str">
        <f t="shared" si="128"/>
        <v>_</v>
      </c>
      <c r="T127" s="656" t="str">
        <f>+VLOOKUP($L127,Data_Validation!$A:$D,1,0)</f>
        <v>2225</v>
      </c>
      <c r="U127" s="656" t="str">
        <f>+VLOOKUP($L127,Data_Validation!$A:$D,3,0)</f>
        <v>Bilan</v>
      </c>
      <c r="V127" s="656" t="str">
        <f>+VLOOKUP($L127,Data_Validation!$A:$D,4,0)</f>
        <v>Taxes de Vente à Payer</v>
      </c>
      <c r="W127" s="656" t="str">
        <f>+VLOOKUP($L127,Data_Validation!$A:$E,5,0)</f>
        <v>$</v>
      </c>
      <c r="X127" s="656">
        <f>+VLOOKUP($L127,Data_Validation!$A:$F,6,0)</f>
        <v>0</v>
      </c>
    </row>
    <row r="128" spans="1:24" ht="15" customHeight="1">
      <c r="A128" s="1332" t="s">
        <v>917</v>
      </c>
      <c r="B128" s="1332" t="s">
        <v>1663</v>
      </c>
      <c r="C128" s="1334">
        <v>-215780.13</v>
      </c>
      <c r="D128" s="1334">
        <v>55770.23</v>
      </c>
      <c r="E128" s="1334">
        <v>-160009.9</v>
      </c>
      <c r="F128" s="1332" t="s">
        <v>902</v>
      </c>
      <c r="G128" s="1332" t="s">
        <v>918</v>
      </c>
      <c r="H128" s="1332" t="s">
        <v>3942</v>
      </c>
      <c r="I128" s="652"/>
      <c r="J128" s="652"/>
      <c r="K128" s="652"/>
      <c r="L128" s="653" t="str">
        <f t="shared" si="67"/>
        <v>2281</v>
      </c>
      <c r="M128" s="654" t="str">
        <f t="shared" si="0"/>
        <v>LIEN A PAYER</v>
      </c>
      <c r="N128" s="655">
        <f>+IF(OR($Q128=Parametres!$G$2,$Q128=Parametres!$G$3),I128,C128)</f>
        <v>-215780.13</v>
      </c>
      <c r="O128" s="655">
        <f>+IF(OR($Q128=Parametres!$G$2,$Q128=Parametres!$G$3),J128,D128)</f>
        <v>55770.23</v>
      </c>
      <c r="P128" s="655">
        <f>+IF(OR($Q128=Parametres!$G$2,$Q128=Parametres!$G$3),K128,E128)</f>
        <v>-160009.9</v>
      </c>
      <c r="Q128" s="654" t="str">
        <f t="shared" ref="Q128:S128" si="129">+F128</f>
        <v>3-Passifs</v>
      </c>
      <c r="R128" s="653" t="str">
        <f t="shared" si="129"/>
        <v>2283</v>
      </c>
      <c r="S128" s="654" t="str">
        <f t="shared" si="129"/>
        <v>_</v>
      </c>
      <c r="T128" s="656" t="str">
        <f>+VLOOKUP($L128,Data_Validation!$A:$D,1,0)</f>
        <v>2281</v>
      </c>
      <c r="U128" s="656" t="str">
        <f>+VLOOKUP($L128,Data_Validation!$A:$D,3,0)</f>
        <v>Bilan</v>
      </c>
      <c r="V128" s="656" t="str">
        <f>+VLOOKUP($L128,Data_Validation!$A:$D,4,0)</f>
        <v>Autres Comptes à Payer</v>
      </c>
      <c r="W128" s="656" t="str">
        <f>+VLOOKUP($L128,Data_Validation!$A:$E,5,0)</f>
        <v>$</v>
      </c>
      <c r="X128" s="656">
        <f>+VLOOKUP($L128,Data_Validation!$A:$F,6,0)</f>
        <v>0</v>
      </c>
    </row>
    <row r="129" spans="1:24" ht="15" customHeight="1">
      <c r="A129" s="1332" t="s">
        <v>919</v>
      </c>
      <c r="B129" s="1332" t="s">
        <v>918</v>
      </c>
      <c r="C129" s="1334">
        <v>-1340</v>
      </c>
      <c r="D129" s="1334">
        <v>-660</v>
      </c>
      <c r="E129" s="1334">
        <v>-2000</v>
      </c>
      <c r="F129" s="1332" t="s">
        <v>902</v>
      </c>
      <c r="G129" s="1332" t="s">
        <v>918</v>
      </c>
      <c r="H129" s="1332" t="s">
        <v>3942</v>
      </c>
      <c r="I129" s="663"/>
      <c r="J129" s="663"/>
      <c r="K129" s="663"/>
      <c r="L129" s="653" t="str">
        <f t="shared" si="67"/>
        <v>2283</v>
      </c>
      <c r="M129" s="654" t="str">
        <f t="shared" si="0"/>
        <v>PLAQUE A PAYER</v>
      </c>
      <c r="N129" s="655">
        <f>+IF(OR($Q129=Parametres!$G$2,$Q129=Parametres!$G$3),I129,C129)</f>
        <v>-1340</v>
      </c>
      <c r="O129" s="655">
        <f>+IF(OR($Q129=Parametres!$G$2,$Q129=Parametres!$G$3),J129,D129)</f>
        <v>-660</v>
      </c>
      <c r="P129" s="655">
        <f>+IF(OR($Q129=Parametres!$G$2,$Q129=Parametres!$G$3),K129,E129)</f>
        <v>-2000</v>
      </c>
      <c r="Q129" s="654" t="str">
        <f t="shared" ref="Q129:S129" si="130">+F129</f>
        <v>3-Passifs</v>
      </c>
      <c r="R129" s="653" t="str">
        <f t="shared" si="130"/>
        <v>2283</v>
      </c>
      <c r="S129" s="654" t="str">
        <f t="shared" si="130"/>
        <v>_</v>
      </c>
      <c r="T129" s="656" t="str">
        <f>+VLOOKUP($L129,Data_Validation!$A:$D,1,0)</f>
        <v>2283</v>
      </c>
      <c r="U129" s="656" t="str">
        <f>+VLOOKUP($L129,Data_Validation!$A:$D,3,0)</f>
        <v>Bilan</v>
      </c>
      <c r="V129" s="656" t="str">
        <f>+VLOOKUP($L129,Data_Validation!$A:$D,4,0)</f>
        <v>Autres Comptes à Payer</v>
      </c>
      <c r="W129" s="656" t="str">
        <f>+VLOOKUP($L129,Data_Validation!$A:$E,5,0)</f>
        <v>$</v>
      </c>
      <c r="X129" s="656">
        <f>+VLOOKUP($L129,Data_Validation!$A:$F,6,0)</f>
        <v>0</v>
      </c>
    </row>
    <row r="130" spans="1:24" ht="15" customHeight="1">
      <c r="A130" s="1332" t="s">
        <v>920</v>
      </c>
      <c r="B130" s="1332" t="s">
        <v>1668</v>
      </c>
      <c r="C130" s="1334">
        <v>-41438.22</v>
      </c>
      <c r="D130" s="1334">
        <v>-33228.29</v>
      </c>
      <c r="E130" s="1334">
        <v>-74666.509999999995</v>
      </c>
      <c r="F130" s="1332" t="s">
        <v>902</v>
      </c>
      <c r="G130" s="1332" t="s">
        <v>918</v>
      </c>
      <c r="H130" s="1332" t="s">
        <v>3942</v>
      </c>
      <c r="I130" s="651"/>
      <c r="J130" s="651"/>
      <c r="K130" s="651"/>
      <c r="L130" s="653" t="str">
        <f t="shared" si="67"/>
        <v>2285</v>
      </c>
      <c r="M130" s="654" t="str">
        <f t="shared" si="0"/>
        <v>PROTECTIONS A PAYER</v>
      </c>
      <c r="N130" s="655">
        <f>+IF(OR($Q130=Parametres!$G$2,$Q130=Parametres!$G$3),I130,C130)</f>
        <v>-41438.22</v>
      </c>
      <c r="O130" s="655">
        <f>+IF(OR($Q130=Parametres!$G$2,$Q130=Parametres!$G$3),J130,D130)</f>
        <v>-33228.29</v>
      </c>
      <c r="P130" s="655">
        <f>+IF(OR($Q130=Parametres!$G$2,$Q130=Parametres!$G$3),K130,E130)</f>
        <v>-74666.509999999995</v>
      </c>
      <c r="Q130" s="654" t="str">
        <f t="shared" ref="Q130:S130" si="131">+F130</f>
        <v>3-Passifs</v>
      </c>
      <c r="R130" s="653" t="str">
        <f t="shared" si="131"/>
        <v>2283</v>
      </c>
      <c r="S130" s="654" t="str">
        <f t="shared" si="131"/>
        <v>_</v>
      </c>
      <c r="T130" s="656" t="str">
        <f>+VLOOKUP($L130,Data_Validation!$A:$D,1,0)</f>
        <v>2285</v>
      </c>
      <c r="U130" s="656" t="str">
        <f>+VLOOKUP($L130,Data_Validation!$A:$D,3,0)</f>
        <v>Bilan</v>
      </c>
      <c r="V130" s="656" t="str">
        <f>+VLOOKUP($L130,Data_Validation!$A:$D,4,0)</f>
        <v>Autres Comptes à Payer</v>
      </c>
      <c r="W130" s="656" t="str">
        <f>+VLOOKUP($L130,Data_Validation!$A:$E,5,0)</f>
        <v>$</v>
      </c>
      <c r="X130" s="656">
        <f>+VLOOKUP($L130,Data_Validation!$A:$F,6,0)</f>
        <v>0</v>
      </c>
    </row>
    <row r="131" spans="1:24" ht="15.75" customHeight="1">
      <c r="A131" s="1332" t="s">
        <v>921</v>
      </c>
      <c r="B131" s="1332" t="s">
        <v>1671</v>
      </c>
      <c r="C131" s="1334">
        <v>-2412.2800000000002</v>
      </c>
      <c r="D131" s="1334">
        <v>1244.25</v>
      </c>
      <c r="E131" s="1334">
        <v>-1168.03</v>
      </c>
      <c r="F131" s="1332" t="s">
        <v>902</v>
      </c>
      <c r="G131" s="1332" t="s">
        <v>918</v>
      </c>
      <c r="H131" s="1332" t="s">
        <v>3942</v>
      </c>
      <c r="I131" s="651"/>
      <c r="J131" s="651"/>
      <c r="K131" s="651"/>
      <c r="L131" s="653" t="str">
        <f t="shared" ref="L131:L179" si="132">TEXT(B131,0)</f>
        <v>2287</v>
      </c>
      <c r="M131" s="654" t="str">
        <f t="shared" si="0"/>
        <v>A PAYER INVAPLAN</v>
      </c>
      <c r="N131" s="655">
        <f>+IF(OR($Q131=Parametres!$G$2,$Q131=Parametres!$G$3),I131,C131)</f>
        <v>-2412.2800000000002</v>
      </c>
      <c r="O131" s="659">
        <f>+IF(OR($Q131=Parametres!$G$2,$Q131=Parametres!$G$3),J131,D131)</f>
        <v>1244.25</v>
      </c>
      <c r="P131" s="655">
        <f>+IF(OR($Q131=Parametres!$G$2,$Q131=Parametres!$G$3),K131,E131)</f>
        <v>-1168.03</v>
      </c>
      <c r="Q131" s="654" t="str">
        <f t="shared" ref="Q131:S131" si="133">+F131</f>
        <v>3-Passifs</v>
      </c>
      <c r="R131" s="653" t="str">
        <f t="shared" si="133"/>
        <v>2283</v>
      </c>
      <c r="S131" s="654" t="str">
        <f t="shared" si="133"/>
        <v>_</v>
      </c>
      <c r="T131" s="656" t="str">
        <f>+VLOOKUP($L131,Data_Validation!$A:$D,1,0)</f>
        <v>2287</v>
      </c>
      <c r="U131" s="656" t="str">
        <f>+VLOOKUP($L131,Data_Validation!$A:$D,3,0)</f>
        <v>Bilan</v>
      </c>
      <c r="V131" s="656" t="str">
        <f>+VLOOKUP($L131,Data_Validation!$A:$D,4,0)</f>
        <v>Autres Comptes à Payer</v>
      </c>
      <c r="W131" s="656" t="str">
        <f>+VLOOKUP($L131,Data_Validation!$A:$E,5,0)</f>
        <v>$</v>
      </c>
      <c r="X131" s="656">
        <f>+VLOOKUP($L131,Data_Validation!$A:$F,6,0)</f>
        <v>0</v>
      </c>
    </row>
    <row r="132" spans="1:24" ht="15" customHeight="1">
      <c r="A132" s="1332" t="s">
        <v>922</v>
      </c>
      <c r="B132" s="1332" t="s">
        <v>923</v>
      </c>
      <c r="C132" s="1334">
        <v>-187420.03</v>
      </c>
      <c r="D132" s="1334">
        <v>-312638.83</v>
      </c>
      <c r="E132" s="1334">
        <v>-500058.86</v>
      </c>
      <c r="F132" s="1332" t="s">
        <v>902</v>
      </c>
      <c r="G132" s="1332" t="s">
        <v>923</v>
      </c>
      <c r="H132" s="1332" t="s">
        <v>3942</v>
      </c>
      <c r="I132" s="651"/>
      <c r="J132" s="651"/>
      <c r="K132" s="651"/>
      <c r="L132" s="653" t="str">
        <f t="shared" si="132"/>
        <v>2291</v>
      </c>
      <c r="M132" s="654" t="str">
        <f t="shared" si="0"/>
        <v>COMPTES FOURNISSEURS</v>
      </c>
      <c r="N132" s="655">
        <f>+IF(OR($Q132=Parametres!$G$2,$Q132=Parametres!$G$3),I132,C132)</f>
        <v>-187420.03</v>
      </c>
      <c r="O132" s="655">
        <f>+IF(OR($Q132=Parametres!$G$2,$Q132=Parametres!$G$3),J132,D132)</f>
        <v>-312638.83</v>
      </c>
      <c r="P132" s="655">
        <f>+IF(OR($Q132=Parametres!$G$2,$Q132=Parametres!$G$3),K132,E132)</f>
        <v>-500058.86</v>
      </c>
      <c r="Q132" s="654" t="str">
        <f t="shared" ref="Q132:S132" si="134">+F132</f>
        <v>3-Passifs</v>
      </c>
      <c r="R132" s="653" t="str">
        <f t="shared" si="134"/>
        <v>2291</v>
      </c>
      <c r="S132" s="654" t="str">
        <f t="shared" si="134"/>
        <v>_</v>
      </c>
      <c r="T132" s="656" t="str">
        <f>+VLOOKUP($L132,Data_Validation!$A:$D,1,0)</f>
        <v>2291</v>
      </c>
      <c r="U132" s="656" t="str">
        <f>+VLOOKUP($L132,Data_Validation!$A:$D,3,0)</f>
        <v>Bilan</v>
      </c>
      <c r="V132" s="656" t="str">
        <f>+VLOOKUP($L132,Data_Validation!$A:$D,4,0)</f>
        <v>Comptes à Payer Fournisseurs</v>
      </c>
      <c r="W132" s="656" t="str">
        <f>+VLOOKUP($L132,Data_Validation!$A:$E,5,0)</f>
        <v>$</v>
      </c>
      <c r="X132" s="656">
        <f>+VLOOKUP($L132,Data_Validation!$A:$F,6,0)</f>
        <v>0</v>
      </c>
    </row>
    <row r="133" spans="1:24" ht="15" customHeight="1">
      <c r="A133" s="1332" t="s">
        <v>924</v>
      </c>
      <c r="B133" s="1332" t="s">
        <v>1679</v>
      </c>
      <c r="C133" s="1334">
        <v>-39033.75</v>
      </c>
      <c r="D133" s="1334">
        <v>39033.75</v>
      </c>
      <c r="E133" s="1334">
        <v>0</v>
      </c>
      <c r="F133" s="1332" t="s">
        <v>902</v>
      </c>
      <c r="G133" s="1332" t="s">
        <v>923</v>
      </c>
      <c r="H133" s="1332" t="s">
        <v>3942</v>
      </c>
      <c r="I133" s="652"/>
      <c r="J133" s="652"/>
      <c r="K133" s="652"/>
      <c r="L133" s="653" t="str">
        <f t="shared" si="132"/>
        <v>2292</v>
      </c>
      <c r="M133" s="654" t="str">
        <f t="shared" si="0"/>
        <v>ECHANGE ENTRE CONCESSIONNAIRES</v>
      </c>
      <c r="N133" s="655">
        <f>+IF(OR($Q133=Parametres!$G$2,$Q133=Parametres!$G$3),I133,C133)</f>
        <v>-39033.75</v>
      </c>
      <c r="O133" s="655">
        <f>+IF(OR($Q133=Parametres!$G$2,$Q133=Parametres!$G$3),J133,D133)</f>
        <v>39033.75</v>
      </c>
      <c r="P133" s="655">
        <f>+IF(OR($Q133=Parametres!$G$2,$Q133=Parametres!$G$3),K133,E133)</f>
        <v>0</v>
      </c>
      <c r="Q133" s="654" t="str">
        <f t="shared" ref="Q133:S133" si="135">+F133</f>
        <v>3-Passifs</v>
      </c>
      <c r="R133" s="653" t="str">
        <f t="shared" si="135"/>
        <v>2291</v>
      </c>
      <c r="S133" s="654" t="str">
        <f t="shared" si="135"/>
        <v>_</v>
      </c>
      <c r="T133" s="656" t="str">
        <f>+VLOOKUP($L133,Data_Validation!$A:$D,1,0)</f>
        <v>2292</v>
      </c>
      <c r="U133" s="656" t="str">
        <f>+VLOOKUP($L133,Data_Validation!$A:$D,3,0)</f>
        <v>Bilan</v>
      </c>
      <c r="V133" s="656" t="str">
        <f>+VLOOKUP($L133,Data_Validation!$A:$D,4,0)</f>
        <v>Autres Comptes à Payer</v>
      </c>
      <c r="W133" s="656" t="str">
        <f>+VLOOKUP($L133,Data_Validation!$A:$E,5,0)</f>
        <v>$</v>
      </c>
      <c r="X133" s="656">
        <f>+VLOOKUP($L133,Data_Validation!$A:$F,6,0)</f>
        <v>0</v>
      </c>
    </row>
    <row r="134" spans="1:24" ht="15" customHeight="1">
      <c r="A134" s="1332" t="s">
        <v>925</v>
      </c>
      <c r="B134" s="1332" t="s">
        <v>928</v>
      </c>
      <c r="C134" s="1334">
        <v>-1616</v>
      </c>
      <c r="D134" s="1334">
        <v>-1487.4</v>
      </c>
      <c r="E134" s="1334">
        <v>-3103.4</v>
      </c>
      <c r="F134" s="1332" t="s">
        <v>902</v>
      </c>
      <c r="G134" s="1332" t="s">
        <v>918</v>
      </c>
      <c r="H134" s="1332" t="s">
        <v>3942</v>
      </c>
      <c r="I134" s="652"/>
      <c r="J134" s="652"/>
      <c r="K134" s="652"/>
      <c r="L134" s="653" t="str">
        <f t="shared" si="132"/>
        <v>2293</v>
      </c>
      <c r="M134" s="654" t="str">
        <f t="shared" si="0"/>
        <v>PROVISIONS GARANTIES USAGEES</v>
      </c>
      <c r="N134" s="655">
        <f>+IF(OR($Q134=Parametres!$G$2,$Q134=Parametres!$G$3),I134,C134)</f>
        <v>-1616</v>
      </c>
      <c r="O134" s="655">
        <f>+IF(OR($Q134=Parametres!$G$2,$Q134=Parametres!$G$3),J134,D134)</f>
        <v>-1487.4</v>
      </c>
      <c r="P134" s="655">
        <f>+IF(OR($Q134=Parametres!$G$2,$Q134=Parametres!$G$3),K134,E134)</f>
        <v>-3103.4</v>
      </c>
      <c r="Q134" s="654" t="str">
        <f t="shared" ref="Q134:S134" si="136">+F134</f>
        <v>3-Passifs</v>
      </c>
      <c r="R134" s="653" t="str">
        <f t="shared" si="136"/>
        <v>2283</v>
      </c>
      <c r="S134" s="654" t="str">
        <f t="shared" si="136"/>
        <v>_</v>
      </c>
      <c r="T134" s="656" t="str">
        <f>+VLOOKUP($L134,Data_Validation!$A:$D,1,0)</f>
        <v>2293</v>
      </c>
      <c r="U134" s="656" t="str">
        <f>+VLOOKUP($L134,Data_Validation!$A:$D,3,0)</f>
        <v>Bilan</v>
      </c>
      <c r="V134" s="656" t="str">
        <f>+VLOOKUP($L134,Data_Validation!$A:$D,4,0)</f>
        <v>Autres Courus</v>
      </c>
      <c r="W134" s="656" t="str">
        <f>+VLOOKUP($L134,Data_Validation!$A:$E,5,0)</f>
        <v>$</v>
      </c>
      <c r="X134" s="656">
        <f>+VLOOKUP($L134,Data_Validation!$A:$F,6,0)</f>
        <v>0</v>
      </c>
    </row>
    <row r="135" spans="1:24" ht="15.75" customHeight="1">
      <c r="A135" s="1332" t="s">
        <v>929</v>
      </c>
      <c r="B135" s="1332" t="s">
        <v>3376</v>
      </c>
      <c r="C135" s="1334">
        <v>-1657234</v>
      </c>
      <c r="D135" s="1334">
        <v>1657234</v>
      </c>
      <c r="E135" s="1334">
        <v>0</v>
      </c>
      <c r="F135" s="1332" t="s">
        <v>902</v>
      </c>
      <c r="G135" s="1332" t="s">
        <v>923</v>
      </c>
      <c r="H135" s="1332" t="s">
        <v>3942</v>
      </c>
      <c r="I135" s="652"/>
      <c r="J135" s="652"/>
      <c r="K135" s="652"/>
      <c r="L135" s="653" t="str">
        <f t="shared" si="132"/>
        <v>2296</v>
      </c>
      <c r="M135" s="654" t="str">
        <f t="shared" si="0"/>
        <v>COMPTE FOURNISSEURS INTERCO</v>
      </c>
      <c r="N135" s="655">
        <f>+IF(OR($Q135=Parametres!$G$2,$Q135=Parametres!$G$3),I135,C135)</f>
        <v>-1657234</v>
      </c>
      <c r="O135" s="655">
        <f>+IF(OR($Q135=Parametres!$G$2,$Q135=Parametres!$G$3),J135,D135)</f>
        <v>1657234</v>
      </c>
      <c r="P135" s="655">
        <f>+IF(OR($Q135=Parametres!$G$2,$Q135=Parametres!$G$3),K135,E135)</f>
        <v>0</v>
      </c>
      <c r="Q135" s="654" t="str">
        <f t="shared" ref="Q135:S135" si="137">+F135</f>
        <v>3-Passifs</v>
      </c>
      <c r="R135" s="653" t="str">
        <f t="shared" si="137"/>
        <v>2291</v>
      </c>
      <c r="S135" s="654" t="str">
        <f t="shared" si="137"/>
        <v>_</v>
      </c>
      <c r="T135" s="656" t="str">
        <f>+VLOOKUP($L135,Data_Validation!$A:$D,1,0)</f>
        <v>2296</v>
      </c>
      <c r="U135" s="656" t="str">
        <f>+VLOOKUP($L135,Data_Validation!$A:$D,3,0)</f>
        <v>Bilan</v>
      </c>
      <c r="V135" s="656" t="str">
        <f>+VLOOKUP($L135,Data_Validation!$A:$D,4,0)</f>
        <v>Payables Intercos</v>
      </c>
      <c r="W135" s="656" t="str">
        <f>+VLOOKUP($L135,Data_Validation!$A:$E,5,0)</f>
        <v>$</v>
      </c>
      <c r="X135" s="656">
        <f>+VLOOKUP($L135,Data_Validation!$A:$F,6,0)</f>
        <v>0</v>
      </c>
    </row>
    <row r="136" spans="1:24" ht="15" customHeight="1">
      <c r="A136" s="1332" t="s">
        <v>930</v>
      </c>
      <c r="B136" s="1332" t="s">
        <v>1687</v>
      </c>
      <c r="C136" s="1334">
        <v>-3300</v>
      </c>
      <c r="D136" s="1334">
        <v>-4550</v>
      </c>
      <c r="E136" s="1334">
        <v>-7850</v>
      </c>
      <c r="F136" s="1332" t="s">
        <v>902</v>
      </c>
      <c r="G136" s="1332" t="s">
        <v>918</v>
      </c>
      <c r="H136" s="1332" t="s">
        <v>3942</v>
      </c>
      <c r="I136" s="652"/>
      <c r="J136" s="652"/>
      <c r="K136" s="652"/>
      <c r="L136" s="653" t="str">
        <f t="shared" ref="L136:L151" si="138">TEXT(B136,0)</f>
        <v>2297</v>
      </c>
      <c r="M136" s="654" t="str">
        <f t="shared" ref="M136:M151" si="139">+A136</f>
        <v>RESERVE RENOUVELLEMENT</v>
      </c>
      <c r="N136" s="655">
        <f>+IF(OR($Q136=Parametres!$G$2,$Q136=Parametres!$G$3),I136,C136)</f>
        <v>-3300</v>
      </c>
      <c r="O136" s="655">
        <f>+IF(OR($Q136=Parametres!$G$2,$Q136=Parametres!$G$3),J136,D136)</f>
        <v>-4550</v>
      </c>
      <c r="P136" s="655">
        <f>+IF(OR($Q136=Parametres!$G$2,$Q136=Parametres!$G$3),K136,E136)</f>
        <v>-7850</v>
      </c>
      <c r="Q136" s="654" t="str">
        <f t="shared" ref="Q136:Q151" si="140">+F136</f>
        <v>3-Passifs</v>
      </c>
      <c r="R136" s="653" t="str">
        <f t="shared" ref="R136:R151" si="141">+G136</f>
        <v>2283</v>
      </c>
      <c r="S136" s="654" t="str">
        <f t="shared" ref="S136:S151" si="142">+H136</f>
        <v>_</v>
      </c>
      <c r="T136" s="656" t="str">
        <f>+VLOOKUP($L136,Data_Validation!$A:$D,1,0)</f>
        <v>2297</v>
      </c>
      <c r="U136" s="656" t="str">
        <f>+VLOOKUP($L136,Data_Validation!$A:$D,3,0)</f>
        <v>Bilan</v>
      </c>
      <c r="V136" s="656" t="str">
        <f>+VLOOKUP($L136,Data_Validation!$A:$D,4,0)</f>
        <v>Autres Courus</v>
      </c>
      <c r="W136" s="656" t="str">
        <f>+VLOOKUP($L136,Data_Validation!$A:$E,5,0)</f>
        <v>$</v>
      </c>
      <c r="X136" s="656">
        <f>+VLOOKUP($L136,Data_Validation!$A:$F,6,0)</f>
        <v>0</v>
      </c>
    </row>
    <row r="137" spans="1:24" ht="15" customHeight="1">
      <c r="A137" s="1332" t="s">
        <v>3335</v>
      </c>
      <c r="B137" s="1332" t="s">
        <v>3336</v>
      </c>
      <c r="C137" s="1334">
        <v>27.79</v>
      </c>
      <c r="D137" s="1334">
        <v>0</v>
      </c>
      <c r="E137" s="1334">
        <v>27.79</v>
      </c>
      <c r="F137" s="1332" t="s">
        <v>902</v>
      </c>
      <c r="G137" s="1332" t="s">
        <v>3336</v>
      </c>
      <c r="H137" s="1332" t="s">
        <v>3942</v>
      </c>
      <c r="I137" s="652"/>
      <c r="J137" s="652"/>
      <c r="K137" s="652"/>
      <c r="L137" s="653" t="str">
        <f t="shared" si="138"/>
        <v>2305</v>
      </c>
      <c r="M137" s="654" t="str">
        <f t="shared" si="139"/>
        <v>FUTA ASSURANCE EMPLOYE</v>
      </c>
      <c r="N137" s="655">
        <f>+IF(OR($Q137=Parametres!$G$2,$Q137=Parametres!$G$3),I137,C137)</f>
        <v>27.79</v>
      </c>
      <c r="O137" s="655">
        <f>+IF(OR($Q137=Parametres!$G$2,$Q137=Parametres!$G$3),J137,D137)</f>
        <v>0</v>
      </c>
      <c r="P137" s="655">
        <f>+IF(OR($Q137=Parametres!$G$2,$Q137=Parametres!$G$3),K137,E137)</f>
        <v>27.79</v>
      </c>
      <c r="Q137" s="654" t="str">
        <f t="shared" si="140"/>
        <v>3-Passifs</v>
      </c>
      <c r="R137" s="653" t="str">
        <f t="shared" si="141"/>
        <v>2305</v>
      </c>
      <c r="S137" s="654" t="str">
        <f t="shared" si="142"/>
        <v>_</v>
      </c>
      <c r="T137" s="656" t="str">
        <f>+VLOOKUP($L137,Data_Validation!$A:$D,1,0)</f>
        <v>2305</v>
      </c>
      <c r="U137" s="656" t="str">
        <f>+VLOOKUP($L137,Data_Validation!$A:$D,3,0)</f>
        <v>Bilan</v>
      </c>
      <c r="V137" s="656" t="str">
        <f>+VLOOKUP($L137,Data_Validation!$A:$D,4,0)</f>
        <v>DAS à Payer</v>
      </c>
      <c r="W137" s="656" t="str">
        <f>+VLOOKUP($L137,Data_Validation!$A:$E,5,0)</f>
        <v>$</v>
      </c>
      <c r="X137" s="656">
        <f>+VLOOKUP($L137,Data_Validation!$A:$F,6,0)</f>
        <v>0</v>
      </c>
    </row>
    <row r="138" spans="1:24" ht="15" customHeight="1">
      <c r="A138" s="1332" t="s">
        <v>931</v>
      </c>
      <c r="B138" s="1332" t="s">
        <v>932</v>
      </c>
      <c r="C138" s="1334">
        <v>13407.57</v>
      </c>
      <c r="D138" s="1334">
        <v>-22131.55</v>
      </c>
      <c r="E138" s="1334">
        <v>-8723.98</v>
      </c>
      <c r="F138" s="1332" t="s">
        <v>902</v>
      </c>
      <c r="G138" s="1332" t="s">
        <v>932</v>
      </c>
      <c r="H138" s="1332" t="s">
        <v>3942</v>
      </c>
      <c r="I138" s="663"/>
      <c r="J138" s="663"/>
      <c r="K138" s="663"/>
      <c r="L138" s="653" t="str">
        <f t="shared" si="138"/>
        <v>2315</v>
      </c>
      <c r="M138" s="654" t="str">
        <f t="shared" si="139"/>
        <v>PRIME ASSURANCE GROUPE</v>
      </c>
      <c r="N138" s="655">
        <f>+IF(OR($Q138=Parametres!$G$2,$Q138=Parametres!$G$3),I138,C138)</f>
        <v>13407.57</v>
      </c>
      <c r="O138" s="655">
        <f>+IF(OR($Q138=Parametres!$G$2,$Q138=Parametres!$G$3),J138,D138)</f>
        <v>-22131.55</v>
      </c>
      <c r="P138" s="655">
        <f>+IF(OR($Q138=Parametres!$G$2,$Q138=Parametres!$G$3),K138,E138)</f>
        <v>-8723.98</v>
      </c>
      <c r="Q138" s="654" t="str">
        <f t="shared" si="140"/>
        <v>3-Passifs</v>
      </c>
      <c r="R138" s="653" t="str">
        <f t="shared" si="141"/>
        <v>2315</v>
      </c>
      <c r="S138" s="654" t="str">
        <f t="shared" si="142"/>
        <v>_</v>
      </c>
      <c r="T138" s="656" t="str">
        <f>+VLOOKUP($L138,Data_Validation!$A:$D,1,0)</f>
        <v>2315</v>
      </c>
      <c r="U138" s="656" t="str">
        <f>+VLOOKUP($L138,Data_Validation!$A:$D,3,0)</f>
        <v>Bilan</v>
      </c>
      <c r="V138" s="656" t="str">
        <f>+VLOOKUP($L138,Data_Validation!$A:$D,4,0)</f>
        <v>DAS à Payer</v>
      </c>
      <c r="W138" s="656" t="str">
        <f>+VLOOKUP($L138,Data_Validation!$A:$E,5,0)</f>
        <v>$</v>
      </c>
      <c r="X138" s="656">
        <f>+VLOOKUP($L138,Data_Validation!$A:$F,6,0)</f>
        <v>0</v>
      </c>
    </row>
    <row r="139" spans="1:24" ht="15.75" customHeight="1">
      <c r="A139" s="1332" t="s">
        <v>933</v>
      </c>
      <c r="B139" s="1332" t="s">
        <v>1695</v>
      </c>
      <c r="C139" s="1334">
        <v>52.35</v>
      </c>
      <c r="D139" s="1334">
        <v>0</v>
      </c>
      <c r="E139" s="1334">
        <v>52.35</v>
      </c>
      <c r="F139" s="1332" t="s">
        <v>902</v>
      </c>
      <c r="G139" s="1332" t="s">
        <v>932</v>
      </c>
      <c r="H139" s="1332" t="s">
        <v>3942</v>
      </c>
      <c r="I139" s="652"/>
      <c r="J139" s="652"/>
      <c r="K139" s="652"/>
      <c r="L139" s="653" t="str">
        <f t="shared" si="138"/>
        <v>2335</v>
      </c>
      <c r="M139" s="654" t="str">
        <f t="shared" si="139"/>
        <v>COMITE SOCIAL</v>
      </c>
      <c r="N139" s="655">
        <f>+IF(OR($Q139=Parametres!$G$2,$Q139=Parametres!$G$3),I139,C139)</f>
        <v>52.35</v>
      </c>
      <c r="O139" s="655">
        <f>+IF(OR($Q139=Parametres!$G$2,$Q139=Parametres!$G$3),J139,D139)</f>
        <v>0</v>
      </c>
      <c r="P139" s="655">
        <f>+IF(OR($Q139=Parametres!$G$2,$Q139=Parametres!$G$3),K139,E139)</f>
        <v>52.35</v>
      </c>
      <c r="Q139" s="654" t="str">
        <f t="shared" si="140"/>
        <v>3-Passifs</v>
      </c>
      <c r="R139" s="653" t="str">
        <f t="shared" si="141"/>
        <v>2315</v>
      </c>
      <c r="S139" s="654" t="str">
        <f t="shared" si="142"/>
        <v>_</v>
      </c>
      <c r="T139" s="656" t="str">
        <f>+VLOOKUP($L139,Data_Validation!$A:$D,1,0)</f>
        <v>2335</v>
      </c>
      <c r="U139" s="656" t="str">
        <f>+VLOOKUP($L139,Data_Validation!$A:$D,3,0)</f>
        <v>Bilan</v>
      </c>
      <c r="V139" s="656" t="str">
        <f>+VLOOKUP($L139,Data_Validation!$A:$D,4,0)</f>
        <v>DAS à Payer</v>
      </c>
      <c r="W139" s="656" t="str">
        <f>+VLOOKUP($L139,Data_Validation!$A:$E,5,0)</f>
        <v>$</v>
      </c>
      <c r="X139" s="656">
        <f>+VLOOKUP($L139,Data_Validation!$A:$F,6,0)</f>
        <v>0</v>
      </c>
    </row>
    <row r="140" spans="1:24" ht="15" customHeight="1">
      <c r="A140" s="1332" t="s">
        <v>934</v>
      </c>
      <c r="B140" s="1332" t="s">
        <v>1701</v>
      </c>
      <c r="C140" s="1334">
        <v>-28930.18</v>
      </c>
      <c r="D140" s="1334">
        <v>-26600.14</v>
      </c>
      <c r="E140" s="1334">
        <v>-55530.32</v>
      </c>
      <c r="F140" s="1332" t="s">
        <v>902</v>
      </c>
      <c r="G140" s="1332" t="s">
        <v>932</v>
      </c>
      <c r="H140" s="1332" t="s">
        <v>3942</v>
      </c>
      <c r="I140" s="652"/>
      <c r="J140" s="652"/>
      <c r="K140" s="652"/>
      <c r="L140" s="653" t="str">
        <f t="shared" si="138"/>
        <v>2342</v>
      </c>
      <c r="M140" s="654" t="str">
        <f t="shared" si="139"/>
        <v>REER STANDARD LIFE</v>
      </c>
      <c r="N140" s="655">
        <f>+IF(OR($Q140=Parametres!$G$2,$Q140=Parametres!$G$3),I140,C140)</f>
        <v>-28930.18</v>
      </c>
      <c r="O140" s="655">
        <f>+IF(OR($Q140=Parametres!$G$2,$Q140=Parametres!$G$3),J140,D140)</f>
        <v>-26600.14</v>
      </c>
      <c r="P140" s="655">
        <f>+IF(OR($Q140=Parametres!$G$2,$Q140=Parametres!$G$3),K140,E140)</f>
        <v>-55530.32</v>
      </c>
      <c r="Q140" s="654" t="str">
        <f t="shared" si="140"/>
        <v>3-Passifs</v>
      </c>
      <c r="R140" s="653" t="str">
        <f t="shared" si="141"/>
        <v>2315</v>
      </c>
      <c r="S140" s="654" t="str">
        <f t="shared" si="142"/>
        <v>_</v>
      </c>
      <c r="T140" s="656" t="str">
        <f>+VLOOKUP($L140,Data_Validation!$A:$D,1,0)</f>
        <v>2342</v>
      </c>
      <c r="U140" s="656" t="str">
        <f>+VLOOKUP($L140,Data_Validation!$A:$D,3,0)</f>
        <v>Bilan</v>
      </c>
      <c r="V140" s="656" t="str">
        <f>+VLOOKUP($L140,Data_Validation!$A:$D,4,0)</f>
        <v>DAS à Payer</v>
      </c>
      <c r="W140" s="656" t="str">
        <f>+VLOOKUP($L140,Data_Validation!$A:$E,5,0)</f>
        <v>$</v>
      </c>
      <c r="X140" s="656">
        <f>+VLOOKUP($L140,Data_Validation!$A:$F,6,0)</f>
        <v>0</v>
      </c>
    </row>
    <row r="141" spans="1:24" ht="15" customHeight="1">
      <c r="A141" s="1332" t="s">
        <v>935</v>
      </c>
      <c r="B141" s="1332" t="s">
        <v>1704</v>
      </c>
      <c r="C141" s="1334">
        <v>-592.78</v>
      </c>
      <c r="D141" s="1334">
        <v>-32.36</v>
      </c>
      <c r="E141" s="1334">
        <v>-625.14</v>
      </c>
      <c r="F141" s="1332" t="s">
        <v>902</v>
      </c>
      <c r="G141" s="1332" t="s">
        <v>932</v>
      </c>
      <c r="H141" s="1332" t="s">
        <v>3942</v>
      </c>
      <c r="I141" s="663"/>
      <c r="J141" s="663"/>
      <c r="K141" s="663"/>
      <c r="L141" s="653" t="str">
        <f t="shared" si="138"/>
        <v>2343</v>
      </c>
      <c r="M141" s="654" t="str">
        <f t="shared" si="139"/>
        <v>COMITE PARITAIRE</v>
      </c>
      <c r="N141" s="655">
        <f>+IF(OR($Q141=Parametres!$G$2,$Q141=Parametres!$G$3),I141,C141)</f>
        <v>-592.78</v>
      </c>
      <c r="O141" s="655">
        <f>+IF(OR($Q141=Parametres!$G$2,$Q141=Parametres!$G$3),J141,D141)</f>
        <v>-32.36</v>
      </c>
      <c r="P141" s="655">
        <f>+IF(OR($Q141=Parametres!$G$2,$Q141=Parametres!$G$3),K141,E141)</f>
        <v>-625.14</v>
      </c>
      <c r="Q141" s="654" t="str">
        <f t="shared" si="140"/>
        <v>3-Passifs</v>
      </c>
      <c r="R141" s="653" t="str">
        <f t="shared" si="141"/>
        <v>2315</v>
      </c>
      <c r="S141" s="654" t="str">
        <f t="shared" si="142"/>
        <v>_</v>
      </c>
      <c r="T141" s="656" t="str">
        <f>+VLOOKUP($L141,Data_Validation!$A:$D,1,0)</f>
        <v>2343</v>
      </c>
      <c r="U141" s="656" t="str">
        <f>+VLOOKUP($L141,Data_Validation!$A:$D,3,0)</f>
        <v>Bilan</v>
      </c>
      <c r="V141" s="656" t="str">
        <f>+VLOOKUP($L141,Data_Validation!$A:$D,4,0)</f>
        <v>DAS à Payer</v>
      </c>
      <c r="W141" s="656" t="str">
        <f>+VLOOKUP($L141,Data_Validation!$A:$E,5,0)</f>
        <v>$</v>
      </c>
      <c r="X141" s="656">
        <f>+VLOOKUP($L141,Data_Validation!$A:$F,6,0)</f>
        <v>0</v>
      </c>
    </row>
    <row r="142" spans="1:24" ht="15" customHeight="1">
      <c r="A142" s="1332" t="s">
        <v>937</v>
      </c>
      <c r="B142" s="1332" t="s">
        <v>938</v>
      </c>
      <c r="C142" s="1334">
        <v>-19300</v>
      </c>
      <c r="D142" s="1334">
        <v>2900</v>
      </c>
      <c r="E142" s="1334">
        <v>-16400</v>
      </c>
      <c r="F142" s="1332" t="s">
        <v>902</v>
      </c>
      <c r="G142" s="1332" t="s">
        <v>938</v>
      </c>
      <c r="H142" s="1332" t="s">
        <v>3942</v>
      </c>
      <c r="I142" s="663"/>
      <c r="J142" s="663"/>
      <c r="K142" s="663"/>
      <c r="L142" s="653" t="str">
        <f t="shared" si="138"/>
        <v>2401</v>
      </c>
      <c r="M142" s="654" t="str">
        <f t="shared" si="139"/>
        <v>DEPOTS FIDUCIE-VENTE CLIENTS</v>
      </c>
      <c r="N142" s="655">
        <f>+IF(OR($Q142=Parametres!$G$2,$Q142=Parametres!$G$3),I142,C142)</f>
        <v>-19300</v>
      </c>
      <c r="O142" s="655">
        <f>+IF(OR($Q142=Parametres!$G$2,$Q142=Parametres!$G$3),J142,D142)</f>
        <v>2900</v>
      </c>
      <c r="P142" s="655">
        <f>+IF(OR($Q142=Parametres!$G$2,$Q142=Parametres!$G$3),K142,E142)</f>
        <v>-16400</v>
      </c>
      <c r="Q142" s="654" t="str">
        <f t="shared" si="140"/>
        <v>3-Passifs</v>
      </c>
      <c r="R142" s="653" t="str">
        <f t="shared" si="141"/>
        <v>2401</v>
      </c>
      <c r="S142" s="654" t="str">
        <f t="shared" si="142"/>
        <v>_</v>
      </c>
      <c r="T142" s="656" t="str">
        <f>+VLOOKUP($L142,Data_Validation!$A:$D,1,0)</f>
        <v>2401</v>
      </c>
      <c r="U142" s="656" t="str">
        <f>+VLOOKUP($L142,Data_Validation!$A:$D,3,0)</f>
        <v>Bilan</v>
      </c>
      <c r="V142" s="656" t="str">
        <f>+VLOOKUP($L142,Data_Validation!$A:$D,4,0)</f>
        <v>Dépôts de Client</v>
      </c>
      <c r="W142" s="656" t="str">
        <f>+VLOOKUP($L142,Data_Validation!$A:$E,5,0)</f>
        <v>$</v>
      </c>
      <c r="X142" s="656">
        <f>+VLOOKUP($L142,Data_Validation!$A:$F,6,0)</f>
        <v>0</v>
      </c>
    </row>
    <row r="143" spans="1:24" ht="15.75" customHeight="1">
      <c r="A143" s="1332" t="s">
        <v>939</v>
      </c>
      <c r="B143" s="1332" t="s">
        <v>940</v>
      </c>
      <c r="C143" s="1334">
        <v>-16697.13</v>
      </c>
      <c r="D143" s="1334">
        <v>-8487.2000000000007</v>
      </c>
      <c r="E143" s="1334">
        <v>-25184.33</v>
      </c>
      <c r="F143" s="1332" t="s">
        <v>902</v>
      </c>
      <c r="G143" s="1332" t="s">
        <v>940</v>
      </c>
      <c r="H143" s="1332" t="s">
        <v>3942</v>
      </c>
      <c r="I143" s="652"/>
      <c r="J143" s="652"/>
      <c r="K143" s="652"/>
      <c r="L143" s="653" t="str">
        <f t="shared" si="138"/>
        <v>2501</v>
      </c>
      <c r="M143" s="654" t="str">
        <f t="shared" si="139"/>
        <v>COMMISSION A PAYER</v>
      </c>
      <c r="N143" s="655">
        <f>+IF(OR($Q143=Parametres!$G$2,$Q143=Parametres!$G$3),I143,C143)</f>
        <v>-16697.13</v>
      </c>
      <c r="O143" s="655">
        <f>+IF(OR($Q143=Parametres!$G$2,$Q143=Parametres!$G$3),J143,D143)</f>
        <v>-8487.2000000000007</v>
      </c>
      <c r="P143" s="655">
        <f>+IF(OR($Q143=Parametres!$G$2,$Q143=Parametres!$G$3),K143,E143)</f>
        <v>-25184.33</v>
      </c>
      <c r="Q143" s="654" t="str">
        <f t="shared" si="140"/>
        <v>3-Passifs</v>
      </c>
      <c r="R143" s="653" t="str">
        <f t="shared" si="141"/>
        <v>2501</v>
      </c>
      <c r="S143" s="654" t="str">
        <f t="shared" si="142"/>
        <v>_</v>
      </c>
      <c r="T143" s="656" t="str">
        <f>+VLOOKUP($L143,Data_Validation!$A:$D,1,0)</f>
        <v>2501</v>
      </c>
      <c r="U143" s="656" t="str">
        <f>+VLOOKUP($L143,Data_Validation!$A:$D,3,0)</f>
        <v>Bilan</v>
      </c>
      <c r="V143" s="656" t="str">
        <f>+VLOOKUP($L143,Data_Validation!$A:$D,4,0)</f>
        <v>Salaires à Payer</v>
      </c>
      <c r="W143" s="656" t="str">
        <f>+VLOOKUP($L143,Data_Validation!$A:$E,5,0)</f>
        <v>$</v>
      </c>
      <c r="X143" s="656">
        <f>+VLOOKUP($L143,Data_Validation!$A:$F,6,0)</f>
        <v>0</v>
      </c>
    </row>
    <row r="144" spans="1:24" ht="15" customHeight="1">
      <c r="A144" s="1332" t="s">
        <v>941</v>
      </c>
      <c r="B144" s="1332" t="s">
        <v>3377</v>
      </c>
      <c r="C144" s="1334">
        <v>4288.3</v>
      </c>
      <c r="D144" s="1334">
        <v>-4025.92</v>
      </c>
      <c r="E144" s="1334">
        <v>262.38</v>
      </c>
      <c r="F144" s="1332" t="s">
        <v>902</v>
      </c>
      <c r="G144" s="1332" t="s">
        <v>942</v>
      </c>
      <c r="H144" s="1332" t="s">
        <v>3942</v>
      </c>
      <c r="I144" s="652"/>
      <c r="J144" s="652"/>
      <c r="K144" s="652"/>
      <c r="L144" s="653" t="str">
        <f t="shared" si="138"/>
        <v>2502</v>
      </c>
      <c r="M144" s="654" t="str">
        <f t="shared" si="139"/>
        <v>Compte de depense a payer</v>
      </c>
      <c r="N144" s="655">
        <f>+IF(OR($Q144=Parametres!$G$2,$Q144=Parametres!$G$3),I144,C144)</f>
        <v>4288.3</v>
      </c>
      <c r="O144" s="655">
        <f>+IF(OR($Q144=Parametres!$G$2,$Q144=Parametres!$G$3),J144,D144)</f>
        <v>-4025.92</v>
      </c>
      <c r="P144" s="655">
        <f>+IF(OR($Q144=Parametres!$G$2,$Q144=Parametres!$G$3),K144,E144)</f>
        <v>262.38</v>
      </c>
      <c r="Q144" s="654" t="str">
        <f t="shared" si="140"/>
        <v>3-Passifs</v>
      </c>
      <c r="R144" s="653" t="str">
        <f t="shared" si="141"/>
        <v>250</v>
      </c>
      <c r="S144" s="654" t="str">
        <f t="shared" si="142"/>
        <v>_</v>
      </c>
      <c r="T144" s="656" t="str">
        <f>+VLOOKUP($L144,Data_Validation!$A:$D,1,0)</f>
        <v>2502</v>
      </c>
      <c r="U144" s="656" t="str">
        <f>+VLOOKUP($L144,Data_Validation!$A:$D,3,0)</f>
        <v>Bilan</v>
      </c>
      <c r="V144" s="656" t="str">
        <f>+VLOOKUP($L144,Data_Validation!$A:$D,4,0)</f>
        <v>Salaires à Payer</v>
      </c>
      <c r="W144" s="656" t="str">
        <f>+VLOOKUP($L144,Data_Validation!$A:$E,5,0)</f>
        <v>$</v>
      </c>
      <c r="X144" s="656">
        <f>+VLOOKUP($L144,Data_Validation!$A:$F,6,0)</f>
        <v>0</v>
      </c>
    </row>
    <row r="145" spans="1:24" ht="15" customHeight="1">
      <c r="A145" s="1332" t="s">
        <v>943</v>
      </c>
      <c r="B145" s="1332" t="s">
        <v>944</v>
      </c>
      <c r="C145" s="1334">
        <v>-55413.63</v>
      </c>
      <c r="D145" s="1334">
        <v>-28395.99</v>
      </c>
      <c r="E145" s="1334">
        <v>-83809.62</v>
      </c>
      <c r="F145" s="1332" t="s">
        <v>902</v>
      </c>
      <c r="G145" s="1332" t="s">
        <v>944</v>
      </c>
      <c r="H145" s="1332" t="s">
        <v>3942</v>
      </c>
      <c r="I145" s="652"/>
      <c r="J145" s="652"/>
      <c r="K145" s="652"/>
      <c r="L145" s="653" t="str">
        <f t="shared" si="138"/>
        <v>2503</v>
      </c>
      <c r="M145" s="654" t="str">
        <f t="shared" si="139"/>
        <v>SALAIRES DES EMPLOYES</v>
      </c>
      <c r="N145" s="655">
        <f>+IF(OR($Q145=Parametres!$G$2,$Q145=Parametres!$G$3),I145,C145)</f>
        <v>-55413.63</v>
      </c>
      <c r="O145" s="655">
        <f>+IF(OR($Q145=Parametres!$G$2,$Q145=Parametres!$G$3),J145,D145)</f>
        <v>-28395.99</v>
      </c>
      <c r="P145" s="655">
        <f>+IF(OR($Q145=Parametres!$G$2,$Q145=Parametres!$G$3),K145,E145)</f>
        <v>-83809.62</v>
      </c>
      <c r="Q145" s="654" t="str">
        <f t="shared" si="140"/>
        <v>3-Passifs</v>
      </c>
      <c r="R145" s="653" t="str">
        <f t="shared" si="141"/>
        <v>2503</v>
      </c>
      <c r="S145" s="654" t="str">
        <f t="shared" si="142"/>
        <v>_</v>
      </c>
      <c r="T145" s="656" t="str">
        <f>+VLOOKUP($L145,Data_Validation!$A:$D,1,0)</f>
        <v>2503</v>
      </c>
      <c r="U145" s="656" t="str">
        <f>+VLOOKUP($L145,Data_Validation!$A:$D,3,0)</f>
        <v>Bilan</v>
      </c>
      <c r="V145" s="656" t="str">
        <f>+VLOOKUP($L145,Data_Validation!$A:$D,4,0)</f>
        <v>Salaires à Payer</v>
      </c>
      <c r="W145" s="656" t="str">
        <f>+VLOOKUP($L145,Data_Validation!$A:$E,5,0)</f>
        <v>$</v>
      </c>
      <c r="X145" s="656">
        <f>+VLOOKUP($L145,Data_Validation!$A:$F,6,0)</f>
        <v>0</v>
      </c>
    </row>
    <row r="146" spans="1:24" ht="15" customHeight="1">
      <c r="A146" s="1332" t="s">
        <v>946</v>
      </c>
      <c r="B146" s="1332" t="s">
        <v>1740</v>
      </c>
      <c r="C146" s="1334">
        <v>-269726.03999999998</v>
      </c>
      <c r="D146" s="1334">
        <v>-316.48</v>
      </c>
      <c r="E146" s="1334">
        <v>-270042.52</v>
      </c>
      <c r="F146" s="1332" t="s">
        <v>902</v>
      </c>
      <c r="G146" s="1332" t="s">
        <v>944</v>
      </c>
      <c r="H146" s="1332" t="s">
        <v>3942</v>
      </c>
      <c r="I146" s="652"/>
      <c r="J146" s="652"/>
      <c r="K146" s="652"/>
      <c r="L146" s="653" t="str">
        <f t="shared" si="138"/>
        <v>2509</v>
      </c>
      <c r="M146" s="654" t="str">
        <f t="shared" si="139"/>
        <v>SALAIRES DE VACANCES</v>
      </c>
      <c r="N146" s="655">
        <f>+IF(OR($Q146=Parametres!$G$2,$Q146=Parametres!$G$3),I146,C146)</f>
        <v>-269726.03999999998</v>
      </c>
      <c r="O146" s="655">
        <f>+IF(OR($Q146=Parametres!$G$2,$Q146=Parametres!$G$3),J146,D146)</f>
        <v>-316.48</v>
      </c>
      <c r="P146" s="655">
        <f>+IF(OR($Q146=Parametres!$G$2,$Q146=Parametres!$G$3),K146,E146)</f>
        <v>-270042.52</v>
      </c>
      <c r="Q146" s="654" t="str">
        <f t="shared" si="140"/>
        <v>3-Passifs</v>
      </c>
      <c r="R146" s="653" t="str">
        <f t="shared" si="141"/>
        <v>2503</v>
      </c>
      <c r="S146" s="654" t="str">
        <f t="shared" si="142"/>
        <v>_</v>
      </c>
      <c r="T146" s="656" t="str">
        <f>+VLOOKUP($L146,Data_Validation!$A:$D,1,0)</f>
        <v>2509</v>
      </c>
      <c r="U146" s="656" t="str">
        <f>+VLOOKUP($L146,Data_Validation!$A:$D,3,0)</f>
        <v>Bilan</v>
      </c>
      <c r="V146" s="656" t="str">
        <f>+VLOOKUP($L146,Data_Validation!$A:$D,4,0)</f>
        <v>Salaires à Payer</v>
      </c>
      <c r="W146" s="656" t="str">
        <f>+VLOOKUP($L146,Data_Validation!$A:$E,5,0)</f>
        <v>$</v>
      </c>
      <c r="X146" s="656">
        <f>+VLOOKUP($L146,Data_Validation!$A:$F,6,0)</f>
        <v>0</v>
      </c>
    </row>
    <row r="147" spans="1:24" ht="15" customHeight="1">
      <c r="A147" s="1332" t="s">
        <v>947</v>
      </c>
      <c r="B147" s="1332" t="s">
        <v>1743</v>
      </c>
      <c r="C147" s="1334">
        <v>-2027.95</v>
      </c>
      <c r="D147" s="1334">
        <v>0</v>
      </c>
      <c r="E147" s="1334">
        <v>-2027.95</v>
      </c>
      <c r="F147" s="1332" t="s">
        <v>902</v>
      </c>
      <c r="G147" s="1332" t="s">
        <v>944</v>
      </c>
      <c r="H147" s="1332" t="s">
        <v>3942</v>
      </c>
      <c r="I147" s="652"/>
      <c r="J147" s="652"/>
      <c r="K147" s="652"/>
      <c r="L147" s="653" t="str">
        <f t="shared" si="138"/>
        <v>2511</v>
      </c>
      <c r="M147" s="654" t="str">
        <f t="shared" si="139"/>
        <v>JOURNEE MALADIE</v>
      </c>
      <c r="N147" s="655">
        <f>+IF(OR($Q147=Parametres!$G$2,$Q147=Parametres!$G$3),I147,C147)</f>
        <v>-2027.95</v>
      </c>
      <c r="O147" s="655">
        <f>+IF(OR($Q147=Parametres!$G$2,$Q147=Parametres!$G$3),J147,D147)</f>
        <v>0</v>
      </c>
      <c r="P147" s="655">
        <f>+IF(OR($Q147=Parametres!$G$2,$Q147=Parametres!$G$3),K147,E147)</f>
        <v>-2027.95</v>
      </c>
      <c r="Q147" s="654" t="str">
        <f t="shared" si="140"/>
        <v>3-Passifs</v>
      </c>
      <c r="R147" s="653" t="str">
        <f t="shared" si="141"/>
        <v>2503</v>
      </c>
      <c r="S147" s="654" t="str">
        <f t="shared" si="142"/>
        <v>_</v>
      </c>
      <c r="T147" s="656" t="str">
        <f>+VLOOKUP($L147,Data_Validation!$A:$D,1,0)</f>
        <v>2511</v>
      </c>
      <c r="U147" s="656" t="str">
        <f>+VLOOKUP($L147,Data_Validation!$A:$D,3,0)</f>
        <v>Bilan</v>
      </c>
      <c r="V147" s="656" t="str">
        <f>+VLOOKUP($L147,Data_Validation!$A:$D,4,0)</f>
        <v>Salaires à Payer</v>
      </c>
      <c r="W147" s="656" t="str">
        <f>+VLOOKUP($L147,Data_Validation!$A:$E,5,0)</f>
        <v>$</v>
      </c>
      <c r="X147" s="656">
        <f>+VLOOKUP($L147,Data_Validation!$A:$F,6,0)</f>
        <v>0</v>
      </c>
    </row>
    <row r="148" spans="1:24" ht="15" customHeight="1">
      <c r="A148" s="1332" t="s">
        <v>948</v>
      </c>
      <c r="B148" s="1332" t="s">
        <v>949</v>
      </c>
      <c r="C148" s="1334">
        <v>-235095</v>
      </c>
      <c r="D148" s="1334">
        <v>1680</v>
      </c>
      <c r="E148" s="1334">
        <v>-233415</v>
      </c>
      <c r="F148" s="1332" t="s">
        <v>902</v>
      </c>
      <c r="G148" s="1332" t="s">
        <v>949</v>
      </c>
      <c r="H148" s="1332" t="s">
        <v>3942</v>
      </c>
      <c r="I148" s="663"/>
      <c r="J148" s="663"/>
      <c r="K148" s="663"/>
      <c r="L148" s="653" t="str">
        <f t="shared" si="138"/>
        <v>2561</v>
      </c>
      <c r="M148" s="654" t="str">
        <f t="shared" si="139"/>
        <v>REVENUE HOLDBACK DIFFERE</v>
      </c>
      <c r="N148" s="655">
        <f>+IF(OR($Q148=Parametres!$G$2,$Q148=Parametres!$G$3),I148,C148)</f>
        <v>-235095</v>
      </c>
      <c r="O148" s="655">
        <f>+IF(OR($Q148=Parametres!$G$2,$Q148=Parametres!$G$3),J148,D148)</f>
        <v>1680</v>
      </c>
      <c r="P148" s="655">
        <f>+IF(OR($Q148=Parametres!$G$2,$Q148=Parametres!$G$3),K148,E148)</f>
        <v>-233415</v>
      </c>
      <c r="Q148" s="654" t="str">
        <f t="shared" si="140"/>
        <v>3-Passifs</v>
      </c>
      <c r="R148" s="653" t="str">
        <f t="shared" si="141"/>
        <v>2561</v>
      </c>
      <c r="S148" s="654" t="str">
        <f t="shared" si="142"/>
        <v>_</v>
      </c>
      <c r="T148" s="656" t="str">
        <f>+VLOOKUP($L148,Data_Validation!$A:$D,1,0)</f>
        <v>2561</v>
      </c>
      <c r="U148" s="656" t="str">
        <f>+VLOOKUP($L148,Data_Validation!$A:$D,3,0)</f>
        <v>Bilan</v>
      </c>
      <c r="V148" s="656" t="str">
        <f>+VLOOKUP($L148,Data_Validation!$A:$D,4,0)</f>
        <v>Autres Courus</v>
      </c>
      <c r="W148" s="656" t="str">
        <f>+VLOOKUP($L148,Data_Validation!$A:$E,5,0)</f>
        <v>$</v>
      </c>
      <c r="X148" s="656">
        <f>+VLOOKUP($L148,Data_Validation!$A:$F,6,0)</f>
        <v>0</v>
      </c>
    </row>
    <row r="149" spans="1:24" ht="15" customHeight="1">
      <c r="A149" s="1332" t="s">
        <v>952</v>
      </c>
      <c r="B149" s="1332" t="s">
        <v>953</v>
      </c>
      <c r="C149" s="1334">
        <v>-5862410</v>
      </c>
      <c r="D149" s="1334">
        <v>37754</v>
      </c>
      <c r="E149" s="1334">
        <v>-5824656</v>
      </c>
      <c r="F149" s="1332" t="s">
        <v>902</v>
      </c>
      <c r="G149" s="1332" t="s">
        <v>953</v>
      </c>
      <c r="H149" s="1332" t="s">
        <v>3942</v>
      </c>
      <c r="I149" s="663"/>
      <c r="J149" s="663"/>
      <c r="K149" s="663"/>
      <c r="L149" s="653" t="str">
        <f t="shared" si="138"/>
        <v>2801</v>
      </c>
      <c r="M149" s="654" t="str">
        <f t="shared" si="139"/>
        <v>PRET CIBC</v>
      </c>
      <c r="N149" s="655">
        <f>+IF(OR($Q149=Parametres!$G$2,$Q149=Parametres!$G$3),I149,C149)</f>
        <v>-5862410</v>
      </c>
      <c r="O149" s="655">
        <f>+IF(OR($Q149=Parametres!$G$2,$Q149=Parametres!$G$3),J149,D149)</f>
        <v>37754</v>
      </c>
      <c r="P149" s="655">
        <f>+IF(OR($Q149=Parametres!$G$2,$Q149=Parametres!$G$3),K149,E149)</f>
        <v>-5824656</v>
      </c>
      <c r="Q149" s="654" t="str">
        <f t="shared" si="140"/>
        <v>3-Passifs</v>
      </c>
      <c r="R149" s="653" t="str">
        <f t="shared" si="141"/>
        <v>2801</v>
      </c>
      <c r="S149" s="654" t="str">
        <f t="shared" si="142"/>
        <v>_</v>
      </c>
      <c r="T149" s="656" t="str">
        <f>+VLOOKUP($L149,Data_Validation!$A:$D,1,0)</f>
        <v>2801</v>
      </c>
      <c r="U149" s="656" t="str">
        <f>+VLOOKUP($L149,Data_Validation!$A:$D,3,0)</f>
        <v>Bilan</v>
      </c>
      <c r="V149" s="656" t="str">
        <f>+VLOOKUP($L149,Data_Validation!$A:$D,4,0)</f>
        <v>Dette à Long Terme</v>
      </c>
      <c r="W149" s="656" t="str">
        <f>+VLOOKUP($L149,Data_Validation!$A:$E,5,0)</f>
        <v>$</v>
      </c>
      <c r="X149" s="656">
        <f>+VLOOKUP($L149,Data_Validation!$A:$F,6,0)</f>
        <v>0</v>
      </c>
    </row>
    <row r="150" spans="1:24" ht="15" customHeight="1">
      <c r="A150" s="1332" t="s">
        <v>956</v>
      </c>
      <c r="B150" s="1332" t="s">
        <v>958</v>
      </c>
      <c r="C150" s="1334">
        <v>-2350000</v>
      </c>
      <c r="D150" s="1334">
        <v>0</v>
      </c>
      <c r="E150" s="1334">
        <v>-2350000</v>
      </c>
      <c r="F150" s="1332" t="s">
        <v>957</v>
      </c>
      <c r="G150" s="1332" t="s">
        <v>958</v>
      </c>
      <c r="H150" s="1332" t="s">
        <v>3942</v>
      </c>
      <c r="I150" s="652"/>
      <c r="J150" s="652"/>
      <c r="K150" s="652"/>
      <c r="L150" s="653" t="str">
        <f t="shared" si="138"/>
        <v>3001</v>
      </c>
      <c r="M150" s="654" t="str">
        <f t="shared" si="139"/>
        <v>ACTIONS CATEGORIE 1</v>
      </c>
      <c r="N150" s="655">
        <f>+IF(OR($Q150=Parametres!$G$2,$Q150=Parametres!$G$3),I150,C150)</f>
        <v>-2350000</v>
      </c>
      <c r="O150" s="655">
        <f>+IF(OR($Q150=Parametres!$G$2,$Q150=Parametres!$G$3),J150,D150)</f>
        <v>0</v>
      </c>
      <c r="P150" s="655">
        <f>+IF(OR($Q150=Parametres!$G$2,$Q150=Parametres!$G$3),K150,E150)</f>
        <v>-2350000</v>
      </c>
      <c r="Q150" s="654" t="str">
        <f t="shared" si="140"/>
        <v>4-Valeur nette</v>
      </c>
      <c r="R150" s="653" t="str">
        <f t="shared" si="141"/>
        <v>3001</v>
      </c>
      <c r="S150" s="654" t="str">
        <f t="shared" si="142"/>
        <v>_</v>
      </c>
      <c r="T150" s="656" t="str">
        <f>+VLOOKUP($L150,Data_Validation!$A:$D,1,0)</f>
        <v>3001</v>
      </c>
      <c r="U150" s="656" t="str">
        <f>+VLOOKUP($L150,Data_Validation!$A:$D,3,0)</f>
        <v>Bilan</v>
      </c>
      <c r="V150" s="656" t="str">
        <f>+VLOOKUP($L150,Data_Validation!$A:$D,4,0)</f>
        <v>Capital Actions</v>
      </c>
      <c r="W150" s="656" t="str">
        <f>+VLOOKUP($L150,Data_Validation!$A:$E,5,0)</f>
        <v>$</v>
      </c>
      <c r="X150" s="656">
        <f>+VLOOKUP($L150,Data_Validation!$A:$F,6,0)</f>
        <v>0</v>
      </c>
    </row>
    <row r="151" spans="1:24" ht="15.75" customHeight="1">
      <c r="A151" s="1332" t="s">
        <v>959</v>
      </c>
      <c r="B151" s="1332" t="s">
        <v>1768</v>
      </c>
      <c r="C151" s="1334">
        <v>-1723617</v>
      </c>
      <c r="D151" s="1334">
        <v>0</v>
      </c>
      <c r="E151" s="1334">
        <v>-1723617</v>
      </c>
      <c r="F151" s="1332" t="s">
        <v>957</v>
      </c>
      <c r="G151" s="1332" t="s">
        <v>958</v>
      </c>
      <c r="H151" s="1332" t="s">
        <v>3942</v>
      </c>
      <c r="I151" s="652"/>
      <c r="J151" s="652"/>
      <c r="K151" s="652"/>
      <c r="L151" s="653" t="str">
        <f t="shared" si="138"/>
        <v>3003</v>
      </c>
      <c r="M151" s="654" t="str">
        <f t="shared" si="139"/>
        <v>APPORT / RETRAIT</v>
      </c>
      <c r="N151" s="655">
        <f>+IF(OR($Q151=Parametres!$G$2,$Q151=Parametres!$G$3),I151,C151)</f>
        <v>-1723617</v>
      </c>
      <c r="O151" s="655">
        <f>+IF(OR($Q151=Parametres!$G$2,$Q151=Parametres!$G$3),J151,D151)</f>
        <v>0</v>
      </c>
      <c r="P151" s="655">
        <f>+IF(OR($Q151=Parametres!$G$2,$Q151=Parametres!$G$3),K151,E151)</f>
        <v>-1723617</v>
      </c>
      <c r="Q151" s="654" t="str">
        <f t="shared" si="140"/>
        <v>4-Valeur nette</v>
      </c>
      <c r="R151" s="653" t="str">
        <f t="shared" si="141"/>
        <v>3001</v>
      </c>
      <c r="S151" s="654" t="str">
        <f t="shared" si="142"/>
        <v>_</v>
      </c>
      <c r="T151" s="656" t="str">
        <f>+VLOOKUP($L151,Data_Validation!$A:$D,1,0)</f>
        <v>3003</v>
      </c>
      <c r="U151" s="656" t="str">
        <f>+VLOOKUP($L151,Data_Validation!$A:$D,3,0)</f>
        <v>Bilan</v>
      </c>
      <c r="V151" s="656" t="str">
        <f>+VLOOKUP($L151,Data_Validation!$A:$D,4,0)</f>
        <v>Apport</v>
      </c>
      <c r="W151" s="656" t="str">
        <f>+VLOOKUP($L151,Data_Validation!$A:$E,5,0)</f>
        <v>$</v>
      </c>
      <c r="X151" s="656">
        <f>+VLOOKUP($L151,Data_Validation!$A:$F,6,0)</f>
        <v>0</v>
      </c>
    </row>
    <row r="152" spans="1:24" ht="15" customHeight="1">
      <c r="A152" s="1332" t="s">
        <v>960</v>
      </c>
      <c r="B152" s="1332" t="s">
        <v>1771</v>
      </c>
      <c r="C152" s="1334">
        <v>-347547.5</v>
      </c>
      <c r="D152" s="1334">
        <v>0</v>
      </c>
      <c r="E152" s="1334">
        <v>-347547.5</v>
      </c>
      <c r="F152" s="1332" t="s">
        <v>957</v>
      </c>
      <c r="G152" s="1332" t="s">
        <v>958</v>
      </c>
      <c r="H152" s="1332" t="s">
        <v>3942</v>
      </c>
      <c r="I152" s="651"/>
      <c r="J152" s="651"/>
      <c r="K152" s="651"/>
      <c r="L152" s="653" t="str">
        <f t="shared" si="132"/>
        <v>3007</v>
      </c>
      <c r="M152" s="654" t="str">
        <f t="shared" si="0"/>
        <v>ACTIONS PARTICIPANTES</v>
      </c>
      <c r="N152" s="655">
        <f>+IF(OR($Q152=Parametres!$G$2,$Q152=Parametres!$G$3),I152,C152)</f>
        <v>-347547.5</v>
      </c>
      <c r="O152" s="655">
        <f>+IF(OR($Q152=Parametres!$G$2,$Q152=Parametres!$G$3),J152,D152)</f>
        <v>0</v>
      </c>
      <c r="P152" s="655">
        <f>+IF(OR($Q152=Parametres!$G$2,$Q152=Parametres!$G$3),K152,E152)</f>
        <v>-347547.5</v>
      </c>
      <c r="Q152" s="654" t="str">
        <f t="shared" ref="Q152:S152" si="143">+F152</f>
        <v>4-Valeur nette</v>
      </c>
      <c r="R152" s="653" t="str">
        <f t="shared" si="143"/>
        <v>3001</v>
      </c>
      <c r="S152" s="654" t="str">
        <f t="shared" si="143"/>
        <v>_</v>
      </c>
      <c r="T152" s="656" t="str">
        <f>+VLOOKUP($L152,Data_Validation!$A:$D,1,0)</f>
        <v>3007</v>
      </c>
      <c r="U152" s="656" t="str">
        <f>+VLOOKUP($L152,Data_Validation!$A:$D,3,0)</f>
        <v>Bilan</v>
      </c>
      <c r="V152" s="656" t="str">
        <f>+VLOOKUP($L152,Data_Validation!$A:$D,4,0)</f>
        <v>Capital Actions</v>
      </c>
      <c r="W152" s="656">
        <f>+VLOOKUP($L152,Data_Validation!$A:$E,5,0)</f>
        <v>0</v>
      </c>
      <c r="X152" s="656">
        <f>+VLOOKUP($L152,Data_Validation!$A:$F,6,0)</f>
        <v>0</v>
      </c>
    </row>
    <row r="153" spans="1:24" ht="15" customHeight="1">
      <c r="A153" s="1332" t="s">
        <v>961</v>
      </c>
      <c r="B153" s="1332" t="s">
        <v>1795</v>
      </c>
      <c r="C153" s="1334">
        <v>4110922.85</v>
      </c>
      <c r="D153" s="1334">
        <v>-3700563.44</v>
      </c>
      <c r="E153" s="1334">
        <v>410359.41</v>
      </c>
      <c r="F153" s="1332" t="s">
        <v>957</v>
      </c>
      <c r="G153" s="1332" t="s">
        <v>958</v>
      </c>
      <c r="H153" s="1332" t="s">
        <v>3942</v>
      </c>
      <c r="I153" s="652"/>
      <c r="J153" s="652"/>
      <c r="K153" s="652"/>
      <c r="L153" s="653" t="str">
        <f t="shared" si="132"/>
        <v>3201</v>
      </c>
      <c r="M153" s="654" t="str">
        <f t="shared" si="0"/>
        <v>BENEFICES NON-REPARTIS</v>
      </c>
      <c r="N153" s="655">
        <f>+IF(OR($Q153=Parametres!$G$2,$Q153=Parametres!$G$3),I153,C153)</f>
        <v>4110922.85</v>
      </c>
      <c r="O153" s="655">
        <f>+IF(OR($Q153=Parametres!$G$2,$Q153=Parametres!$G$3),J153,D153)</f>
        <v>-3700563.44</v>
      </c>
      <c r="P153" s="655">
        <f>+IF(OR($Q153=Parametres!$G$2,$Q153=Parametres!$G$3),K153,E153)</f>
        <v>410359.41</v>
      </c>
      <c r="Q153" s="654" t="str">
        <f t="shared" ref="Q153:S153" si="144">+F153</f>
        <v>4-Valeur nette</v>
      </c>
      <c r="R153" s="653" t="str">
        <f t="shared" si="144"/>
        <v>3001</v>
      </c>
      <c r="S153" s="654" t="str">
        <f t="shared" si="144"/>
        <v>_</v>
      </c>
      <c r="T153" s="656" t="str">
        <f>+VLOOKUP($L153,Data_Validation!$A:$D,1,0)</f>
        <v>3201</v>
      </c>
      <c r="U153" s="656" t="str">
        <f>+VLOOKUP($L153,Data_Validation!$A:$D,3,0)</f>
        <v>Bilan</v>
      </c>
      <c r="V153" s="656" t="str">
        <f>+VLOOKUP($L153,Data_Validation!$A:$D,4,0)</f>
        <v>Bénéfices non répartis</v>
      </c>
      <c r="W153" s="656" t="str">
        <f>+VLOOKUP($L153,Data_Validation!$A:$E,5,0)</f>
        <v>$</v>
      </c>
      <c r="X153" s="656">
        <f>+VLOOKUP($L153,Data_Validation!$A:$F,6,0)</f>
        <v>0</v>
      </c>
    </row>
    <row r="154" spans="1:24" ht="15" customHeight="1">
      <c r="A154" s="1332" t="s">
        <v>962</v>
      </c>
      <c r="B154" s="1332" t="s">
        <v>964</v>
      </c>
      <c r="C154" s="1334">
        <v>-366100.08</v>
      </c>
      <c r="D154" s="1334">
        <v>-189827.15</v>
      </c>
      <c r="E154" s="1334">
        <v>-555927.23</v>
      </c>
      <c r="F154" s="1332" t="s">
        <v>963</v>
      </c>
      <c r="G154" s="1332" t="s">
        <v>964</v>
      </c>
      <c r="H154" s="1332" t="s">
        <v>3942</v>
      </c>
      <c r="I154" s="651"/>
      <c r="J154" s="651"/>
      <c r="K154" s="651"/>
      <c r="L154" s="653" t="str">
        <f t="shared" si="132"/>
        <v>4100</v>
      </c>
      <c r="M154" s="654" t="str">
        <f t="shared" si="0"/>
        <v>VTE - RACHAT BAIL VW</v>
      </c>
      <c r="N154" s="655">
        <f>+IF(OR($Q154=Parametres!$G$2,$Q154=Parametres!$G$3),I154,C154)</f>
        <v>-366100.08</v>
      </c>
      <c r="O154" s="655">
        <f>+IF(OR($Q154=Parametres!$G$2,$Q154=Parametres!$G$3),J154,D154)</f>
        <v>-189827.15</v>
      </c>
      <c r="P154" s="655">
        <f>+IF(OR($Q154=Parametres!$G$2,$Q154=Parametres!$G$3),K154,E154)</f>
        <v>-555927.23</v>
      </c>
      <c r="Q154" s="654" t="str">
        <f t="shared" ref="Q154:S154" si="145">+F154</f>
        <v>5-Ventes</v>
      </c>
      <c r="R154" s="653" t="str">
        <f t="shared" si="145"/>
        <v>4100</v>
      </c>
      <c r="S154" s="654" t="str">
        <f t="shared" si="145"/>
        <v>_</v>
      </c>
      <c r="T154" s="656" t="str">
        <f>+VLOOKUP($L154,Data_Validation!$A:$D,1,0)</f>
        <v>4100</v>
      </c>
      <c r="U154" s="656" t="str">
        <f>+VLOOKUP($L154,Data_Validation!$A:$D,3,0)</f>
        <v>Véhicules neufs</v>
      </c>
      <c r="V154" s="656" t="str">
        <f>+VLOOKUP($L154,Data_Validation!$A:$D,4,0)</f>
        <v>Rachat bail</v>
      </c>
      <c r="W154" s="656" t="str">
        <f>+VLOOKUP($L154,Data_Validation!$A:$E,5,0)</f>
        <v>$</v>
      </c>
      <c r="X154" s="656" t="str">
        <f>+VLOOKUP($L154,Data_Validation!$A:$F,6,0)</f>
        <v>Oui</v>
      </c>
    </row>
    <row r="155" spans="1:24" ht="15.75" customHeight="1">
      <c r="A155" s="1332" t="s">
        <v>967</v>
      </c>
      <c r="B155" s="1332" t="s">
        <v>968</v>
      </c>
      <c r="C155" s="1334">
        <v>-58186</v>
      </c>
      <c r="D155" s="1334">
        <v>-164180.51</v>
      </c>
      <c r="E155" s="1334">
        <v>-222366.51</v>
      </c>
      <c r="F155" s="1332" t="s">
        <v>963</v>
      </c>
      <c r="G155" s="1332" t="s">
        <v>968</v>
      </c>
      <c r="H155" s="1332" t="s">
        <v>3942</v>
      </c>
      <c r="I155" s="652"/>
      <c r="J155" s="652"/>
      <c r="K155" s="652"/>
      <c r="L155" s="653" t="str">
        <f t="shared" si="132"/>
        <v>4109</v>
      </c>
      <c r="M155" s="654" t="str">
        <f t="shared" si="0"/>
        <v>VTE - GOLF R</v>
      </c>
      <c r="N155" s="655">
        <f>+IF(OR($Q155=Parametres!$G$2,$Q155=Parametres!$G$3),I155,C155)</f>
        <v>-58186</v>
      </c>
      <c r="O155" s="655">
        <f>+IF(OR($Q155=Parametres!$G$2,$Q155=Parametres!$G$3),J155,D155)</f>
        <v>-164180.51</v>
      </c>
      <c r="P155" s="655">
        <f>+IF(OR($Q155=Parametres!$G$2,$Q155=Parametres!$G$3),K155,E155)</f>
        <v>-222366.51</v>
      </c>
      <c r="Q155" s="654" t="str">
        <f t="shared" ref="Q155:S155" si="146">+F155</f>
        <v>5-Ventes</v>
      </c>
      <c r="R155" s="653" t="str">
        <f t="shared" si="146"/>
        <v>4109</v>
      </c>
      <c r="S155" s="654" t="str">
        <f t="shared" si="146"/>
        <v>_</v>
      </c>
      <c r="T155" s="656" t="str">
        <f>+VLOOKUP($L155,Data_Validation!$A:$D,1,0)</f>
        <v>4109</v>
      </c>
      <c r="U155" s="656" t="str">
        <f>+VLOOKUP($L155,Data_Validation!$A:$D,3,0)</f>
        <v>Véhicules neufs</v>
      </c>
      <c r="V155" s="656" t="str">
        <f>+VLOOKUP($L155,Data_Validation!$A:$D,4,0)</f>
        <v>Autos détail</v>
      </c>
      <c r="W155" s="656" t="str">
        <f>+VLOOKUP($L155,Data_Validation!$A:$E,5,0)</f>
        <v>$</v>
      </c>
      <c r="X155" s="656" t="str">
        <f>+VLOOKUP($L155,Data_Validation!$A:$F,6,0)</f>
        <v>Oui</v>
      </c>
    </row>
    <row r="156" spans="1:24" ht="15" customHeight="1">
      <c r="A156" s="1332" t="s">
        <v>971</v>
      </c>
      <c r="B156" s="1332" t="s">
        <v>972</v>
      </c>
      <c r="C156" s="1334">
        <v>-263418.5</v>
      </c>
      <c r="D156" s="1334">
        <v>-94079.47</v>
      </c>
      <c r="E156" s="1334">
        <v>-357497.97</v>
      </c>
      <c r="F156" s="1332" t="s">
        <v>963</v>
      </c>
      <c r="G156" s="1332" t="s">
        <v>972</v>
      </c>
      <c r="H156" s="1332" t="s">
        <v>3942</v>
      </c>
      <c r="I156" s="651"/>
      <c r="J156" s="651"/>
      <c r="K156" s="651"/>
      <c r="L156" s="653" t="str">
        <f t="shared" si="132"/>
        <v>4111</v>
      </c>
      <c r="M156" s="654" t="str">
        <f t="shared" si="0"/>
        <v>JETTA/ JETTA GLI</v>
      </c>
      <c r="N156" s="655">
        <f>+IF(OR($Q156=Parametres!$G$2,$Q156=Parametres!$G$3),I156,C156)</f>
        <v>-263418.5</v>
      </c>
      <c r="O156" s="655">
        <f>+IF(OR($Q156=Parametres!$G$2,$Q156=Parametres!$G$3),J156,D156)</f>
        <v>-94079.47</v>
      </c>
      <c r="P156" s="655">
        <f>+IF(OR($Q156=Parametres!$G$2,$Q156=Parametres!$G$3),K156,E156)</f>
        <v>-357497.97</v>
      </c>
      <c r="Q156" s="654" t="str">
        <f t="shared" ref="Q156:S156" si="147">+F156</f>
        <v>5-Ventes</v>
      </c>
      <c r="R156" s="653" t="str">
        <f t="shared" si="147"/>
        <v>4111</v>
      </c>
      <c r="S156" s="654" t="str">
        <f t="shared" si="147"/>
        <v>_</v>
      </c>
      <c r="T156" s="656" t="str">
        <f>+VLOOKUP($L156,Data_Validation!$A:$D,1,0)</f>
        <v>4111</v>
      </c>
      <c r="U156" s="656" t="str">
        <f>+VLOOKUP($L156,Data_Validation!$A:$D,3,0)</f>
        <v>Véhicules neufs</v>
      </c>
      <c r="V156" s="656" t="str">
        <f>+VLOOKUP($L156,Data_Validation!$A:$D,4,0)</f>
        <v>Autos détail</v>
      </c>
      <c r="W156" s="656" t="str">
        <f>+VLOOKUP($L156,Data_Validation!$A:$E,5,0)</f>
        <v>$</v>
      </c>
      <c r="X156" s="656" t="str">
        <f>+VLOOKUP($L156,Data_Validation!$A:$F,6,0)</f>
        <v>Oui</v>
      </c>
    </row>
    <row r="157" spans="1:24" ht="15" customHeight="1">
      <c r="A157" s="1332" t="s">
        <v>974</v>
      </c>
      <c r="B157" s="1332" t="s">
        <v>3379</v>
      </c>
      <c r="C157" s="1334">
        <v>-1000379.58</v>
      </c>
      <c r="D157" s="1334">
        <v>-345199.22</v>
      </c>
      <c r="E157" s="1334">
        <v>-1345578.8</v>
      </c>
      <c r="F157" s="1332" t="s">
        <v>963</v>
      </c>
      <c r="G157" s="1332" t="s">
        <v>975</v>
      </c>
      <c r="H157" s="1332" t="s">
        <v>3942</v>
      </c>
      <c r="I157" s="652"/>
      <c r="J157" s="652"/>
      <c r="K157" s="652"/>
      <c r="L157" s="653" t="str">
        <f t="shared" si="132"/>
        <v>4118</v>
      </c>
      <c r="M157" s="654" t="str">
        <f t="shared" si="0"/>
        <v>VTES -TAOS</v>
      </c>
      <c r="N157" s="655">
        <f>+IF(OR($Q157=Parametres!$G$2,$Q157=Parametres!$G$3),I157,C157)</f>
        <v>-1000379.58</v>
      </c>
      <c r="O157" s="655">
        <f>+IF(OR($Q157=Parametres!$G$2,$Q157=Parametres!$G$3),J157,D157)</f>
        <v>-345199.22</v>
      </c>
      <c r="P157" s="655">
        <f>+IF(OR($Q157=Parametres!$G$2,$Q157=Parametres!$G$3),K157,E157)</f>
        <v>-1345578.8</v>
      </c>
      <c r="Q157" s="654" t="str">
        <f t="shared" ref="Q157:S157" si="148">+F157</f>
        <v>5-Ventes</v>
      </c>
      <c r="R157" s="653" t="str">
        <f t="shared" si="148"/>
        <v>4117</v>
      </c>
      <c r="S157" s="654" t="str">
        <f t="shared" si="148"/>
        <v>_</v>
      </c>
      <c r="T157" s="656" t="str">
        <f>+VLOOKUP($L157,Data_Validation!$A:$D,1,0)</f>
        <v>4118</v>
      </c>
      <c r="U157" s="656" t="str">
        <f>+VLOOKUP($L157,Data_Validation!$A:$D,3,0)</f>
        <v>Véhicules neufs</v>
      </c>
      <c r="V157" s="656" t="str">
        <f>+VLOOKUP($L157,Data_Validation!$A:$D,4,0)</f>
        <v>Camions détail</v>
      </c>
      <c r="W157" s="656" t="str">
        <f>+VLOOKUP($L157,Data_Validation!$A:$E,5,0)</f>
        <v>$</v>
      </c>
      <c r="X157" s="656" t="str">
        <f>+VLOOKUP($L157,Data_Validation!$A:$F,6,0)</f>
        <v>Oui</v>
      </c>
    </row>
    <row r="158" spans="1:24" ht="15" customHeight="1">
      <c r="A158" s="1332" t="s">
        <v>979</v>
      </c>
      <c r="B158" s="1332" t="s">
        <v>980</v>
      </c>
      <c r="C158" s="1334">
        <v>-310493.67</v>
      </c>
      <c r="D158" s="1334">
        <v>-640919.87</v>
      </c>
      <c r="E158" s="1334">
        <v>-951413.54</v>
      </c>
      <c r="F158" s="1332" t="s">
        <v>963</v>
      </c>
      <c r="G158" s="1332" t="s">
        <v>980</v>
      </c>
      <c r="H158" s="1332" t="s">
        <v>3942</v>
      </c>
      <c r="I158" s="663"/>
      <c r="J158" s="663"/>
      <c r="K158" s="663"/>
      <c r="L158" s="653" t="str">
        <f t="shared" si="132"/>
        <v>4119</v>
      </c>
      <c r="M158" s="654" t="str">
        <f t="shared" si="0"/>
        <v>VTE - ATLAS</v>
      </c>
      <c r="N158" s="655">
        <f>+IF(OR($Q158=Parametres!$G$2,$Q158=Parametres!$G$3),I158,C158)</f>
        <v>-310493.67</v>
      </c>
      <c r="O158" s="655">
        <f>+IF(OR($Q158=Parametres!$G$2,$Q158=Parametres!$G$3),J158,D158)</f>
        <v>-640919.87</v>
      </c>
      <c r="P158" s="655">
        <f>+IF(OR($Q158=Parametres!$G$2,$Q158=Parametres!$G$3),K158,E158)</f>
        <v>-951413.54</v>
      </c>
      <c r="Q158" s="654" t="str">
        <f t="shared" ref="Q158:S158" si="149">+F158</f>
        <v>5-Ventes</v>
      </c>
      <c r="R158" s="653" t="str">
        <f t="shared" si="149"/>
        <v>4119</v>
      </c>
      <c r="S158" s="654" t="str">
        <f t="shared" si="149"/>
        <v>_</v>
      </c>
      <c r="T158" s="656" t="str">
        <f>+VLOOKUP($L158,Data_Validation!$A:$D,1,0)</f>
        <v>4119</v>
      </c>
      <c r="U158" s="656" t="str">
        <f>+VLOOKUP($L158,Data_Validation!$A:$D,3,0)</f>
        <v>Véhicules neufs</v>
      </c>
      <c r="V158" s="656" t="str">
        <f>+VLOOKUP($L158,Data_Validation!$A:$D,4,0)</f>
        <v>Camions détail</v>
      </c>
      <c r="W158" s="656" t="str">
        <f>+VLOOKUP($L158,Data_Validation!$A:$E,5,0)</f>
        <v>$</v>
      </c>
      <c r="X158" s="656" t="str">
        <f>+VLOOKUP($L158,Data_Validation!$A:$F,6,0)</f>
        <v>Oui</v>
      </c>
    </row>
    <row r="159" spans="1:24" ht="15.75" customHeight="1">
      <c r="A159" s="1332" t="s">
        <v>983</v>
      </c>
      <c r="B159" s="1332" t="s">
        <v>3348</v>
      </c>
      <c r="C159" s="1334">
        <v>-127544.62</v>
      </c>
      <c r="D159" s="1334">
        <v>-131177.51</v>
      </c>
      <c r="E159" s="1334">
        <v>-258722.13</v>
      </c>
      <c r="F159" s="1332" t="s">
        <v>963</v>
      </c>
      <c r="G159" s="1332" t="s">
        <v>3348</v>
      </c>
      <c r="H159" s="1332" t="s">
        <v>3942</v>
      </c>
      <c r="I159" s="664"/>
      <c r="J159" s="664"/>
      <c r="K159" s="664"/>
      <c r="L159" s="653" t="str">
        <f t="shared" si="132"/>
        <v>4121</v>
      </c>
      <c r="M159" s="654" t="str">
        <f t="shared" si="0"/>
        <v>VTES -VTE - ATLAS CROSS SPORT</v>
      </c>
      <c r="N159" s="655">
        <f>+IF(OR($Q159=Parametres!$G$2,$Q159=Parametres!$G$3),I159,C159)</f>
        <v>-127544.62</v>
      </c>
      <c r="O159" s="655">
        <f>+IF(OR($Q159=Parametres!$G$2,$Q159=Parametres!$G$3),J159,D159)</f>
        <v>-131177.51</v>
      </c>
      <c r="P159" s="655">
        <f>+IF(OR($Q159=Parametres!$G$2,$Q159=Parametres!$G$3),K159,E159)</f>
        <v>-258722.13</v>
      </c>
      <c r="Q159" s="654" t="str">
        <f t="shared" ref="Q159:S159" si="150">+F159</f>
        <v>5-Ventes</v>
      </c>
      <c r="R159" s="653" t="str">
        <f t="shared" si="150"/>
        <v>4121</v>
      </c>
      <c r="S159" s="654" t="str">
        <f t="shared" si="150"/>
        <v>_</v>
      </c>
      <c r="T159" s="656" t="str">
        <f>+VLOOKUP($L159,Data_Validation!$A:$D,1,0)</f>
        <v>4121</v>
      </c>
      <c r="U159" s="656" t="str">
        <f>+VLOOKUP($L159,Data_Validation!$A:$D,3,0)</f>
        <v>Véhicules neufs</v>
      </c>
      <c r="V159" s="656" t="str">
        <f>+VLOOKUP($L159,Data_Validation!$A:$D,4,0)</f>
        <v>Camions détail</v>
      </c>
      <c r="W159" s="656" t="str">
        <f>+VLOOKUP($L159,Data_Validation!$A:$E,5,0)</f>
        <v>$</v>
      </c>
      <c r="X159" s="656" t="str">
        <f>+VLOOKUP($L159,Data_Validation!$A:$F,6,0)</f>
        <v>oui</v>
      </c>
    </row>
    <row r="160" spans="1:24" ht="15" customHeight="1">
      <c r="A160" s="1332" t="s">
        <v>986</v>
      </c>
      <c r="B160" s="1332" t="s">
        <v>987</v>
      </c>
      <c r="C160" s="1334">
        <v>-131526.9</v>
      </c>
      <c r="D160" s="1334">
        <v>0</v>
      </c>
      <c r="E160" s="1334">
        <v>-131526.9</v>
      </c>
      <c r="F160" s="1332" t="s">
        <v>963</v>
      </c>
      <c r="G160" s="1332" t="s">
        <v>987</v>
      </c>
      <c r="H160" s="1332" t="s">
        <v>3942</v>
      </c>
      <c r="I160" s="663"/>
      <c r="J160" s="663"/>
      <c r="K160" s="663"/>
      <c r="L160" s="653" t="str">
        <f t="shared" si="132"/>
        <v>4127</v>
      </c>
      <c r="M160" s="654" t="str">
        <f t="shared" si="0"/>
        <v>VTE - GOLF GTI</v>
      </c>
      <c r="N160" s="655">
        <f>+IF(OR($Q160=Parametres!$G$2,$Q160=Parametres!$G$3),I160,C160)</f>
        <v>-131526.9</v>
      </c>
      <c r="O160" s="655">
        <f>+IF(OR($Q160=Parametres!$G$2,$Q160=Parametres!$G$3),J160,D160)</f>
        <v>0</v>
      </c>
      <c r="P160" s="655">
        <f>+IF(OR($Q160=Parametres!$G$2,$Q160=Parametres!$G$3),K160,E160)</f>
        <v>-131526.9</v>
      </c>
      <c r="Q160" s="654" t="str">
        <f t="shared" ref="Q160:S160" si="151">+F160</f>
        <v>5-Ventes</v>
      </c>
      <c r="R160" s="653" t="str">
        <f t="shared" si="151"/>
        <v>4127</v>
      </c>
      <c r="S160" s="654" t="str">
        <f t="shared" si="151"/>
        <v>_</v>
      </c>
      <c r="T160" s="656" t="str">
        <f>+VLOOKUP($L160,Data_Validation!$A:$D,1,0)</f>
        <v>4127</v>
      </c>
      <c r="U160" s="656" t="str">
        <f>+VLOOKUP($L160,Data_Validation!$A:$D,3,0)</f>
        <v>Véhicules neufs</v>
      </c>
      <c r="V160" s="656" t="str">
        <f>+VLOOKUP($L160,Data_Validation!$A:$D,4,0)</f>
        <v>Autos détail</v>
      </c>
      <c r="W160" s="656" t="str">
        <f>+VLOOKUP($L160,Data_Validation!$A:$E,5,0)</f>
        <v>$</v>
      </c>
      <c r="X160" s="656" t="str">
        <f>+VLOOKUP($L160,Data_Validation!$A:$F,6,0)</f>
        <v>Oui</v>
      </c>
    </row>
    <row r="161" spans="1:24" ht="15" customHeight="1">
      <c r="A161" s="1332" t="s">
        <v>990</v>
      </c>
      <c r="B161" s="1332" t="s">
        <v>991</v>
      </c>
      <c r="C161" s="1334">
        <v>-1703501.72</v>
      </c>
      <c r="D161" s="1334">
        <v>-1110422.28</v>
      </c>
      <c r="E161" s="1334">
        <v>-2813924</v>
      </c>
      <c r="F161" s="1332" t="s">
        <v>963</v>
      </c>
      <c r="G161" s="1332" t="s">
        <v>991</v>
      </c>
      <c r="H161" s="1332" t="s">
        <v>3942</v>
      </c>
      <c r="I161" s="664"/>
      <c r="J161" s="664"/>
      <c r="K161" s="664"/>
      <c r="L161" s="653" t="str">
        <f t="shared" si="132"/>
        <v>4131</v>
      </c>
      <c r="M161" s="654" t="str">
        <f t="shared" si="0"/>
        <v>VTE - TIGUAN LWB</v>
      </c>
      <c r="N161" s="655">
        <f>+IF(OR($Q161=Parametres!$G$2,$Q161=Parametres!$G$3),I161,C161)</f>
        <v>-1703501.72</v>
      </c>
      <c r="O161" s="655">
        <f>+IF(OR($Q161=Parametres!$G$2,$Q161=Parametres!$G$3),J161,D161)</f>
        <v>-1110422.28</v>
      </c>
      <c r="P161" s="655">
        <f>+IF(OR($Q161=Parametres!$G$2,$Q161=Parametres!$G$3),K161,E161)</f>
        <v>-2813924</v>
      </c>
      <c r="Q161" s="654" t="str">
        <f t="shared" ref="Q161:S161" si="152">+F161</f>
        <v>5-Ventes</v>
      </c>
      <c r="R161" s="653" t="str">
        <f t="shared" si="152"/>
        <v>4131</v>
      </c>
      <c r="S161" s="654" t="str">
        <f t="shared" si="152"/>
        <v>_</v>
      </c>
      <c r="T161" s="656" t="str">
        <f>+VLOOKUP($L161,Data_Validation!$A:$D,1,0)</f>
        <v>4131</v>
      </c>
      <c r="U161" s="656" t="str">
        <f>+VLOOKUP($L161,Data_Validation!$A:$D,3,0)</f>
        <v>Véhicules neufs</v>
      </c>
      <c r="V161" s="656" t="str">
        <f>+VLOOKUP($L161,Data_Validation!$A:$D,4,0)</f>
        <v>Camions détail</v>
      </c>
      <c r="W161" s="656" t="str">
        <f>+VLOOKUP($L161,Data_Validation!$A:$E,5,0)</f>
        <v>$</v>
      </c>
      <c r="X161" s="656" t="str">
        <f>+VLOOKUP($L161,Data_Validation!$A:$F,6,0)</f>
        <v>Oui</v>
      </c>
    </row>
    <row r="162" spans="1:24" ht="15" customHeight="1">
      <c r="A162" s="1332" t="s">
        <v>994</v>
      </c>
      <c r="B162" s="1332" t="s">
        <v>995</v>
      </c>
      <c r="C162" s="1334">
        <v>-506199.11</v>
      </c>
      <c r="D162" s="1334">
        <v>-900925.95</v>
      </c>
      <c r="E162" s="1334">
        <v>-1407125.06</v>
      </c>
      <c r="F162" s="1332" t="s">
        <v>963</v>
      </c>
      <c r="G162" s="1332" t="s">
        <v>995</v>
      </c>
      <c r="H162" s="1332" t="s">
        <v>3942</v>
      </c>
      <c r="I162" s="652"/>
      <c r="J162" s="652"/>
      <c r="K162" s="652"/>
      <c r="L162" s="653" t="str">
        <f t="shared" si="132"/>
        <v>4137</v>
      </c>
      <c r="M162" s="654" t="str">
        <f t="shared" si="0"/>
        <v>VTE - VW-FLOTTE/VENTES ENTR/EMPLOYE/VEH DEMON</v>
      </c>
      <c r="N162" s="655">
        <f>+IF(OR($Q162=Parametres!$G$2,$Q162=Parametres!$G$3),I162,C162)</f>
        <v>-506199.11</v>
      </c>
      <c r="O162" s="655">
        <f>+IF(OR($Q162=Parametres!$G$2,$Q162=Parametres!$G$3),J162,D162)</f>
        <v>-900925.95</v>
      </c>
      <c r="P162" s="655">
        <f>+IF(OR($Q162=Parametres!$G$2,$Q162=Parametres!$G$3),K162,E162)</f>
        <v>-1407125.06</v>
      </c>
      <c r="Q162" s="654" t="str">
        <f t="shared" ref="Q162:S162" si="153">+F162</f>
        <v>5-Ventes</v>
      </c>
      <c r="R162" s="653" t="str">
        <f t="shared" si="153"/>
        <v>4137</v>
      </c>
      <c r="S162" s="654" t="str">
        <f t="shared" si="153"/>
        <v>_</v>
      </c>
      <c r="T162" s="656" t="str">
        <f>+VLOOKUP($L162,Data_Validation!$A:$D,1,0)</f>
        <v>4137</v>
      </c>
      <c r="U162" s="656" t="str">
        <f>+VLOOKUP($L162,Data_Validation!$A:$D,3,0)</f>
        <v>Véhicules neufs</v>
      </c>
      <c r="V162" s="656" t="str">
        <f>+VLOOKUP($L162,Data_Validation!$A:$D,4,0)</f>
        <v>Flottes</v>
      </c>
      <c r="W162" s="656" t="str">
        <f>+VLOOKUP($L162,Data_Validation!$A:$E,5,0)</f>
        <v>$</v>
      </c>
      <c r="X162" s="656" t="str">
        <f>+VLOOKUP($L162,Data_Validation!$A:$F,6,0)</f>
        <v>Oui</v>
      </c>
    </row>
    <row r="163" spans="1:24" ht="15.75" customHeight="1">
      <c r="A163" s="1332" t="s">
        <v>998</v>
      </c>
      <c r="B163" s="1332" t="s">
        <v>999</v>
      </c>
      <c r="C163" s="1334">
        <v>-96597.15</v>
      </c>
      <c r="D163" s="1334">
        <v>-61924.95</v>
      </c>
      <c r="E163" s="1334">
        <v>-158522.1</v>
      </c>
      <c r="F163" s="1332" t="s">
        <v>963</v>
      </c>
      <c r="G163" s="1332" t="s">
        <v>999</v>
      </c>
      <c r="H163" s="1332" t="s">
        <v>3942</v>
      </c>
      <c r="I163" s="660"/>
      <c r="J163" s="651"/>
      <c r="K163" s="660"/>
      <c r="L163" s="653" t="str">
        <f t="shared" si="132"/>
        <v>4139</v>
      </c>
      <c r="M163" s="654" t="str">
        <f t="shared" si="0"/>
        <v>VTE - VW FLOTTE/VENTE ENTR/EMPLOYE/VEH DEMONS</v>
      </c>
      <c r="N163" s="655">
        <f>+IF(OR($Q163=Parametres!$G$2,$Q163=Parametres!$G$3),I163,C163)</f>
        <v>-96597.15</v>
      </c>
      <c r="O163" s="655">
        <f>+IF(OR($Q163=Parametres!$G$2,$Q163=Parametres!$G$3),J163,D163)</f>
        <v>-61924.95</v>
      </c>
      <c r="P163" s="655">
        <f>+IF(OR($Q163=Parametres!$G$2,$Q163=Parametres!$G$3),K163,E163)</f>
        <v>-158522.1</v>
      </c>
      <c r="Q163" s="654" t="str">
        <f t="shared" ref="Q163:S163" si="154">+F163</f>
        <v>5-Ventes</v>
      </c>
      <c r="R163" s="653" t="str">
        <f t="shared" si="154"/>
        <v>4139</v>
      </c>
      <c r="S163" s="654" t="str">
        <f t="shared" si="154"/>
        <v>_</v>
      </c>
      <c r="T163" s="656" t="str">
        <f>+VLOOKUP($L163,Data_Validation!$A:$D,1,0)</f>
        <v>4139</v>
      </c>
      <c r="U163" s="656" t="str">
        <f>+VLOOKUP($L163,Data_Validation!$A:$D,3,0)</f>
        <v>Véhicules neufs</v>
      </c>
      <c r="V163" s="656" t="str">
        <f>+VLOOKUP($L163,Data_Validation!$A:$D,4,0)</f>
        <v>Ex-Démos et courtoisies</v>
      </c>
      <c r="W163" s="656" t="str">
        <f>+VLOOKUP($L163,Data_Validation!$A:$E,5,0)</f>
        <v>$</v>
      </c>
      <c r="X163" s="656" t="str">
        <f>+VLOOKUP($L163,Data_Validation!$A:$F,6,0)</f>
        <v>Oui</v>
      </c>
    </row>
    <row r="164" spans="1:24" ht="15" customHeight="1">
      <c r="A164" s="1332" t="s">
        <v>3892</v>
      </c>
      <c r="B164" s="1332" t="s">
        <v>3893</v>
      </c>
      <c r="C164" s="1334">
        <v>0</v>
      </c>
      <c r="D164" s="1334">
        <v>-107945.5</v>
      </c>
      <c r="E164" s="1334">
        <v>-107945.5</v>
      </c>
      <c r="F164" s="1332" t="s">
        <v>963</v>
      </c>
      <c r="G164" s="1332" t="s">
        <v>3893</v>
      </c>
      <c r="H164" s="1332" t="s">
        <v>3942</v>
      </c>
      <c r="I164" s="651"/>
      <c r="J164" s="651"/>
      <c r="K164" s="651"/>
      <c r="L164" s="653" t="str">
        <f t="shared" si="132"/>
        <v>4141</v>
      </c>
      <c r="M164" s="654" t="str">
        <f t="shared" si="0"/>
        <v>VTES -VTE - ID4</v>
      </c>
      <c r="N164" s="655">
        <f>+IF(OR($Q164=Parametres!$G$2,$Q164=Parametres!$G$3),I164,C164)</f>
        <v>0</v>
      </c>
      <c r="O164" s="655">
        <f>+IF(OR($Q164=Parametres!$G$2,$Q164=Parametres!$G$3),J164,D164)</f>
        <v>-107945.5</v>
      </c>
      <c r="P164" s="655">
        <f>+IF(OR($Q164=Parametres!$G$2,$Q164=Parametres!$G$3),K164,E164)</f>
        <v>-107945.5</v>
      </c>
      <c r="Q164" s="654" t="str">
        <f t="shared" ref="Q164:S164" si="155">+F164</f>
        <v>5-Ventes</v>
      </c>
      <c r="R164" s="653" t="str">
        <f t="shared" si="155"/>
        <v>4141</v>
      </c>
      <c r="S164" s="654" t="str">
        <f t="shared" si="155"/>
        <v>_</v>
      </c>
      <c r="T164" s="656" t="str">
        <f>+VLOOKUP($L164,Data_Validation!$A:$D,1,0)</f>
        <v>4141</v>
      </c>
      <c r="U164" s="656" t="str">
        <f>+VLOOKUP($L164,Data_Validation!$A:$D,3,0)</f>
        <v>Véhicules neufs</v>
      </c>
      <c r="V164" s="656" t="str">
        <f>+VLOOKUP($L164,Data_Validation!$A:$D,4,0)</f>
        <v>Camions détail</v>
      </c>
      <c r="W164" s="656" t="str">
        <f>+VLOOKUP($L164,Data_Validation!$A:$E,5,0)</f>
        <v>$</v>
      </c>
      <c r="X164" s="656" t="str">
        <f>+VLOOKUP($L164,Data_Validation!$A:$F,6,0)</f>
        <v>Oui</v>
      </c>
    </row>
    <row r="165" spans="1:24" ht="15" customHeight="1">
      <c r="A165" s="1332" t="s">
        <v>1002</v>
      </c>
      <c r="B165" s="1332" t="s">
        <v>3380</v>
      </c>
      <c r="C165" s="1334">
        <v>-86698.74</v>
      </c>
      <c r="D165" s="1334">
        <v>-37195.08</v>
      </c>
      <c r="E165" s="1334">
        <v>-123893.82</v>
      </c>
      <c r="F165" s="1332" t="s">
        <v>963</v>
      </c>
      <c r="G165" s="1332" t="s">
        <v>1003</v>
      </c>
      <c r="H165" s="1332" t="s">
        <v>3942</v>
      </c>
      <c r="I165" s="660"/>
      <c r="J165" s="660"/>
      <c r="K165" s="660"/>
      <c r="L165" s="653" t="str">
        <f t="shared" si="132"/>
        <v>4144</v>
      </c>
      <c r="M165" s="654" t="str">
        <f t="shared" si="0"/>
        <v>VTES -JETTA GLI</v>
      </c>
      <c r="N165" s="655">
        <f>+IF(OR($Q165=Parametres!$G$2,$Q165=Parametres!$G$3),I165,C165)</f>
        <v>-86698.74</v>
      </c>
      <c r="O165" s="655">
        <f>+IF(OR($Q165=Parametres!$G$2,$Q165=Parametres!$G$3),J165,D165)</f>
        <v>-37195.08</v>
      </c>
      <c r="P165" s="655">
        <f>+IF(OR($Q165=Parametres!$G$2,$Q165=Parametres!$G$3),K165,E165)</f>
        <v>-123893.82</v>
      </c>
      <c r="Q165" s="654" t="str">
        <f t="shared" ref="Q165:S165" si="156">+F165</f>
        <v>5-Ventes</v>
      </c>
      <c r="R165" s="653" t="str">
        <f t="shared" si="156"/>
        <v>414</v>
      </c>
      <c r="S165" s="654" t="str">
        <f t="shared" si="156"/>
        <v>_</v>
      </c>
      <c r="T165" s="656" t="str">
        <f>+VLOOKUP($L165,Data_Validation!$A:$D,1,0)</f>
        <v>4144</v>
      </c>
      <c r="U165" s="656" t="str">
        <f>+VLOOKUP($L165,Data_Validation!$A:$D,3,0)</f>
        <v>Véhicules neufs</v>
      </c>
      <c r="V165" s="656" t="str">
        <f>+VLOOKUP($L165,Data_Validation!$A:$D,4,0)</f>
        <v>Autos détail</v>
      </c>
      <c r="W165" s="656" t="str">
        <f>+VLOOKUP($L165,Data_Validation!$A:$E,5,0)</f>
        <v>$</v>
      </c>
      <c r="X165" s="656" t="str">
        <f>+VLOOKUP($L165,Data_Validation!$A:$F,6,0)</f>
        <v>Oui</v>
      </c>
    </row>
    <row r="166" spans="1:24" ht="15" customHeight="1">
      <c r="A166" s="1332" t="s">
        <v>3944</v>
      </c>
      <c r="B166" s="1332" t="s">
        <v>3945</v>
      </c>
      <c r="C166" s="1334">
        <v>0</v>
      </c>
      <c r="D166" s="1334">
        <v>-75512.95</v>
      </c>
      <c r="E166" s="1334">
        <v>-75512.95</v>
      </c>
      <c r="F166" s="1332" t="s">
        <v>963</v>
      </c>
      <c r="G166" s="1332" t="s">
        <v>3962</v>
      </c>
      <c r="H166" s="1332" t="s">
        <v>3942</v>
      </c>
      <c r="I166" s="665"/>
      <c r="J166" s="665"/>
      <c r="K166" s="665"/>
      <c r="L166" s="653" t="str">
        <f t="shared" si="132"/>
        <v>4145</v>
      </c>
      <c r="M166" s="654" t="str">
        <f t="shared" si="0"/>
        <v>ID BUZZ</v>
      </c>
      <c r="N166" s="655">
        <f>+IF(OR($Q166=Parametres!$G$2,$Q166=Parametres!$G$3),I166,C166)</f>
        <v>0</v>
      </c>
      <c r="O166" s="655">
        <f>+IF(OR($Q166=Parametres!$G$2,$Q166=Parametres!$G$3),J166,D166)</f>
        <v>-75512.95</v>
      </c>
      <c r="P166" s="655">
        <f>+IF(OR($Q166=Parametres!$G$2,$Q166=Parametres!$G$3),K166,E166)</f>
        <v>-75512.95</v>
      </c>
      <c r="Q166" s="654" t="str">
        <f t="shared" ref="Q166:S166" si="157">+F166</f>
        <v>5-Ventes</v>
      </c>
      <c r="R166" s="653" t="str">
        <f t="shared" si="157"/>
        <v>84137</v>
      </c>
      <c r="S166" s="654" t="str">
        <f t="shared" si="157"/>
        <v>_</v>
      </c>
      <c r="T166" s="656" t="str">
        <f>+VLOOKUP($L166,Data_Validation!$A:$D,1,0)</f>
        <v>4145</v>
      </c>
      <c r="U166" s="656" t="str">
        <f>+VLOOKUP($L166,Data_Validation!$A:$D,3,0)</f>
        <v>Véhicules neufs</v>
      </c>
      <c r="V166" s="656" t="str">
        <f>+VLOOKUP($L166,Data_Validation!$A:$D,4,0)</f>
        <v>Camions détail</v>
      </c>
      <c r="W166" s="656" t="str">
        <f>+VLOOKUP($L166,Data_Validation!$A:$E,5,0)</f>
        <v>$</v>
      </c>
      <c r="X166" s="656" t="str">
        <f>+VLOOKUP($L166,Data_Validation!$A:$F,6,0)</f>
        <v>Oui</v>
      </c>
    </row>
    <row r="167" spans="1:24" ht="15" customHeight="1">
      <c r="A167" s="1332" t="s">
        <v>1006</v>
      </c>
      <c r="B167" s="1332" t="s">
        <v>1007</v>
      </c>
      <c r="C167" s="1334">
        <v>-1355510.11</v>
      </c>
      <c r="D167" s="1334">
        <v>-410964.28</v>
      </c>
      <c r="E167" s="1334">
        <v>-1766474.39</v>
      </c>
      <c r="F167" s="1332" t="s">
        <v>963</v>
      </c>
      <c r="G167" s="1332" t="s">
        <v>1007</v>
      </c>
      <c r="H167" s="1332" t="s">
        <v>3942</v>
      </c>
      <c r="I167" s="665"/>
      <c r="J167" s="665"/>
      <c r="K167" s="665"/>
      <c r="L167" s="653" t="str">
        <f t="shared" si="132"/>
        <v>4201</v>
      </c>
      <c r="M167" s="654" t="str">
        <f t="shared" si="0"/>
        <v>VTE - VEH.USAGE VW DETAIL CERTIFIE</v>
      </c>
      <c r="N167" s="655">
        <f>+IF(OR($Q167=Parametres!$G$2,$Q167=Parametres!$G$3),I167,C167)</f>
        <v>-1355510.11</v>
      </c>
      <c r="O167" s="655">
        <f>+IF(OR($Q167=Parametres!$G$2,$Q167=Parametres!$G$3),J167,D167)</f>
        <v>-410964.28</v>
      </c>
      <c r="P167" s="655">
        <f>+IF(OR($Q167=Parametres!$G$2,$Q167=Parametres!$G$3),K167,E167)</f>
        <v>-1766474.39</v>
      </c>
      <c r="Q167" s="654" t="str">
        <f t="shared" ref="Q167:S167" si="158">+F167</f>
        <v>5-Ventes</v>
      </c>
      <c r="R167" s="653" t="str">
        <f t="shared" si="158"/>
        <v>4201</v>
      </c>
      <c r="S167" s="654" t="str">
        <f t="shared" si="158"/>
        <v>_</v>
      </c>
      <c r="T167" s="656" t="str">
        <f>+VLOOKUP($L167,Data_Validation!$A:$D,1,0)</f>
        <v>4201</v>
      </c>
      <c r="U167" s="656" t="str">
        <f>+VLOOKUP($L167,Data_Validation!$A:$D,3,0)</f>
        <v>Véhicules usagés</v>
      </c>
      <c r="V167" s="656" t="str">
        <f>+VLOOKUP($L167,Data_Validation!$A:$D,4,0)</f>
        <v>Certifié</v>
      </c>
      <c r="W167" s="656" t="str">
        <f>+VLOOKUP($L167,Data_Validation!$A:$E,5,0)</f>
        <v>$</v>
      </c>
      <c r="X167" s="656" t="str">
        <f>+VLOOKUP($L167,Data_Validation!$A:$F,6,0)</f>
        <v>Oui</v>
      </c>
    </row>
    <row r="168" spans="1:24" ht="15.75" customHeight="1">
      <c r="A168" s="1332" t="s">
        <v>1014</v>
      </c>
      <c r="B168" s="1332" t="s">
        <v>1933</v>
      </c>
      <c r="C168" s="1334">
        <v>-81654.8</v>
      </c>
      <c r="D168" s="1334">
        <v>-78140.899999999994</v>
      </c>
      <c r="E168" s="1334">
        <v>-159795.70000000001</v>
      </c>
      <c r="F168" s="1332" t="s">
        <v>963</v>
      </c>
      <c r="G168" s="1332" t="s">
        <v>1015</v>
      </c>
      <c r="H168" s="1332" t="s">
        <v>3942</v>
      </c>
      <c r="I168" s="665"/>
      <c r="J168" s="665"/>
      <c r="K168" s="665"/>
      <c r="L168" s="653" t="str">
        <f t="shared" si="132"/>
        <v>4285</v>
      </c>
      <c r="M168" s="654" t="str">
        <f t="shared" si="0"/>
        <v>VEH. D'OCC. AUTRE DETAIL</v>
      </c>
      <c r="N168" s="655">
        <f>+IF(OR($Q168=Parametres!$G$2,$Q168=Parametres!$G$3),I168,C168)</f>
        <v>-81654.8</v>
      </c>
      <c r="O168" s="655">
        <f>+IF(OR($Q168=Parametres!$G$2,$Q168=Parametres!$G$3),J168,D168)</f>
        <v>-78140.899999999994</v>
      </c>
      <c r="P168" s="655">
        <f>+IF(OR($Q168=Parametres!$G$2,$Q168=Parametres!$G$3),K168,E168)</f>
        <v>-159795.70000000001</v>
      </c>
      <c r="Q168" s="654" t="str">
        <f t="shared" ref="Q168:S168" si="159">+F168</f>
        <v>5-Ventes</v>
      </c>
      <c r="R168" s="653" t="str">
        <f t="shared" si="159"/>
        <v>4261</v>
      </c>
      <c r="S168" s="654" t="str">
        <f t="shared" si="159"/>
        <v>_</v>
      </c>
      <c r="T168" s="656" t="str">
        <f>+VLOOKUP($L168,Data_Validation!$A:$D,1,0)</f>
        <v>4285</v>
      </c>
      <c r="U168" s="656" t="str">
        <f>+VLOOKUP($L168,Data_Validation!$A:$D,3,0)</f>
        <v>Véhicules usagés</v>
      </c>
      <c r="V168" s="656" t="str">
        <f>+VLOOKUP($L168,Data_Validation!$A:$D,4,0)</f>
        <v>Autres Marques</v>
      </c>
      <c r="W168" s="656" t="str">
        <f>+VLOOKUP($L168,Data_Validation!$A:$E,5,0)</f>
        <v>$</v>
      </c>
      <c r="X168" s="656" t="str">
        <f>+VLOOKUP($L168,Data_Validation!$A:$F,6,0)</f>
        <v>Oui</v>
      </c>
    </row>
    <row r="169" spans="1:24" ht="15" customHeight="1">
      <c r="A169" s="1332" t="s">
        <v>1018</v>
      </c>
      <c r="B169" s="1332" t="s">
        <v>1942</v>
      </c>
      <c r="C169" s="1334">
        <v>-424857</v>
      </c>
      <c r="D169" s="1334">
        <v>-449761</v>
      </c>
      <c r="E169" s="1334">
        <v>-874618</v>
      </c>
      <c r="F169" s="1332" t="s">
        <v>963</v>
      </c>
      <c r="G169" s="1332" t="s">
        <v>1019</v>
      </c>
      <c r="H169" s="1332" t="s">
        <v>3942</v>
      </c>
      <c r="I169" s="666"/>
      <c r="J169" s="666"/>
      <c r="K169" s="666"/>
      <c r="L169" s="653" t="str">
        <f t="shared" si="132"/>
        <v>4291</v>
      </c>
      <c r="M169" s="654" t="str">
        <f t="shared" si="0"/>
        <v>VEH. D'OCC. AU GROS</v>
      </c>
      <c r="N169" s="655">
        <f>+IF(OR($Q169=Parametres!$G$2,$Q169=Parametres!$G$3),I169,C169)</f>
        <v>-424857</v>
      </c>
      <c r="O169" s="655">
        <f>+IF(OR($Q169=Parametres!$G$2,$Q169=Parametres!$G$3),J169,D169)</f>
        <v>-449761</v>
      </c>
      <c r="P169" s="655">
        <f>+IF(OR($Q169=Parametres!$G$2,$Q169=Parametres!$G$3),K169,E169)</f>
        <v>-874618</v>
      </c>
      <c r="Q169" s="654" t="str">
        <f t="shared" ref="Q169:S169" si="160">+F169</f>
        <v>5-Ventes</v>
      </c>
      <c r="R169" s="653" t="str">
        <f t="shared" si="160"/>
        <v>4281</v>
      </c>
      <c r="S169" s="654" t="str">
        <f t="shared" si="160"/>
        <v>_</v>
      </c>
      <c r="T169" s="656" t="str">
        <f>+VLOOKUP($L169,Data_Validation!$A:$D,1,0)</f>
        <v>4291</v>
      </c>
      <c r="U169" s="656" t="str">
        <f>+VLOOKUP($L169,Data_Validation!$A:$D,3,0)</f>
        <v>Véhicules usagés</v>
      </c>
      <c r="V169" s="656" t="str">
        <f>+VLOOKUP($L169,Data_Validation!$A:$D,4,0)</f>
        <v>Ventes au Gros</v>
      </c>
      <c r="W169" s="656" t="str">
        <f>+VLOOKUP($L169,Data_Validation!$A:$E,5,0)</f>
        <v>$</v>
      </c>
      <c r="X169" s="656" t="str">
        <f>+VLOOKUP($L169,Data_Validation!$A:$F,6,0)</f>
        <v>Oui</v>
      </c>
    </row>
    <row r="170" spans="1:24" ht="15" customHeight="1">
      <c r="A170" s="1332" t="s">
        <v>3670</v>
      </c>
      <c r="B170" s="1332" t="s">
        <v>1023</v>
      </c>
      <c r="C170" s="1334">
        <v>-207418.98</v>
      </c>
      <c r="D170" s="1334">
        <v>-115569.09</v>
      </c>
      <c r="E170" s="1334">
        <v>-322988.07</v>
      </c>
      <c r="F170" s="1332" t="s">
        <v>963</v>
      </c>
      <c r="G170" s="1332" t="s">
        <v>1023</v>
      </c>
      <c r="H170" s="1332" t="s">
        <v>3942</v>
      </c>
      <c r="I170" s="666"/>
      <c r="J170" s="666"/>
      <c r="K170" s="666"/>
      <c r="L170" s="653" t="str">
        <f t="shared" si="132"/>
        <v>4401</v>
      </c>
      <c r="M170" s="654" t="str">
        <f t="shared" si="0"/>
        <v>MAIN-D'OEUVRE - CLIENT VW - MCI</v>
      </c>
      <c r="N170" s="655">
        <f>+IF(OR($Q170=Parametres!$G$2,$Q170=Parametres!$G$3),I170,C170)</f>
        <v>-207418.98</v>
      </c>
      <c r="O170" s="655">
        <f>+IF(OR($Q170=Parametres!$G$2,$Q170=Parametres!$G$3),J170,D170)</f>
        <v>-115569.09</v>
      </c>
      <c r="P170" s="655">
        <f>+IF(OR($Q170=Parametres!$G$2,$Q170=Parametres!$G$3),K170,E170)</f>
        <v>-322988.07</v>
      </c>
      <c r="Q170" s="654" t="str">
        <f t="shared" ref="Q170:S170" si="161">+F170</f>
        <v>5-Ventes</v>
      </c>
      <c r="R170" s="653" t="str">
        <f t="shared" si="161"/>
        <v>4401</v>
      </c>
      <c r="S170" s="654" t="str">
        <f t="shared" si="161"/>
        <v>_</v>
      </c>
      <c r="T170" s="656" t="str">
        <f>+VLOOKUP($L170,Data_Validation!$A:$D,1,0)</f>
        <v>4401</v>
      </c>
      <c r="U170" s="656" t="str">
        <f>+VLOOKUP($L170,Data_Validation!$A:$D,3,0)</f>
        <v>Service</v>
      </c>
      <c r="V170" s="656" t="str">
        <f>+VLOOKUP($L170,Data_Validation!$A:$D,4,0)</f>
        <v>M/O Client</v>
      </c>
      <c r="W170" s="656" t="str">
        <f>+VLOOKUP($L170,Data_Validation!$A:$E,5,0)</f>
        <v>$</v>
      </c>
      <c r="X170" s="656" t="str">
        <f>+VLOOKUP($L170,Data_Validation!$A:$F,6,0)</f>
        <v>Oui</v>
      </c>
    </row>
    <row r="171" spans="1:24" ht="15" customHeight="1">
      <c r="A171" s="1332" t="s">
        <v>1025</v>
      </c>
      <c r="B171" s="1332" t="s">
        <v>1026</v>
      </c>
      <c r="C171" s="1334">
        <v>-12875.3</v>
      </c>
      <c r="D171" s="1334">
        <v>-7312.41</v>
      </c>
      <c r="E171" s="1334">
        <v>-20187.71</v>
      </c>
      <c r="F171" s="1332" t="s">
        <v>963</v>
      </c>
      <c r="G171" s="1332" t="s">
        <v>1026</v>
      </c>
      <c r="H171" s="1332" t="s">
        <v>3942</v>
      </c>
      <c r="I171" s="666"/>
      <c r="J171" s="666"/>
      <c r="K171" s="666"/>
      <c r="L171" s="653" t="str">
        <f t="shared" si="132"/>
        <v>4402</v>
      </c>
      <c r="M171" s="654" t="str">
        <f t="shared" si="0"/>
        <v>VTE - M.O. ESTHETIQUE CLIENT</v>
      </c>
      <c r="N171" s="655">
        <f>+IF(OR($Q171=Parametres!$G$2,$Q171=Parametres!$G$3),I171,C171)</f>
        <v>-12875.3</v>
      </c>
      <c r="O171" s="655">
        <f>+IF(OR($Q171=Parametres!$G$2,$Q171=Parametres!$G$3),J171,D171)</f>
        <v>-7312.41</v>
      </c>
      <c r="P171" s="655">
        <f>+IF(OR($Q171=Parametres!$G$2,$Q171=Parametres!$G$3),K171,E171)</f>
        <v>-20187.71</v>
      </c>
      <c r="Q171" s="654" t="str">
        <f t="shared" ref="Q171:S171" si="162">+F171</f>
        <v>5-Ventes</v>
      </c>
      <c r="R171" s="653" t="str">
        <f t="shared" si="162"/>
        <v>4402</v>
      </c>
      <c r="S171" s="654" t="str">
        <f t="shared" si="162"/>
        <v>_</v>
      </c>
      <c r="T171" s="656" t="str">
        <f>+VLOOKUP($L171,Data_Validation!$A:$D,1,0)</f>
        <v>4402</v>
      </c>
      <c r="U171" s="656" t="str">
        <f>+VLOOKUP($L171,Data_Validation!$A:$D,3,0)</f>
        <v>Service</v>
      </c>
      <c r="V171" s="656" t="str">
        <f>+VLOOKUP($L171,Data_Validation!$A:$D,4,0)</f>
        <v>M/O Esthétique</v>
      </c>
      <c r="W171" s="656" t="str">
        <f>+VLOOKUP($L171,Data_Validation!$A:$E,5,0)</f>
        <v>$</v>
      </c>
      <c r="X171" s="656" t="str">
        <f>+VLOOKUP($L171,Data_Validation!$A:$F,6,0)</f>
        <v>Oui</v>
      </c>
    </row>
    <row r="172" spans="1:24" ht="15.75" customHeight="1">
      <c r="A172" s="1332" t="s">
        <v>3671</v>
      </c>
      <c r="B172" s="1332" t="s">
        <v>1028</v>
      </c>
      <c r="C172" s="1334">
        <v>-139664.91</v>
      </c>
      <c r="D172" s="1334">
        <v>-75228.899999999994</v>
      </c>
      <c r="E172" s="1334">
        <v>-214893.81</v>
      </c>
      <c r="F172" s="1332" t="s">
        <v>963</v>
      </c>
      <c r="G172" s="1332" t="s">
        <v>1028</v>
      </c>
      <c r="H172" s="1332" t="s">
        <v>3942</v>
      </c>
      <c r="I172" s="666"/>
      <c r="J172" s="666"/>
      <c r="K172" s="666"/>
      <c r="L172" s="653" t="str">
        <f t="shared" si="132"/>
        <v>4403</v>
      </c>
      <c r="M172" s="654" t="str">
        <f t="shared" si="0"/>
        <v>MAIN-D'OEUVRE - GARANTIE VW - MCI</v>
      </c>
      <c r="N172" s="655">
        <f>+IF(OR($Q172=Parametres!$G$2,$Q172=Parametres!$G$3),I172,C172)</f>
        <v>-139664.91</v>
      </c>
      <c r="O172" s="655">
        <f>+IF(OR($Q172=Parametres!$G$2,$Q172=Parametres!$G$3),J172,D172)</f>
        <v>-75228.899999999994</v>
      </c>
      <c r="P172" s="655">
        <f>+IF(OR($Q172=Parametres!$G$2,$Q172=Parametres!$G$3),K172,E172)</f>
        <v>-214893.81</v>
      </c>
      <c r="Q172" s="654" t="str">
        <f t="shared" ref="Q172:S172" si="163">+F172</f>
        <v>5-Ventes</v>
      </c>
      <c r="R172" s="653" t="str">
        <f t="shared" si="163"/>
        <v>4403</v>
      </c>
      <c r="S172" s="654" t="str">
        <f t="shared" si="163"/>
        <v>_</v>
      </c>
      <c r="T172" s="656" t="str">
        <f>+VLOOKUP($L172,Data_Validation!$A:$D,1,0)</f>
        <v>4403</v>
      </c>
      <c r="U172" s="656" t="str">
        <f>+VLOOKUP($L172,Data_Validation!$A:$D,3,0)</f>
        <v>Service</v>
      </c>
      <c r="V172" s="656" t="str">
        <f>+VLOOKUP($L172,Data_Validation!$A:$D,4,0)</f>
        <v>M/O Garantie</v>
      </c>
      <c r="W172" s="656" t="str">
        <f>+VLOOKUP($L172,Data_Validation!$A:$E,5,0)</f>
        <v>$</v>
      </c>
      <c r="X172" s="656" t="str">
        <f>+VLOOKUP($L172,Data_Validation!$A:$F,6,0)</f>
        <v>Oui</v>
      </c>
    </row>
    <row r="173" spans="1:24" ht="15" customHeight="1">
      <c r="A173" s="1332" t="s">
        <v>3672</v>
      </c>
      <c r="B173" s="1332" t="s">
        <v>1031</v>
      </c>
      <c r="C173" s="1334">
        <v>-169755.5</v>
      </c>
      <c r="D173" s="1334">
        <v>-93348.72</v>
      </c>
      <c r="E173" s="1334">
        <v>-263104.21999999997</v>
      </c>
      <c r="F173" s="1332" t="s">
        <v>963</v>
      </c>
      <c r="G173" s="1332" t="s">
        <v>1031</v>
      </c>
      <c r="H173" s="1332" t="s">
        <v>3942</v>
      </c>
      <c r="I173" s="666"/>
      <c r="J173" s="666"/>
      <c r="K173" s="666"/>
      <c r="L173" s="653" t="str">
        <f t="shared" si="132"/>
        <v>4405</v>
      </c>
      <c r="M173" s="654" t="str">
        <f t="shared" si="0"/>
        <v>MAIN-D'OEUVRE - INTERNE VW - MCI</v>
      </c>
      <c r="N173" s="655">
        <f>+IF(OR($Q173=Parametres!$G$2,$Q173=Parametres!$G$3),I173,C173)</f>
        <v>-169755.5</v>
      </c>
      <c r="O173" s="655">
        <f>+IF(OR($Q173=Parametres!$G$2,$Q173=Parametres!$G$3),J173,D173)</f>
        <v>-93348.72</v>
      </c>
      <c r="P173" s="655">
        <f>+IF(OR($Q173=Parametres!$G$2,$Q173=Parametres!$G$3),K173,E173)</f>
        <v>-263104.21999999997</v>
      </c>
      <c r="Q173" s="654" t="str">
        <f t="shared" ref="Q173:S173" si="164">+F173</f>
        <v>5-Ventes</v>
      </c>
      <c r="R173" s="653" t="str">
        <f t="shared" si="164"/>
        <v>4405</v>
      </c>
      <c r="S173" s="654" t="str">
        <f t="shared" si="164"/>
        <v>_</v>
      </c>
      <c r="T173" s="656" t="str">
        <f>+VLOOKUP($L173,Data_Validation!$A:$D,1,0)</f>
        <v>4405</v>
      </c>
      <c r="U173" s="656" t="str">
        <f>+VLOOKUP($L173,Data_Validation!$A:$D,3,0)</f>
        <v>Service</v>
      </c>
      <c r="V173" s="656" t="str">
        <f>+VLOOKUP($L173,Data_Validation!$A:$D,4,0)</f>
        <v>M/O Interne</v>
      </c>
      <c r="W173" s="656" t="str">
        <f>+VLOOKUP($L173,Data_Validation!$A:$E,5,0)</f>
        <v>$</v>
      </c>
      <c r="X173" s="656" t="str">
        <f>+VLOOKUP($L173,Data_Validation!$A:$F,6,0)</f>
        <v>Oui</v>
      </c>
    </row>
    <row r="174" spans="1:24" ht="15" customHeight="1">
      <c r="A174" s="1332" t="s">
        <v>1033</v>
      </c>
      <c r="B174" s="1332" t="s">
        <v>1974</v>
      </c>
      <c r="C174" s="1334">
        <v>-31984.27</v>
      </c>
      <c r="D174" s="1334">
        <v>-17464.009999999998</v>
      </c>
      <c r="E174" s="1334">
        <v>-49448.28</v>
      </c>
      <c r="F174" s="1332" t="s">
        <v>963</v>
      </c>
      <c r="G174" s="1332" t="s">
        <v>1034</v>
      </c>
      <c r="H174" s="1332" t="s">
        <v>3942</v>
      </c>
      <c r="I174" s="666"/>
      <c r="J174" s="666"/>
      <c r="K174" s="666"/>
      <c r="L174" s="653" t="str">
        <f t="shared" si="132"/>
        <v>4451</v>
      </c>
      <c r="M174" s="654" t="str">
        <f t="shared" si="0"/>
        <v>CARBURANT/HUILE/GRAISSE</v>
      </c>
      <c r="N174" s="655">
        <f>+IF(OR($Q174=Parametres!$G$2,$Q174=Parametres!$G$3),I174,C174)</f>
        <v>-31984.27</v>
      </c>
      <c r="O174" s="655">
        <f>+IF(OR($Q174=Parametres!$G$2,$Q174=Parametres!$G$3),J174,D174)</f>
        <v>-17464.009999999998</v>
      </c>
      <c r="P174" s="655">
        <f>+IF(OR($Q174=Parametres!$G$2,$Q174=Parametres!$G$3),K174,E174)</f>
        <v>-49448.28</v>
      </c>
      <c r="Q174" s="654" t="str">
        <f t="shared" ref="Q174:S174" si="165">+F174</f>
        <v>5-Ventes</v>
      </c>
      <c r="R174" s="653" t="str">
        <f t="shared" si="165"/>
        <v>4782</v>
      </c>
      <c r="S174" s="654" t="str">
        <f t="shared" si="165"/>
        <v>_</v>
      </c>
      <c r="T174" s="656" t="str">
        <f>+VLOOKUP($L174,Data_Validation!$A:$D,1,0)</f>
        <v>4451</v>
      </c>
      <c r="U174" s="656" t="str">
        <f>+VLOOKUP($L174,Data_Validation!$A:$D,3,0)</f>
        <v>Pièces</v>
      </c>
      <c r="V174" s="656" t="str">
        <f>+VLOOKUP($L174,Data_Validation!$A:$D,4,0)</f>
        <v>Huiles et Graisse</v>
      </c>
      <c r="W174" s="656" t="str">
        <f>+VLOOKUP($L174,Data_Validation!$A:$E,5,0)</f>
        <v>$</v>
      </c>
      <c r="X174" s="656" t="str">
        <f>+VLOOKUP($L174,Data_Validation!$A:$F,6,0)</f>
        <v>Oui</v>
      </c>
    </row>
    <row r="175" spans="1:24" ht="15" customHeight="1">
      <c r="A175" s="1332" t="s">
        <v>1036</v>
      </c>
      <c r="B175" s="1332" t="s">
        <v>1037</v>
      </c>
      <c r="C175" s="1334">
        <v>-11879.03</v>
      </c>
      <c r="D175" s="1334">
        <v>-3178.37</v>
      </c>
      <c r="E175" s="1334">
        <v>-15057.4</v>
      </c>
      <c r="F175" s="1332" t="s">
        <v>963</v>
      </c>
      <c r="G175" s="1332" t="s">
        <v>1037</v>
      </c>
      <c r="H175" s="1332" t="s">
        <v>3942</v>
      </c>
      <c r="I175" s="665"/>
      <c r="J175" s="665"/>
      <c r="K175" s="665"/>
      <c r="L175" s="653" t="str">
        <f t="shared" si="132"/>
        <v>4491</v>
      </c>
      <c r="M175" s="654" t="str">
        <f t="shared" si="0"/>
        <v>REPARATION SOUS-LOC. - GENERAL</v>
      </c>
      <c r="N175" s="655">
        <f>+IF(OR($Q175=Parametres!$G$2,$Q175=Parametres!$G$3),I175,C175)</f>
        <v>-11879.03</v>
      </c>
      <c r="O175" s="655">
        <f>+IF(OR($Q175=Parametres!$G$2,$Q175=Parametres!$G$3),J175,D175)</f>
        <v>-3178.37</v>
      </c>
      <c r="P175" s="655">
        <f>+IF(OR($Q175=Parametres!$G$2,$Q175=Parametres!$G$3),K175,E175)</f>
        <v>-15057.4</v>
      </c>
      <c r="Q175" s="654" t="str">
        <f t="shared" ref="Q175:S175" si="166">+F175</f>
        <v>5-Ventes</v>
      </c>
      <c r="R175" s="653" t="str">
        <f t="shared" si="166"/>
        <v>4491</v>
      </c>
      <c r="S175" s="654" t="str">
        <f t="shared" si="166"/>
        <v>_</v>
      </c>
      <c r="T175" s="656" t="str">
        <f>+VLOOKUP($L175,Data_Validation!$A:$D,1,0)</f>
        <v>4491</v>
      </c>
      <c r="U175" s="656" t="str">
        <f>+VLOOKUP($L175,Data_Validation!$A:$D,3,0)</f>
        <v>Service</v>
      </c>
      <c r="V175" s="656" t="str">
        <f>+VLOOKUP($L175,Data_Validation!$A:$D,4,0)</f>
        <v>Sous-traitement</v>
      </c>
      <c r="W175" s="656" t="str">
        <f>+VLOOKUP($L175,Data_Validation!$A:$E,5,0)</f>
        <v>$</v>
      </c>
      <c r="X175" s="656" t="str">
        <f>+VLOOKUP($L175,Data_Validation!$A:$F,6,0)</f>
        <v>Oui</v>
      </c>
    </row>
    <row r="176" spans="1:24" ht="15.75" customHeight="1">
      <c r="A176" s="1332" t="s">
        <v>1039</v>
      </c>
      <c r="B176" s="1332" t="s">
        <v>1040</v>
      </c>
      <c r="C176" s="1334">
        <v>0</v>
      </c>
      <c r="D176" s="1334">
        <v>-505.22</v>
      </c>
      <c r="E176" s="1334">
        <v>-505.22</v>
      </c>
      <c r="F176" s="1332" t="s">
        <v>963</v>
      </c>
      <c r="G176" s="1332" t="s">
        <v>1040</v>
      </c>
      <c r="H176" s="1332" t="s">
        <v>3942</v>
      </c>
      <c r="I176" s="667"/>
      <c r="J176" s="667"/>
      <c r="K176" s="667"/>
      <c r="L176" s="653" t="str">
        <f t="shared" si="132"/>
        <v>4493</v>
      </c>
      <c r="M176" s="654" t="str">
        <f t="shared" si="0"/>
        <v>VTE - SOUS-TRAITANCE GARANTIE</v>
      </c>
      <c r="N176" s="655">
        <f>+IF(OR($Q176=Parametres!$G$2,$Q176=Parametres!$G$3),I176,C176)</f>
        <v>0</v>
      </c>
      <c r="O176" s="655">
        <f>+IF(OR($Q176=Parametres!$G$2,$Q176=Parametres!$G$3),J176,D176)</f>
        <v>-505.22</v>
      </c>
      <c r="P176" s="655">
        <f>+IF(OR($Q176=Parametres!$G$2,$Q176=Parametres!$G$3),K176,E176)</f>
        <v>-505.22</v>
      </c>
      <c r="Q176" s="654" t="str">
        <f t="shared" ref="Q176:S176" si="167">+F176</f>
        <v>5-Ventes</v>
      </c>
      <c r="R176" s="653" t="str">
        <f t="shared" si="167"/>
        <v>4493</v>
      </c>
      <c r="S176" s="654" t="str">
        <f t="shared" si="167"/>
        <v>_</v>
      </c>
      <c r="T176" s="656" t="str">
        <f>+VLOOKUP($L176,Data_Validation!$A:$D,1,0)</f>
        <v>4493</v>
      </c>
      <c r="U176" s="656" t="str">
        <f>+VLOOKUP($L176,Data_Validation!$A:$D,3,0)</f>
        <v>Service</v>
      </c>
      <c r="V176" s="656" t="str">
        <f>+VLOOKUP($L176,Data_Validation!$A:$D,4,0)</f>
        <v>Sous-traitement</v>
      </c>
      <c r="W176" s="656" t="str">
        <f>+VLOOKUP($L176,Data_Validation!$A:$E,5,0)</f>
        <v>$</v>
      </c>
      <c r="X176" s="656" t="str">
        <f>+VLOOKUP($L176,Data_Validation!$A:$F,6,0)</f>
        <v>Oui</v>
      </c>
    </row>
    <row r="177" spans="1:24" ht="15" customHeight="1">
      <c r="A177" s="1332" t="s">
        <v>1043</v>
      </c>
      <c r="B177" s="1332" t="s">
        <v>1044</v>
      </c>
      <c r="C177" s="1334">
        <v>-16572.25</v>
      </c>
      <c r="D177" s="1334">
        <v>-6806.5</v>
      </c>
      <c r="E177" s="1334">
        <v>-23378.75</v>
      </c>
      <c r="F177" s="1332" t="s">
        <v>963</v>
      </c>
      <c r="G177" s="1332" t="s">
        <v>1044</v>
      </c>
      <c r="H177" s="1332" t="s">
        <v>3942</v>
      </c>
      <c r="I177" s="666"/>
      <c r="J177" s="666"/>
      <c r="K177" s="666"/>
      <c r="L177" s="653" t="str">
        <f t="shared" si="132"/>
        <v>4495</v>
      </c>
      <c r="M177" s="654" t="str">
        <f t="shared" si="0"/>
        <v>VTE - S-TRAITANCE MEC.INTERNE VW</v>
      </c>
      <c r="N177" s="655">
        <f>+IF(OR($Q177=Parametres!$G$2,$Q177=Parametres!$G$3),I177,C177)</f>
        <v>-16572.25</v>
      </c>
      <c r="O177" s="655">
        <f>+IF(OR($Q177=Parametres!$G$2,$Q177=Parametres!$G$3),J177,D177)</f>
        <v>-6806.5</v>
      </c>
      <c r="P177" s="655">
        <f>+IF(OR($Q177=Parametres!$G$2,$Q177=Parametres!$G$3),K177,E177)</f>
        <v>-23378.75</v>
      </c>
      <c r="Q177" s="654" t="str">
        <f t="shared" ref="Q177:S177" si="168">+F177</f>
        <v>5-Ventes</v>
      </c>
      <c r="R177" s="653" t="str">
        <f t="shared" si="168"/>
        <v>4495</v>
      </c>
      <c r="S177" s="654" t="str">
        <f t="shared" si="168"/>
        <v>_</v>
      </c>
      <c r="T177" s="656" t="str">
        <f>+VLOOKUP($L177,Data_Validation!$A:$D,1,0)</f>
        <v>4495</v>
      </c>
      <c r="U177" s="656" t="str">
        <f>+VLOOKUP($L177,Data_Validation!$A:$D,3,0)</f>
        <v>Service</v>
      </c>
      <c r="V177" s="656" t="str">
        <f>+VLOOKUP($L177,Data_Validation!$A:$D,4,0)</f>
        <v>Sous-traitement</v>
      </c>
      <c r="W177" s="656" t="str">
        <f>+VLOOKUP($L177,Data_Validation!$A:$E,5,0)</f>
        <v>$</v>
      </c>
      <c r="X177" s="656" t="str">
        <f>+VLOOKUP($L177,Data_Validation!$A:$F,6,0)</f>
        <v>Oui</v>
      </c>
    </row>
    <row r="178" spans="1:24" ht="15" customHeight="1">
      <c r="A178" s="1332" t="s">
        <v>3425</v>
      </c>
      <c r="B178" s="1332" t="s">
        <v>3426</v>
      </c>
      <c r="C178" s="1334">
        <v>-9014.6</v>
      </c>
      <c r="D178" s="1334">
        <v>-6259.75</v>
      </c>
      <c r="E178" s="1334">
        <v>-15274.35</v>
      </c>
      <c r="F178" s="1332" t="s">
        <v>963</v>
      </c>
      <c r="G178" s="1332" t="s">
        <v>3426</v>
      </c>
      <c r="H178" s="1332" t="s">
        <v>3942</v>
      </c>
      <c r="I178" s="666"/>
      <c r="J178" s="666"/>
      <c r="K178" s="666"/>
      <c r="L178" s="653" t="str">
        <f t="shared" si="132"/>
        <v>4505</v>
      </c>
      <c r="M178" s="668" t="str">
        <f t="shared" si="0"/>
        <v>VTE - M.O. INTERNE CARROSSERIE</v>
      </c>
      <c r="N178" s="655">
        <f>+IF(OR($Q178=Parametres!$G$2,$Q178=Parametres!$G$3),I178,C178)</f>
        <v>-9014.6</v>
      </c>
      <c r="O178" s="659">
        <f>+IF(OR($Q178=Parametres!$G$2,$Q178=Parametres!$G$3),J178,D178)</f>
        <v>-6259.75</v>
      </c>
      <c r="P178" s="669">
        <f>+IF(OR($Q178=Parametres!$G$2,$Q178=Parametres!$G$3),K178,E178)</f>
        <v>-15274.35</v>
      </c>
      <c r="Q178" s="654" t="str">
        <f t="shared" ref="Q178:S178" si="169">+F178</f>
        <v>5-Ventes</v>
      </c>
      <c r="R178" s="653" t="str">
        <f t="shared" si="169"/>
        <v>4505</v>
      </c>
      <c r="S178" s="654" t="str">
        <f t="shared" si="169"/>
        <v>_</v>
      </c>
      <c r="T178" s="656" t="str">
        <f>+VLOOKUP($L178,Data_Validation!$A:$D,1,0)</f>
        <v>4505</v>
      </c>
      <c r="U178" s="656" t="str">
        <f>+VLOOKUP($L178,Data_Validation!$A:$D,3,0)</f>
        <v>Service</v>
      </c>
      <c r="V178" s="656" t="str">
        <f>+VLOOKUP($L178,Data_Validation!$A:$D,4,0)</f>
        <v>M.O. Recond. MCPA</v>
      </c>
      <c r="W178" s="656" t="str">
        <f>+VLOOKUP($L178,Data_Validation!$A:$E,5,0)</f>
        <v>$</v>
      </c>
      <c r="X178" s="656" t="str">
        <f>+VLOOKUP($L178,Data_Validation!$A:$F,6,0)</f>
        <v>Oui</v>
      </c>
    </row>
    <row r="179" spans="1:24" ht="15" customHeight="1">
      <c r="A179" s="1332" t="s">
        <v>1050</v>
      </c>
      <c r="B179" s="1332" t="s">
        <v>1051</v>
      </c>
      <c r="C179" s="1334">
        <v>-56847.26</v>
      </c>
      <c r="D179" s="1334">
        <v>-15864.12</v>
      </c>
      <c r="E179" s="1334">
        <v>-72711.38</v>
      </c>
      <c r="F179" s="1332" t="s">
        <v>963</v>
      </c>
      <c r="G179" s="1332" t="s">
        <v>1051</v>
      </c>
      <c r="H179" s="1332" t="s">
        <v>3942</v>
      </c>
      <c r="I179" s="666"/>
      <c r="J179" s="666"/>
      <c r="K179" s="666"/>
      <c r="L179" s="653" t="str">
        <f t="shared" si="132"/>
        <v>4591</v>
      </c>
      <c r="M179" s="654" t="str">
        <f t="shared" si="0"/>
        <v>VTE - S-TRAIT. CARR.</v>
      </c>
      <c r="N179" s="655">
        <f>+IF(OR($Q179=Parametres!$G$2,$Q179=Parametres!$G$3),I179,C179)</f>
        <v>-56847.26</v>
      </c>
      <c r="O179" s="655">
        <f>+IF(OR($Q179=Parametres!$G$2,$Q179=Parametres!$G$3),J179,D179)</f>
        <v>-15864.12</v>
      </c>
      <c r="P179" s="655">
        <f>+IF(OR($Q179=Parametres!$G$2,$Q179=Parametres!$G$3),K179,E179)</f>
        <v>-72711.38</v>
      </c>
      <c r="Q179" s="654" t="str">
        <f t="shared" ref="Q179:S179" si="170">+F179</f>
        <v>5-Ventes</v>
      </c>
      <c r="R179" s="653" t="str">
        <f t="shared" si="170"/>
        <v>4591</v>
      </c>
      <c r="S179" s="654" t="str">
        <f t="shared" si="170"/>
        <v>_</v>
      </c>
      <c r="T179" s="656" t="str">
        <f>+VLOOKUP($L179,Data_Validation!$A:$D,1,0)</f>
        <v>4591</v>
      </c>
      <c r="U179" s="656" t="str">
        <f>+VLOOKUP($L179,Data_Validation!$A:$D,3,0)</f>
        <v>Carrosserie</v>
      </c>
      <c r="V179" s="656" t="str">
        <f>+VLOOKUP($L179,Data_Validation!$A:$D,4,0)</f>
        <v>M/O Sous-traitement</v>
      </c>
      <c r="W179" s="656" t="str">
        <f>+VLOOKUP($L179,Data_Validation!$A:$E,5,0)</f>
        <v>$</v>
      </c>
      <c r="X179" s="656" t="str">
        <f>+VLOOKUP($L179,Data_Validation!$A:$F,6,0)</f>
        <v>Oui</v>
      </c>
    </row>
    <row r="180" spans="1:24" ht="15" customHeight="1">
      <c r="A180" s="1332" t="s">
        <v>1054</v>
      </c>
      <c r="B180" s="1332" t="s">
        <v>1055</v>
      </c>
      <c r="C180" s="1334">
        <v>-197235.04</v>
      </c>
      <c r="D180" s="1334">
        <v>-49145.31</v>
      </c>
      <c r="E180" s="1334">
        <v>-246380.35</v>
      </c>
      <c r="F180" s="1332" t="s">
        <v>963</v>
      </c>
      <c r="G180" s="1332" t="s">
        <v>1055</v>
      </c>
      <c r="H180" s="1332" t="s">
        <v>3942</v>
      </c>
      <c r="I180" s="666"/>
      <c r="J180" s="666"/>
      <c r="K180" s="666"/>
      <c r="L180" s="653" t="str">
        <f t="shared" ref="L180:L243" si="171">TEXT(B180,0)</f>
        <v>4593</v>
      </c>
      <c r="M180" s="654" t="str">
        <f t="shared" ref="M180:M243" si="172">+A180</f>
        <v>VTE - SOUS-TRAITANCE GARANTIE CARR.</v>
      </c>
      <c r="N180" s="655">
        <f>+IF(OR($Q180=Parametres!$G$2,$Q180=Parametres!$G$3),I180,C180)</f>
        <v>-197235.04</v>
      </c>
      <c r="O180" s="659">
        <f>+IF(OR($Q180=Parametres!$G$2,$Q180=Parametres!$G$3),J180,D180)</f>
        <v>-49145.31</v>
      </c>
      <c r="P180" s="655">
        <f>+IF(OR($Q180=Parametres!$G$2,$Q180=Parametres!$G$3),K180,E180)</f>
        <v>-246380.35</v>
      </c>
      <c r="Q180" s="654" t="str">
        <f t="shared" ref="Q180:Q243" si="173">+F180</f>
        <v>5-Ventes</v>
      </c>
      <c r="R180" s="653" t="str">
        <f t="shared" ref="R180:R243" si="174">+G180</f>
        <v>4593</v>
      </c>
      <c r="S180" s="654" t="str">
        <f t="shared" ref="S180:S243" si="175">+H180</f>
        <v>_</v>
      </c>
      <c r="T180" s="656" t="str">
        <f>+VLOOKUP($L180,Data_Validation!$A:$D,1,0)</f>
        <v>4593</v>
      </c>
      <c r="U180" s="656" t="str">
        <f>+VLOOKUP($L180,Data_Validation!$A:$D,3,0)</f>
        <v>Carrosserie</v>
      </c>
      <c r="V180" s="656" t="str">
        <f>+VLOOKUP($L180,Data_Validation!$A:$D,4,0)</f>
        <v>M/O Sous-traitement</v>
      </c>
      <c r="W180" s="656" t="str">
        <f>+VLOOKUP($L180,Data_Validation!$A:$E,5,0)</f>
        <v>$</v>
      </c>
      <c r="X180" s="656" t="str">
        <f>+VLOOKUP($L180,Data_Validation!$A:$F,6,0)</f>
        <v>Oui</v>
      </c>
    </row>
    <row r="181" spans="1:24" ht="15.75" customHeight="1">
      <c r="A181" s="1332" t="s">
        <v>1058</v>
      </c>
      <c r="B181" s="1332" t="s">
        <v>1059</v>
      </c>
      <c r="C181" s="1334">
        <v>-1789.34</v>
      </c>
      <c r="D181" s="1334">
        <v>-600</v>
      </c>
      <c r="E181" s="1334">
        <v>-2389.34</v>
      </c>
      <c r="F181" s="1332" t="s">
        <v>963</v>
      </c>
      <c r="G181" s="1332" t="s">
        <v>1059</v>
      </c>
      <c r="H181" s="1332" t="s">
        <v>3942</v>
      </c>
      <c r="I181" s="666"/>
      <c r="J181" s="666"/>
      <c r="K181" s="666"/>
      <c r="L181" s="653" t="str">
        <f t="shared" si="171"/>
        <v>4595</v>
      </c>
      <c r="M181" s="654" t="str">
        <f t="shared" si="172"/>
        <v>VTE - SOUS-TRAITANCE INTERNE CARR.</v>
      </c>
      <c r="N181" s="655">
        <f>+IF(OR($Q181=Parametres!$G$2,$Q181=Parametres!$G$3),I181,C181)</f>
        <v>-1789.34</v>
      </c>
      <c r="O181" s="655">
        <f>+IF(OR($Q181=Parametres!$G$2,$Q181=Parametres!$G$3),J181,D181)</f>
        <v>-600</v>
      </c>
      <c r="P181" s="655">
        <f>+IF(OR($Q181=Parametres!$G$2,$Q181=Parametres!$G$3),K181,E181)</f>
        <v>-2389.34</v>
      </c>
      <c r="Q181" s="654" t="str">
        <f t="shared" si="173"/>
        <v>5-Ventes</v>
      </c>
      <c r="R181" s="653" t="str">
        <f t="shared" si="174"/>
        <v>4595</v>
      </c>
      <c r="S181" s="654" t="str">
        <f t="shared" si="175"/>
        <v>_</v>
      </c>
      <c r="T181" s="656" t="str">
        <f>+VLOOKUP($L181,Data_Validation!$A:$D,1,0)</f>
        <v>4595</v>
      </c>
      <c r="U181" s="656" t="str">
        <f>+VLOOKUP($L181,Data_Validation!$A:$D,3,0)</f>
        <v>Carrosserie</v>
      </c>
      <c r="V181" s="656" t="str">
        <f>+VLOOKUP($L181,Data_Validation!$A:$D,4,0)</f>
        <v>M/O Sous-traitement</v>
      </c>
      <c r="W181" s="656" t="str">
        <f>+VLOOKUP($L181,Data_Validation!$A:$E,5,0)</f>
        <v>$</v>
      </c>
      <c r="X181" s="656" t="str">
        <f>+VLOOKUP($L181,Data_Validation!$A:$F,6,0)</f>
        <v>Oui</v>
      </c>
    </row>
    <row r="182" spans="1:24" ht="15.75" customHeight="1">
      <c r="A182" s="1332" t="s">
        <v>3673</v>
      </c>
      <c r="B182" s="1332" t="s">
        <v>1063</v>
      </c>
      <c r="C182" s="1334">
        <v>-138752.07</v>
      </c>
      <c r="D182" s="1334">
        <v>-64822.53</v>
      </c>
      <c r="E182" s="1334">
        <v>-203574.6</v>
      </c>
      <c r="F182" s="1332" t="s">
        <v>963</v>
      </c>
      <c r="G182" s="1332" t="s">
        <v>1063</v>
      </c>
      <c r="H182" s="1332" t="s">
        <v>3942</v>
      </c>
      <c r="I182" s="666"/>
      <c r="J182" s="666"/>
      <c r="K182" s="666"/>
      <c r="L182" s="653" t="str">
        <f t="shared" si="171"/>
        <v>4701</v>
      </c>
      <c r="M182" s="654" t="str">
        <f t="shared" si="172"/>
        <v>VW P&amp;A - BR - CLIENT - MCI</v>
      </c>
      <c r="N182" s="655">
        <f>+IF(OR($Q182=Parametres!$G$2,$Q182=Parametres!$G$3),I182,C182)</f>
        <v>-138752.07</v>
      </c>
      <c r="O182" s="655">
        <f>+IF(OR($Q182=Parametres!$G$2,$Q182=Parametres!$G$3),J182,D182)</f>
        <v>-64822.53</v>
      </c>
      <c r="P182" s="655">
        <f>+IF(OR($Q182=Parametres!$G$2,$Q182=Parametres!$G$3),K182,E182)</f>
        <v>-203574.6</v>
      </c>
      <c r="Q182" s="654" t="str">
        <f t="shared" si="173"/>
        <v>5-Ventes</v>
      </c>
      <c r="R182" s="653" t="str">
        <f t="shared" si="174"/>
        <v>4701</v>
      </c>
      <c r="S182" s="654" t="str">
        <f t="shared" si="175"/>
        <v>_</v>
      </c>
      <c r="T182" s="656" t="str">
        <f>+VLOOKUP($L182,Data_Validation!$A:$D,1,0)</f>
        <v>4701</v>
      </c>
      <c r="U182" s="656" t="str">
        <f>+VLOOKUP($L182,Data_Validation!$A:$D,3,0)</f>
        <v>Pièces</v>
      </c>
      <c r="V182" s="656" t="str">
        <f>+VLOOKUP($L182,Data_Validation!$A:$D,4,0)</f>
        <v>Pièces Ro Clients</v>
      </c>
      <c r="W182" s="656" t="str">
        <f>+VLOOKUP($L182,Data_Validation!$A:$E,5,0)</f>
        <v>$</v>
      </c>
      <c r="X182" s="656" t="str">
        <f>+VLOOKUP($L182,Data_Validation!$A:$F,6,0)</f>
        <v>Oui</v>
      </c>
    </row>
    <row r="183" spans="1:24" ht="15.75" customHeight="1">
      <c r="A183" s="1332" t="s">
        <v>1066</v>
      </c>
      <c r="B183" s="1332" t="s">
        <v>1067</v>
      </c>
      <c r="C183" s="1334">
        <v>-864.55</v>
      </c>
      <c r="D183" s="1334">
        <v>-629.29</v>
      </c>
      <c r="E183" s="1334">
        <v>-1493.84</v>
      </c>
      <c r="F183" s="1332" t="s">
        <v>963</v>
      </c>
      <c r="G183" s="1332" t="s">
        <v>1067</v>
      </c>
      <c r="H183" s="1332" t="s">
        <v>3942</v>
      </c>
      <c r="I183" s="666"/>
      <c r="J183" s="666"/>
      <c r="K183" s="666"/>
      <c r="L183" s="653" t="str">
        <f t="shared" si="171"/>
        <v>4702</v>
      </c>
      <c r="M183" s="654" t="str">
        <f t="shared" si="172"/>
        <v>VTE - SHOP SUPPLY VW</v>
      </c>
      <c r="N183" s="655">
        <f>+IF(OR($Q183=Parametres!$G$2,$Q183=Parametres!$G$3),I183,C183)</f>
        <v>-864.55</v>
      </c>
      <c r="O183" s="655">
        <f>+IF(OR($Q183=Parametres!$G$2,$Q183=Parametres!$G$3),J183,D183)</f>
        <v>-629.29</v>
      </c>
      <c r="P183" s="655">
        <f>+IF(OR($Q183=Parametres!$G$2,$Q183=Parametres!$G$3),K183,E183)</f>
        <v>-1493.84</v>
      </c>
      <c r="Q183" s="654" t="str">
        <f t="shared" si="173"/>
        <v>5-Ventes</v>
      </c>
      <c r="R183" s="653" t="str">
        <f t="shared" si="174"/>
        <v>4702</v>
      </c>
      <c r="S183" s="654" t="str">
        <f t="shared" si="175"/>
        <v>_</v>
      </c>
      <c r="T183" s="656" t="str">
        <f>+VLOOKUP($L183,Data_Validation!$A:$D,1,0)</f>
        <v>4702</v>
      </c>
      <c r="U183" s="656" t="str">
        <f>+VLOOKUP($L183,Data_Validation!$A:$D,3,0)</f>
        <v>Service</v>
      </c>
      <c r="V183" s="656" t="str">
        <f>+VLOOKUP($L183,Data_Validation!$A:$D,4,0)</f>
        <v>M/O Client</v>
      </c>
      <c r="W183" s="656" t="str">
        <f>+VLOOKUP($L183,Data_Validation!$A:$E,5,0)</f>
        <v>$</v>
      </c>
      <c r="X183" s="656" t="str">
        <f>+VLOOKUP($L183,Data_Validation!$A:$F,6,0)</f>
        <v>Oui</v>
      </c>
    </row>
    <row r="184" spans="1:24" ht="15.75" customHeight="1">
      <c r="A184" s="1332" t="s">
        <v>3674</v>
      </c>
      <c r="B184" s="1332" t="s">
        <v>1069</v>
      </c>
      <c r="C184" s="1334">
        <v>-205724.63</v>
      </c>
      <c r="D184" s="1334">
        <v>-68776.240000000005</v>
      </c>
      <c r="E184" s="1334">
        <v>-274500.87</v>
      </c>
      <c r="F184" s="1332" t="s">
        <v>963</v>
      </c>
      <c r="G184" s="1332" t="s">
        <v>1069</v>
      </c>
      <c r="H184" s="1332" t="s">
        <v>3942</v>
      </c>
      <c r="I184" s="667"/>
      <c r="J184" s="667"/>
      <c r="K184" s="667"/>
      <c r="L184" s="653" t="str">
        <f t="shared" si="171"/>
        <v>4703</v>
      </c>
      <c r="M184" s="654" t="str">
        <f t="shared" si="172"/>
        <v>VW P&amp;A - BR - GARANTIE - MCI</v>
      </c>
      <c r="N184" s="655">
        <f>+IF(OR($Q184=Parametres!$G$2,$Q184=Parametres!$G$3),I184,C184)</f>
        <v>-205724.63</v>
      </c>
      <c r="O184" s="659">
        <f>+IF(OR($Q184=Parametres!$G$2,$Q184=Parametres!$G$3),J184,D184)</f>
        <v>-68776.240000000005</v>
      </c>
      <c r="P184" s="655">
        <f>+IF(OR($Q184=Parametres!$G$2,$Q184=Parametres!$G$3),K184,E184)</f>
        <v>-274500.87</v>
      </c>
      <c r="Q184" s="654" t="str">
        <f t="shared" si="173"/>
        <v>5-Ventes</v>
      </c>
      <c r="R184" s="653" t="str">
        <f t="shared" si="174"/>
        <v>4703</v>
      </c>
      <c r="S184" s="654" t="str">
        <f t="shared" si="175"/>
        <v>_</v>
      </c>
      <c r="T184" s="656" t="str">
        <f>+VLOOKUP($L184,Data_Validation!$A:$D,1,0)</f>
        <v>4703</v>
      </c>
      <c r="U184" s="656" t="str">
        <f>+VLOOKUP($L184,Data_Validation!$A:$D,3,0)</f>
        <v>Pièces</v>
      </c>
      <c r="V184" s="656" t="str">
        <f>+VLOOKUP($L184,Data_Validation!$A:$D,4,0)</f>
        <v>P/A Garantie</v>
      </c>
      <c r="W184" s="656" t="str">
        <f>+VLOOKUP($L184,Data_Validation!$A:$E,5,0)</f>
        <v>$</v>
      </c>
      <c r="X184" s="656" t="str">
        <f>+VLOOKUP($L184,Data_Validation!$A:$F,6,0)</f>
        <v>Oui</v>
      </c>
    </row>
    <row r="185" spans="1:24" ht="15.75" customHeight="1">
      <c r="A185" s="1332" t="s">
        <v>3675</v>
      </c>
      <c r="B185" s="1332" t="s">
        <v>1073</v>
      </c>
      <c r="C185" s="1334">
        <v>-127363.93</v>
      </c>
      <c r="D185" s="1334">
        <v>-57624.72</v>
      </c>
      <c r="E185" s="1334">
        <v>-184988.65</v>
      </c>
      <c r="F185" s="1332" t="s">
        <v>963</v>
      </c>
      <c r="G185" s="1332" t="s">
        <v>1073</v>
      </c>
      <c r="H185" s="1332" t="s">
        <v>3942</v>
      </c>
      <c r="I185" s="666"/>
      <c r="J185" s="666"/>
      <c r="K185" s="666"/>
      <c r="L185" s="653" t="str">
        <f t="shared" si="171"/>
        <v>4705</v>
      </c>
      <c r="M185" s="654" t="str">
        <f t="shared" si="172"/>
        <v>VW P&amp;A - BR - INTERNE - MCI</v>
      </c>
      <c r="N185" s="655">
        <f>+IF(OR($Q185=Parametres!$G$2,$Q185=Parametres!$G$3),I185,C185)</f>
        <v>-127363.93</v>
      </c>
      <c r="O185" s="655">
        <f>+IF(OR($Q185=Parametres!$G$2,$Q185=Parametres!$G$3),J185,D185)</f>
        <v>-57624.72</v>
      </c>
      <c r="P185" s="655">
        <f>+IF(OR($Q185=Parametres!$G$2,$Q185=Parametres!$G$3),K185,E185)</f>
        <v>-184988.65</v>
      </c>
      <c r="Q185" s="654" t="str">
        <f t="shared" si="173"/>
        <v>5-Ventes</v>
      </c>
      <c r="R185" s="653" t="str">
        <f t="shared" si="174"/>
        <v>4705</v>
      </c>
      <c r="S185" s="654" t="str">
        <f t="shared" si="175"/>
        <v>_</v>
      </c>
      <c r="T185" s="656" t="str">
        <f>+VLOOKUP($L185,Data_Validation!$A:$D,1,0)</f>
        <v>4705</v>
      </c>
      <c r="U185" s="656" t="str">
        <f>+VLOOKUP($L185,Data_Validation!$A:$D,3,0)</f>
        <v>Pièces</v>
      </c>
      <c r="V185" s="656" t="str">
        <f>+VLOOKUP($L185,Data_Validation!$A:$D,4,0)</f>
        <v>Ventes Internes</v>
      </c>
      <c r="W185" s="656" t="str">
        <f>+VLOOKUP($L185,Data_Validation!$A:$E,5,0)</f>
        <v>$</v>
      </c>
      <c r="X185" s="656" t="str">
        <f>+VLOOKUP($L185,Data_Validation!$A:$F,6,0)</f>
        <v>Oui</v>
      </c>
    </row>
    <row r="186" spans="1:24" ht="15.75" customHeight="1">
      <c r="A186" s="1332" t="s">
        <v>3676</v>
      </c>
      <c r="B186" s="1332" t="s">
        <v>1076</v>
      </c>
      <c r="C186" s="1334">
        <v>-470.14</v>
      </c>
      <c r="D186" s="1334">
        <v>-165</v>
      </c>
      <c r="E186" s="1334">
        <v>-635.14</v>
      </c>
      <c r="F186" s="1332" t="s">
        <v>963</v>
      </c>
      <c r="G186" s="1332" t="s">
        <v>1076</v>
      </c>
      <c r="H186" s="1332" t="s">
        <v>3942</v>
      </c>
      <c r="I186" s="667"/>
      <c r="J186" s="667"/>
      <c r="K186" s="667"/>
      <c r="L186" s="653" t="str">
        <f t="shared" si="171"/>
        <v>4706</v>
      </c>
      <c r="M186" s="654" t="str">
        <f t="shared" si="172"/>
        <v>VW P&amp;A - BR - CLIENT - VEB</v>
      </c>
      <c r="N186" s="655">
        <f>+IF(OR($Q186=Parametres!$G$2,$Q186=Parametres!$G$3),I186,C186)</f>
        <v>-470.14</v>
      </c>
      <c r="O186" s="659">
        <f>+IF(OR($Q186=Parametres!$G$2,$Q186=Parametres!$G$3),J186,D186)</f>
        <v>-165</v>
      </c>
      <c r="P186" s="655">
        <f>+IF(OR($Q186=Parametres!$G$2,$Q186=Parametres!$G$3),K186,E186)</f>
        <v>-635.14</v>
      </c>
      <c r="Q186" s="654" t="str">
        <f t="shared" si="173"/>
        <v>5-Ventes</v>
      </c>
      <c r="R186" s="653" t="str">
        <f t="shared" si="174"/>
        <v>4706</v>
      </c>
      <c r="S186" s="654" t="str">
        <f t="shared" si="175"/>
        <v>_</v>
      </c>
      <c r="T186" s="656" t="str">
        <f>+VLOOKUP($L186,Data_Validation!$A:$D,1,0)</f>
        <v>4706</v>
      </c>
      <c r="U186" s="656" t="str">
        <f>+VLOOKUP($L186,Data_Validation!$A:$D,3,0)</f>
        <v>Service</v>
      </c>
      <c r="V186" s="656" t="str">
        <f>+VLOOKUP($L186,Data_Validation!$A:$D,4,0)</f>
        <v>M/O Interne</v>
      </c>
      <c r="W186" s="656" t="str">
        <f>+VLOOKUP($L186,Data_Validation!$A:$E,5,0)</f>
        <v>$</v>
      </c>
      <c r="X186" s="656" t="str">
        <f>+VLOOKUP($L186,Data_Validation!$A:$F,6,0)</f>
        <v>Oui</v>
      </c>
    </row>
    <row r="187" spans="1:24" ht="15" customHeight="1">
      <c r="A187" s="1332" t="s">
        <v>1077</v>
      </c>
      <c r="B187" s="1332" t="s">
        <v>1142</v>
      </c>
      <c r="C187" s="1334">
        <v>-6302.17</v>
      </c>
      <c r="D187" s="1334">
        <v>-3219.75</v>
      </c>
      <c r="E187" s="1334">
        <v>-9521.92</v>
      </c>
      <c r="F187" s="1332" t="s">
        <v>963</v>
      </c>
      <c r="G187" s="1332" t="s">
        <v>1078</v>
      </c>
      <c r="H187" s="1332" t="s">
        <v>3942</v>
      </c>
      <c r="I187" s="666"/>
      <c r="J187" s="666"/>
      <c r="K187" s="666"/>
      <c r="L187" s="653" t="str">
        <f t="shared" si="171"/>
        <v>4711</v>
      </c>
      <c r="M187" s="654" t="str">
        <f t="shared" si="172"/>
        <v>VTE - AUTRE PIECE/ACC/CARR B.R. CLIENT</v>
      </c>
      <c r="N187" s="655">
        <f>+IF(OR($Q187=Parametres!$G$2,$Q187=Parametres!$G$3),I187,C187)</f>
        <v>-6302.17</v>
      </c>
      <c r="O187" s="655">
        <f>+IF(OR($Q187=Parametres!$G$2,$Q187=Parametres!$G$3),J187,D187)</f>
        <v>-3219.75</v>
      </c>
      <c r="P187" s="655">
        <f>+IF(OR($Q187=Parametres!$G$2,$Q187=Parametres!$G$3),K187,E187)</f>
        <v>-9521.92</v>
      </c>
      <c r="Q187" s="654" t="str">
        <f t="shared" si="173"/>
        <v>5-Ventes</v>
      </c>
      <c r="R187" s="653" t="str">
        <f t="shared" si="174"/>
        <v>84711</v>
      </c>
      <c r="S187" s="654" t="str">
        <f t="shared" si="175"/>
        <v>_</v>
      </c>
      <c r="T187" s="656" t="str">
        <f>+VLOOKUP($L187,Data_Validation!$A:$D,1,0)</f>
        <v>4711</v>
      </c>
      <c r="U187" s="656" t="str">
        <f>+VLOOKUP($L187,Data_Validation!$A:$D,3,0)</f>
        <v>Pièces</v>
      </c>
      <c r="V187" s="656" t="str">
        <f>+VLOOKUP($L187,Data_Validation!$A:$D,4,0)</f>
        <v>Pièces Ro Clients</v>
      </c>
      <c r="W187" s="656" t="str">
        <f>+VLOOKUP($L187,Data_Validation!$A:$E,5,0)</f>
        <v>$</v>
      </c>
      <c r="X187" s="656" t="str">
        <f>+VLOOKUP($L187,Data_Validation!$A:$F,6,0)</f>
        <v>Oui</v>
      </c>
    </row>
    <row r="188" spans="1:24" ht="15" customHeight="1">
      <c r="A188" s="1332" t="s">
        <v>3677</v>
      </c>
      <c r="B188" s="1332" t="s">
        <v>1086</v>
      </c>
      <c r="C188" s="1334">
        <v>-2232.6</v>
      </c>
      <c r="D188" s="1334">
        <v>-882.7</v>
      </c>
      <c r="E188" s="1334">
        <v>-3115.3</v>
      </c>
      <c r="F188" s="1332" t="s">
        <v>963</v>
      </c>
      <c r="G188" s="1332" t="s">
        <v>1086</v>
      </c>
      <c r="H188" s="1332" t="s">
        <v>3942</v>
      </c>
      <c r="I188" s="652"/>
      <c r="J188" s="652"/>
      <c r="K188" s="652"/>
      <c r="L188" s="653" t="str">
        <f t="shared" si="171"/>
        <v>4731</v>
      </c>
      <c r="M188" s="654" t="str">
        <f t="shared" si="172"/>
        <v>VW-P&amp;A-P&amp;BRO-CLIENT - MCI</v>
      </c>
      <c r="N188" s="655">
        <f>+IF(OR($Q188=Parametres!$G$2,$Q188=Parametres!$G$3),I188,C188)</f>
        <v>-2232.6</v>
      </c>
      <c r="O188" s="655">
        <f>+IF(OR($Q188=Parametres!$G$2,$Q188=Parametres!$G$3),J188,D188)</f>
        <v>-882.7</v>
      </c>
      <c r="P188" s="655">
        <f>+IF(OR($Q188=Parametres!$G$2,$Q188=Parametres!$G$3),K188,E188)</f>
        <v>-3115.3</v>
      </c>
      <c r="Q188" s="654" t="str">
        <f t="shared" si="173"/>
        <v>5-Ventes</v>
      </c>
      <c r="R188" s="653" t="str">
        <f t="shared" si="174"/>
        <v>4731</v>
      </c>
      <c r="S188" s="654" t="str">
        <f t="shared" si="175"/>
        <v>_</v>
      </c>
      <c r="T188" s="656" t="str">
        <f>+VLOOKUP($L188,Data_Validation!$A:$D,1,0)</f>
        <v>4731</v>
      </c>
      <c r="U188" s="656" t="str">
        <f>+VLOOKUP($L188,Data_Validation!$A:$D,3,0)</f>
        <v>Pièces</v>
      </c>
      <c r="V188" s="656" t="str">
        <f>+VLOOKUP($L188,Data_Validation!$A:$D,4,0)</f>
        <v>Pièces Ro Carrosserie</v>
      </c>
      <c r="W188" s="656" t="str">
        <f>+VLOOKUP($L188,Data_Validation!$A:$E,5,0)</f>
        <v>$</v>
      </c>
      <c r="X188" s="656" t="str">
        <f>+VLOOKUP($L188,Data_Validation!$A:$F,6,0)</f>
        <v>Oui</v>
      </c>
    </row>
    <row r="189" spans="1:24" ht="15" customHeight="1">
      <c r="A189" s="1332" t="s">
        <v>3678</v>
      </c>
      <c r="B189" s="1332" t="s">
        <v>1090</v>
      </c>
      <c r="C189" s="1334">
        <v>-159160.39000000001</v>
      </c>
      <c r="D189" s="1334">
        <v>-46648.33</v>
      </c>
      <c r="E189" s="1334">
        <v>-205808.72</v>
      </c>
      <c r="F189" s="1332" t="s">
        <v>963</v>
      </c>
      <c r="G189" s="1332" t="s">
        <v>1090</v>
      </c>
      <c r="H189" s="1332" t="s">
        <v>3942</v>
      </c>
      <c r="I189" s="651"/>
      <c r="J189" s="651"/>
      <c r="K189" s="651"/>
      <c r="L189" s="653" t="str">
        <f t="shared" si="171"/>
        <v>4733</v>
      </c>
      <c r="M189" s="654" t="str">
        <f t="shared" si="172"/>
        <v>VW-P&amp;A-P&amp;BRO-GARANTIE - MCI</v>
      </c>
      <c r="N189" s="655">
        <f>+IF(OR($Q189=Parametres!$G$2,$Q189=Parametres!$G$3),I189,C189)</f>
        <v>-159160.39000000001</v>
      </c>
      <c r="O189" s="655">
        <f>+IF(OR($Q189=Parametres!$G$2,$Q189=Parametres!$G$3),J189,D189)</f>
        <v>-46648.33</v>
      </c>
      <c r="P189" s="655">
        <f>+IF(OR($Q189=Parametres!$G$2,$Q189=Parametres!$G$3),K189,E189)</f>
        <v>-205808.72</v>
      </c>
      <c r="Q189" s="654" t="str">
        <f t="shared" si="173"/>
        <v>5-Ventes</v>
      </c>
      <c r="R189" s="653" t="str">
        <f t="shared" si="174"/>
        <v>4733</v>
      </c>
      <c r="S189" s="654" t="str">
        <f t="shared" si="175"/>
        <v>_</v>
      </c>
      <c r="T189" s="656" t="str">
        <f>+VLOOKUP($L189,Data_Validation!$A:$D,1,0)</f>
        <v>4733</v>
      </c>
      <c r="U189" s="656" t="str">
        <f>+VLOOKUP($L189,Data_Validation!$A:$D,3,0)</f>
        <v>Pièces</v>
      </c>
      <c r="V189" s="656" t="str">
        <f>+VLOOKUP($L189,Data_Validation!$A:$D,4,0)</f>
        <v>Pièces Ro Carrosserie</v>
      </c>
      <c r="W189" s="656" t="str">
        <f>+VLOOKUP($L189,Data_Validation!$A:$E,5,0)</f>
        <v>$</v>
      </c>
      <c r="X189" s="656" t="str">
        <f>+VLOOKUP($L189,Data_Validation!$A:$F,6,0)</f>
        <v>Oui</v>
      </c>
    </row>
    <row r="190" spans="1:24" ht="15" customHeight="1">
      <c r="A190" s="1332" t="s">
        <v>3679</v>
      </c>
      <c r="B190" s="1332" t="s">
        <v>1094</v>
      </c>
      <c r="C190" s="1334">
        <v>-450.48</v>
      </c>
      <c r="D190" s="1334">
        <v>-619.20000000000005</v>
      </c>
      <c r="E190" s="1334">
        <v>-1069.68</v>
      </c>
      <c r="F190" s="1332" t="s">
        <v>963</v>
      </c>
      <c r="G190" s="1332" t="s">
        <v>1094</v>
      </c>
      <c r="H190" s="1332" t="s">
        <v>3942</v>
      </c>
      <c r="I190" s="652"/>
      <c r="J190" s="652"/>
      <c r="K190" s="652"/>
      <c r="L190" s="653" t="str">
        <f t="shared" si="171"/>
        <v>4735</v>
      </c>
      <c r="M190" s="654" t="str">
        <f t="shared" si="172"/>
        <v>VW-P&amp;A-P&amp;BRO-INTERNE - MCI</v>
      </c>
      <c r="N190" s="655">
        <f>+IF(OR($Q190=Parametres!$G$2,$Q190=Parametres!$G$3),I190,C190)</f>
        <v>-450.48</v>
      </c>
      <c r="O190" s="655">
        <f>+IF(OR($Q190=Parametres!$G$2,$Q190=Parametres!$G$3),J190,D190)</f>
        <v>-619.20000000000005</v>
      </c>
      <c r="P190" s="655">
        <f>+IF(OR($Q190=Parametres!$G$2,$Q190=Parametres!$G$3),K190,E190)</f>
        <v>-1069.68</v>
      </c>
      <c r="Q190" s="654" t="str">
        <f t="shared" si="173"/>
        <v>5-Ventes</v>
      </c>
      <c r="R190" s="653" t="str">
        <f t="shared" si="174"/>
        <v>4735</v>
      </c>
      <c r="S190" s="654" t="str">
        <f t="shared" si="175"/>
        <v>_</v>
      </c>
      <c r="T190" s="656" t="str">
        <f>+VLOOKUP($L190,Data_Validation!$A:$D,1,0)</f>
        <v>4735</v>
      </c>
      <c r="U190" s="656" t="str">
        <f>+VLOOKUP($L190,Data_Validation!$A:$D,3,0)</f>
        <v>Pièces</v>
      </c>
      <c r="V190" s="656" t="str">
        <f>+VLOOKUP($L190,Data_Validation!$A:$D,4,0)</f>
        <v>Pièces Ro Carrosserie</v>
      </c>
      <c r="W190" s="656" t="str">
        <f>+VLOOKUP($L190,Data_Validation!$A:$E,5,0)</f>
        <v>$</v>
      </c>
      <c r="X190" s="656" t="str">
        <f>+VLOOKUP($L190,Data_Validation!$A:$F,6,0)</f>
        <v>Oui</v>
      </c>
    </row>
    <row r="191" spans="1:24" ht="15" customHeight="1">
      <c r="A191" s="1332" t="s">
        <v>1097</v>
      </c>
      <c r="B191" s="1332" t="s">
        <v>1098</v>
      </c>
      <c r="C191" s="1334">
        <v>-21384.39</v>
      </c>
      <c r="D191" s="1334">
        <v>-9302.3700000000008</v>
      </c>
      <c r="E191" s="1334">
        <v>-30686.76</v>
      </c>
      <c r="F191" s="1332" t="s">
        <v>963</v>
      </c>
      <c r="G191" s="1332" t="s">
        <v>1098</v>
      </c>
      <c r="H191" s="1332" t="s">
        <v>3942</v>
      </c>
      <c r="I191" s="651"/>
      <c r="J191" s="651"/>
      <c r="K191" s="670"/>
      <c r="L191" s="653" t="str">
        <f t="shared" si="171"/>
        <v>4761</v>
      </c>
      <c r="M191" s="654" t="str">
        <f t="shared" si="172"/>
        <v>VTE - P&amp;A VW COMPTOIR - DETAIL</v>
      </c>
      <c r="N191" s="655">
        <f>+IF(OR($Q191=Parametres!$G$2,$Q191=Parametres!$G$3),I191,C191)</f>
        <v>-21384.39</v>
      </c>
      <c r="O191" s="655">
        <f>+IF(OR($Q191=Parametres!$G$2,$Q191=Parametres!$G$3),J191,D191)</f>
        <v>-9302.3700000000008</v>
      </c>
      <c r="P191" s="655">
        <f>+IF(OR($Q191=Parametres!$G$2,$Q191=Parametres!$G$3),K191,E191)</f>
        <v>-30686.76</v>
      </c>
      <c r="Q191" s="654" t="str">
        <f t="shared" si="173"/>
        <v>5-Ventes</v>
      </c>
      <c r="R191" s="653" t="str">
        <f t="shared" si="174"/>
        <v>4761</v>
      </c>
      <c r="S191" s="654" t="str">
        <f t="shared" si="175"/>
        <v>_</v>
      </c>
      <c r="T191" s="656" t="str">
        <f>+VLOOKUP($L191,Data_Validation!$A:$D,1,0)</f>
        <v>4761</v>
      </c>
      <c r="U191" s="656" t="str">
        <f>+VLOOKUP($L191,Data_Validation!$A:$D,3,0)</f>
        <v>Pièces</v>
      </c>
      <c r="V191" s="656" t="str">
        <f>+VLOOKUP($L191,Data_Validation!$A:$D,4,0)</f>
        <v>Ventes Détails</v>
      </c>
      <c r="W191" s="656" t="str">
        <f>+VLOOKUP($L191,Data_Validation!$A:$E,5,0)</f>
        <v>$</v>
      </c>
      <c r="X191" s="656" t="str">
        <f>+VLOOKUP($L191,Data_Validation!$A:$F,6,0)</f>
        <v>Oui</v>
      </c>
    </row>
    <row r="192" spans="1:24" ht="15" customHeight="1">
      <c r="A192" s="1332" t="s">
        <v>1101</v>
      </c>
      <c r="B192" s="1332" t="s">
        <v>1102</v>
      </c>
      <c r="C192" s="1334">
        <v>-479293.16</v>
      </c>
      <c r="D192" s="1334">
        <v>-280445.62</v>
      </c>
      <c r="E192" s="1334">
        <v>-759738.78</v>
      </c>
      <c r="F192" s="1332" t="s">
        <v>963</v>
      </c>
      <c r="G192" s="1332" t="s">
        <v>1102</v>
      </c>
      <c r="H192" s="1332" t="s">
        <v>3942</v>
      </c>
      <c r="I192" s="652"/>
      <c r="J192" s="652"/>
      <c r="K192" s="652"/>
      <c r="L192" s="653" t="str">
        <f t="shared" si="171"/>
        <v>4763</v>
      </c>
      <c r="M192" s="654" t="str">
        <f t="shared" si="172"/>
        <v>VTE - P&amp;A VW COMPTOIR GROS - ECHANGE</v>
      </c>
      <c r="N192" s="655">
        <f>+IF(OR($Q192=Parametres!$G$2,$Q192=Parametres!$G$3),I192,C192)</f>
        <v>-479293.16</v>
      </c>
      <c r="O192" s="655">
        <f>+IF(OR($Q192=Parametres!$G$2,$Q192=Parametres!$G$3),J192,D192)</f>
        <v>-280445.62</v>
      </c>
      <c r="P192" s="655">
        <f>+IF(OR($Q192=Parametres!$G$2,$Q192=Parametres!$G$3),K192,E192)</f>
        <v>-759738.78</v>
      </c>
      <c r="Q192" s="654" t="str">
        <f t="shared" si="173"/>
        <v>5-Ventes</v>
      </c>
      <c r="R192" s="653" t="str">
        <f t="shared" si="174"/>
        <v>4763</v>
      </c>
      <c r="S192" s="654" t="str">
        <f t="shared" si="175"/>
        <v>_</v>
      </c>
      <c r="T192" s="656" t="str">
        <f>+VLOOKUP($L192,Data_Validation!$A:$D,1,0)</f>
        <v>4763</v>
      </c>
      <c r="U192" s="656" t="str">
        <f>+VLOOKUP($L192,Data_Validation!$A:$D,3,0)</f>
        <v>Pièces</v>
      </c>
      <c r="V192" s="656" t="str">
        <f>+VLOOKUP($L192,Data_Validation!$A:$D,4,0)</f>
        <v>Ventes de Gros</v>
      </c>
      <c r="W192" s="656" t="str">
        <f>+VLOOKUP($L192,Data_Validation!$A:$E,5,0)</f>
        <v>$</v>
      </c>
      <c r="X192" s="656" t="str">
        <f>+VLOOKUP($L192,Data_Validation!$A:$F,6,0)</f>
        <v>Oui</v>
      </c>
    </row>
    <row r="193" spans="1:24" ht="15" customHeight="1">
      <c r="A193" s="1332" t="s">
        <v>1105</v>
      </c>
      <c r="B193" s="1332" t="s">
        <v>1106</v>
      </c>
      <c r="C193" s="1334">
        <v>-124788.64</v>
      </c>
      <c r="D193" s="1334">
        <v>-39869.18</v>
      </c>
      <c r="E193" s="1334">
        <v>-164657.82</v>
      </c>
      <c r="F193" s="1332" t="s">
        <v>963</v>
      </c>
      <c r="G193" s="1332" t="s">
        <v>1106</v>
      </c>
      <c r="H193" s="1332" t="s">
        <v>3942</v>
      </c>
      <c r="I193" s="651"/>
      <c r="J193" s="651"/>
      <c r="K193" s="670"/>
      <c r="L193" s="653" t="str">
        <f t="shared" si="171"/>
        <v>4781</v>
      </c>
      <c r="M193" s="654" t="str">
        <f t="shared" si="172"/>
        <v>VENTES PNEUS</v>
      </c>
      <c r="N193" s="655">
        <f>+IF(OR($Q193=Parametres!$G$2,$Q193=Parametres!$G$3),I193,C193)</f>
        <v>-124788.64</v>
      </c>
      <c r="O193" s="655">
        <f>+IF(OR($Q193=Parametres!$G$2,$Q193=Parametres!$G$3),J193,D193)</f>
        <v>-39869.18</v>
      </c>
      <c r="P193" s="655">
        <f>+IF(OR($Q193=Parametres!$G$2,$Q193=Parametres!$G$3),K193,E193)</f>
        <v>-164657.82</v>
      </c>
      <c r="Q193" s="654" t="str">
        <f t="shared" si="173"/>
        <v>5-Ventes</v>
      </c>
      <c r="R193" s="653" t="str">
        <f t="shared" si="174"/>
        <v>4781</v>
      </c>
      <c r="S193" s="654" t="str">
        <f t="shared" si="175"/>
        <v>_</v>
      </c>
      <c r="T193" s="656" t="str">
        <f>+VLOOKUP($L193,Data_Validation!$A:$D,1,0)</f>
        <v>4781</v>
      </c>
      <c r="U193" s="656" t="str">
        <f>+VLOOKUP($L193,Data_Validation!$A:$D,3,0)</f>
        <v>Pièces</v>
      </c>
      <c r="V193" s="656" t="str">
        <f>+VLOOKUP($L193,Data_Validation!$A:$D,4,0)</f>
        <v>Ventes Pneus</v>
      </c>
      <c r="W193" s="656" t="str">
        <f>+VLOOKUP($L193,Data_Validation!$A:$E,5,0)</f>
        <v>$</v>
      </c>
      <c r="X193" s="656" t="str">
        <f>+VLOOKUP($L193,Data_Validation!$A:$F,6,0)</f>
        <v>Oui</v>
      </c>
    </row>
    <row r="194" spans="1:24" ht="15.75" customHeight="1">
      <c r="A194" s="1332" t="s">
        <v>1108</v>
      </c>
      <c r="B194" s="1332" t="s">
        <v>2050</v>
      </c>
      <c r="C194" s="1334">
        <v>844.58</v>
      </c>
      <c r="D194" s="1334">
        <v>0</v>
      </c>
      <c r="E194" s="1334">
        <v>844.58</v>
      </c>
      <c r="F194" s="1332" t="s">
        <v>963</v>
      </c>
      <c r="G194" s="1332" t="s">
        <v>1106</v>
      </c>
      <c r="H194" s="1332" t="s">
        <v>3942</v>
      </c>
      <c r="I194" s="652"/>
      <c r="J194" s="652"/>
      <c r="K194" s="652"/>
      <c r="L194" s="653" t="str">
        <f t="shared" si="171"/>
        <v>4785</v>
      </c>
      <c r="M194" s="654" t="str">
        <f t="shared" si="172"/>
        <v>VTE - VW PNEUS</v>
      </c>
      <c r="N194" s="655">
        <f>+IF(OR($Q194=Parametres!$G$2,$Q194=Parametres!$G$3),I194,C194)</f>
        <v>844.58</v>
      </c>
      <c r="O194" s="655">
        <f>+IF(OR($Q194=Parametres!$G$2,$Q194=Parametres!$G$3),J194,D194)</f>
        <v>0</v>
      </c>
      <c r="P194" s="655">
        <f>+IF(OR($Q194=Parametres!$G$2,$Q194=Parametres!$G$3),K194,E194)</f>
        <v>844.58</v>
      </c>
      <c r="Q194" s="654" t="str">
        <f t="shared" si="173"/>
        <v>5-Ventes</v>
      </c>
      <c r="R194" s="653" t="str">
        <f t="shared" si="174"/>
        <v>4781</v>
      </c>
      <c r="S194" s="654" t="str">
        <f t="shared" si="175"/>
        <v>_</v>
      </c>
      <c r="T194" s="656" t="str">
        <f>+VLOOKUP($L194,Data_Validation!$A:$D,1,0)</f>
        <v>4785</v>
      </c>
      <c r="U194" s="656" t="str">
        <f>+VLOOKUP($L194,Data_Validation!$A:$D,3,0)</f>
        <v>Pièces</v>
      </c>
      <c r="V194" s="656" t="str">
        <f>+VLOOKUP($L194,Data_Validation!$A:$D,4,0)</f>
        <v>Ventes Pneus</v>
      </c>
      <c r="W194" s="656" t="str">
        <f>+VLOOKUP($L194,Data_Validation!$A:$E,5,0)</f>
        <v>$</v>
      </c>
      <c r="X194" s="656" t="str">
        <f>+VLOOKUP($L194,Data_Validation!$A:$F,6,0)</f>
        <v>Oui</v>
      </c>
    </row>
    <row r="195" spans="1:24" ht="15" customHeight="1">
      <c r="A195" s="1332" t="s">
        <v>1109</v>
      </c>
      <c r="B195" s="1332" t="s">
        <v>2058</v>
      </c>
      <c r="C195" s="1334">
        <v>357562.63</v>
      </c>
      <c r="D195" s="1334">
        <v>185209.83</v>
      </c>
      <c r="E195" s="1334">
        <v>542772.46</v>
      </c>
      <c r="F195" s="1332" t="s">
        <v>1110</v>
      </c>
      <c r="G195" s="1332" t="s">
        <v>964</v>
      </c>
      <c r="H195" s="1332" t="s">
        <v>3942</v>
      </c>
      <c r="I195" s="670"/>
      <c r="J195" s="651"/>
      <c r="K195" s="670"/>
      <c r="L195" s="653" t="str">
        <f t="shared" si="171"/>
        <v>5100</v>
      </c>
      <c r="M195" s="654" t="str">
        <f t="shared" si="172"/>
        <v>C/V - RACHAT DE BAIL</v>
      </c>
      <c r="N195" s="655">
        <f>+IF(OR($Q195=Parametres!$G$2,$Q195=Parametres!$G$3),I195,C195)</f>
        <v>357562.63</v>
      </c>
      <c r="O195" s="655">
        <f>+IF(OR($Q195=Parametres!$G$2,$Q195=Parametres!$G$3),J195,D195)</f>
        <v>185209.83</v>
      </c>
      <c r="P195" s="655">
        <f>+IF(OR($Q195=Parametres!$G$2,$Q195=Parametres!$G$3),K195,E195)</f>
        <v>542772.46</v>
      </c>
      <c r="Q195" s="654" t="str">
        <f t="shared" si="173"/>
        <v>6-Coût des ventes</v>
      </c>
      <c r="R195" s="653" t="str">
        <f t="shared" si="174"/>
        <v>4100</v>
      </c>
      <c r="S195" s="654" t="str">
        <f t="shared" si="175"/>
        <v>_</v>
      </c>
      <c r="T195" s="656" t="str">
        <f>+VLOOKUP($L195,Data_Validation!$A:$D,1,0)</f>
        <v>5100</v>
      </c>
      <c r="U195" s="656" t="str">
        <f>+VLOOKUP($L195,Data_Validation!$A:$D,3,0)</f>
        <v>Véhicules neufs</v>
      </c>
      <c r="V195" s="656" t="str">
        <f>+VLOOKUP($L195,Data_Validation!$A:$D,4,0)</f>
        <v>Rachat bail</v>
      </c>
      <c r="W195" s="656" t="str">
        <f>+VLOOKUP($L195,Data_Validation!$A:$E,5,0)</f>
        <v>$</v>
      </c>
      <c r="X195" s="656">
        <f>+VLOOKUP($L195,Data_Validation!$A:$F,6,0)</f>
        <v>0</v>
      </c>
    </row>
    <row r="196" spans="1:24" ht="15" customHeight="1">
      <c r="A196" s="1332" t="s">
        <v>1111</v>
      </c>
      <c r="B196" s="1332" t="s">
        <v>2070</v>
      </c>
      <c r="C196" s="1334">
        <v>55930.8</v>
      </c>
      <c r="D196" s="1334">
        <v>156140.04</v>
      </c>
      <c r="E196" s="1334">
        <v>212070.84</v>
      </c>
      <c r="F196" s="1332" t="s">
        <v>1110</v>
      </c>
      <c r="G196" s="1332" t="s">
        <v>968</v>
      </c>
      <c r="H196" s="1332" t="s">
        <v>3942</v>
      </c>
      <c r="I196" s="652"/>
      <c r="J196" s="652"/>
      <c r="K196" s="652"/>
      <c r="L196" s="653" t="str">
        <f t="shared" si="171"/>
        <v>5109</v>
      </c>
      <c r="M196" s="654" t="str">
        <f t="shared" si="172"/>
        <v>C/V - GOLF R</v>
      </c>
      <c r="N196" s="655">
        <f>+IF(OR($Q196=Parametres!$G$2,$Q196=Parametres!$G$3),I196,C196)</f>
        <v>55930.8</v>
      </c>
      <c r="O196" s="655">
        <f>+IF(OR($Q196=Parametres!$G$2,$Q196=Parametres!$G$3),J196,D196)</f>
        <v>156140.04</v>
      </c>
      <c r="P196" s="655">
        <f>+IF(OR($Q196=Parametres!$G$2,$Q196=Parametres!$G$3),K196,E196)</f>
        <v>212070.84</v>
      </c>
      <c r="Q196" s="654" t="str">
        <f t="shared" si="173"/>
        <v>6-Coût des ventes</v>
      </c>
      <c r="R196" s="653" t="str">
        <f t="shared" si="174"/>
        <v>4109</v>
      </c>
      <c r="S196" s="654" t="str">
        <f t="shared" si="175"/>
        <v>_</v>
      </c>
      <c r="T196" s="656" t="str">
        <f>+VLOOKUP($L196,Data_Validation!$A:$D,1,0)</f>
        <v>5109</v>
      </c>
      <c r="U196" s="656" t="str">
        <f>+VLOOKUP($L196,Data_Validation!$A:$D,3,0)</f>
        <v>Véhicules neufs</v>
      </c>
      <c r="V196" s="656" t="str">
        <f>+VLOOKUP($L196,Data_Validation!$A:$D,4,0)</f>
        <v>Autos détail</v>
      </c>
      <c r="W196" s="656" t="str">
        <f>+VLOOKUP($L196,Data_Validation!$A:$E,5,0)</f>
        <v>$</v>
      </c>
      <c r="X196" s="656">
        <f>+VLOOKUP($L196,Data_Validation!$A:$F,6,0)</f>
        <v>0</v>
      </c>
    </row>
    <row r="197" spans="1:24" ht="15" customHeight="1">
      <c r="A197" s="1332" t="s">
        <v>971</v>
      </c>
      <c r="B197" s="1332" t="s">
        <v>2075</v>
      </c>
      <c r="C197" s="1334">
        <v>256018.47</v>
      </c>
      <c r="D197" s="1334">
        <v>91500.72</v>
      </c>
      <c r="E197" s="1334">
        <v>347519.19</v>
      </c>
      <c r="F197" s="1332" t="s">
        <v>1110</v>
      </c>
      <c r="G197" s="1332" t="s">
        <v>972</v>
      </c>
      <c r="H197" s="1332" t="s">
        <v>3942</v>
      </c>
      <c r="I197" s="651"/>
      <c r="J197" s="651"/>
      <c r="K197" s="670"/>
      <c r="L197" s="653" t="str">
        <f t="shared" si="171"/>
        <v>5111</v>
      </c>
      <c r="M197" s="654" t="str">
        <f t="shared" si="172"/>
        <v>JETTA/ JETTA GLI</v>
      </c>
      <c r="N197" s="655">
        <f>+IF(OR($Q197=Parametres!$G$2,$Q197=Parametres!$G$3),I197,C197)</f>
        <v>256018.47</v>
      </c>
      <c r="O197" s="659">
        <f>+IF(OR($Q197=Parametres!$G$2,$Q197=Parametres!$G$3),J197,D197)</f>
        <v>91500.72</v>
      </c>
      <c r="P197" s="655">
        <f>+IF(OR($Q197=Parametres!$G$2,$Q197=Parametres!$G$3),K197,E197)</f>
        <v>347519.19</v>
      </c>
      <c r="Q197" s="654" t="str">
        <f t="shared" si="173"/>
        <v>6-Coût des ventes</v>
      </c>
      <c r="R197" s="653" t="str">
        <f t="shared" si="174"/>
        <v>4111</v>
      </c>
      <c r="S197" s="654" t="str">
        <f t="shared" si="175"/>
        <v>_</v>
      </c>
      <c r="T197" s="656" t="str">
        <f>+VLOOKUP($L197,Data_Validation!$A:$D,1,0)</f>
        <v>5111</v>
      </c>
      <c r="U197" s="656" t="str">
        <f>+VLOOKUP($L197,Data_Validation!$A:$D,3,0)</f>
        <v>Véhicules neufs</v>
      </c>
      <c r="V197" s="656" t="str">
        <f>+VLOOKUP($L197,Data_Validation!$A:$D,4,0)</f>
        <v>Autos détail</v>
      </c>
      <c r="W197" s="656" t="str">
        <f>+VLOOKUP($L197,Data_Validation!$A:$E,5,0)</f>
        <v>$</v>
      </c>
      <c r="X197" s="656">
        <f>+VLOOKUP($L197,Data_Validation!$A:$F,6,0)</f>
        <v>0</v>
      </c>
    </row>
    <row r="198" spans="1:24" ht="15" customHeight="1">
      <c r="A198" s="1332" t="s">
        <v>1112</v>
      </c>
      <c r="B198" s="1332" t="s">
        <v>3383</v>
      </c>
      <c r="C198" s="1334">
        <v>958316.82</v>
      </c>
      <c r="D198" s="1334">
        <v>336653.87</v>
      </c>
      <c r="E198" s="1334">
        <v>1294970.69</v>
      </c>
      <c r="F198" s="1332" t="s">
        <v>1110</v>
      </c>
      <c r="G198" s="1332" t="s">
        <v>1113</v>
      </c>
      <c r="H198" s="1332" t="s">
        <v>3942</v>
      </c>
      <c r="I198" s="652"/>
      <c r="J198" s="652"/>
      <c r="K198" s="652"/>
      <c r="L198" s="653" t="str">
        <f t="shared" si="171"/>
        <v>5118</v>
      </c>
      <c r="M198" s="654" t="str">
        <f t="shared" si="172"/>
        <v>C/V - TAOS</v>
      </c>
      <c r="N198" s="655">
        <f>+IF(OR($Q198=Parametres!$G$2,$Q198=Parametres!$G$3),I198,C198)</f>
        <v>958316.82</v>
      </c>
      <c r="O198" s="655">
        <f>+IF(OR($Q198=Parametres!$G$2,$Q198=Parametres!$G$3),J198,D198)</f>
        <v>336653.87</v>
      </c>
      <c r="P198" s="655">
        <f>+IF(OR($Q198=Parametres!$G$2,$Q198=Parametres!$G$3),K198,E198)</f>
        <v>1294970.69</v>
      </c>
      <c r="Q198" s="654" t="str">
        <f t="shared" si="173"/>
        <v>6-Coût des ventes</v>
      </c>
      <c r="R198" s="653" t="str">
        <f t="shared" si="174"/>
        <v>511</v>
      </c>
      <c r="S198" s="654" t="str">
        <f t="shared" si="175"/>
        <v>_</v>
      </c>
      <c r="T198" s="656" t="str">
        <f>+VLOOKUP($L198,Data_Validation!$A:$D,1,0)</f>
        <v>5118</v>
      </c>
      <c r="U198" s="656" t="str">
        <f>+VLOOKUP($L198,Data_Validation!$A:$D,3,0)</f>
        <v>Véhicules neufs</v>
      </c>
      <c r="V198" s="656" t="str">
        <f>+VLOOKUP($L198,Data_Validation!$A:$D,4,0)</f>
        <v>Camions détail</v>
      </c>
      <c r="W198" s="656" t="str">
        <f>+VLOOKUP($L198,Data_Validation!$A:$E,5,0)</f>
        <v>$</v>
      </c>
      <c r="X198" s="656">
        <f>+VLOOKUP($L198,Data_Validation!$A:$F,6,0)</f>
        <v>0</v>
      </c>
    </row>
    <row r="199" spans="1:24" ht="15.75" customHeight="1">
      <c r="A199" s="1332" t="s">
        <v>1114</v>
      </c>
      <c r="B199" s="1332" t="s">
        <v>2084</v>
      </c>
      <c r="C199" s="1334">
        <v>290975.86</v>
      </c>
      <c r="D199" s="1334">
        <v>610933.84</v>
      </c>
      <c r="E199" s="1334">
        <v>901909.7</v>
      </c>
      <c r="F199" s="1332" t="s">
        <v>1110</v>
      </c>
      <c r="G199" s="1332" t="s">
        <v>980</v>
      </c>
      <c r="H199" s="1332" t="s">
        <v>3942</v>
      </c>
      <c r="I199" s="670"/>
      <c r="J199" s="651"/>
      <c r="K199" s="670"/>
      <c r="L199" s="653" t="str">
        <f t="shared" si="171"/>
        <v>5119</v>
      </c>
      <c r="M199" s="654" t="str">
        <f t="shared" si="172"/>
        <v>C/V - ATLAS</v>
      </c>
      <c r="N199" s="655">
        <f>+IF(OR($Q199=Parametres!$G$2,$Q199=Parametres!$G$3),I199,C199)</f>
        <v>290975.86</v>
      </c>
      <c r="O199" s="655">
        <f>+IF(OR($Q199=Parametres!$G$2,$Q199=Parametres!$G$3),J199,D199)</f>
        <v>610933.84</v>
      </c>
      <c r="P199" s="655">
        <f>+IF(OR($Q199=Parametres!$G$2,$Q199=Parametres!$G$3),K199,E199)</f>
        <v>901909.7</v>
      </c>
      <c r="Q199" s="654" t="str">
        <f t="shared" si="173"/>
        <v>6-Coût des ventes</v>
      </c>
      <c r="R199" s="653" t="str">
        <f t="shared" si="174"/>
        <v>4119</v>
      </c>
      <c r="S199" s="654" t="str">
        <f t="shared" si="175"/>
        <v>_</v>
      </c>
      <c r="T199" s="656" t="str">
        <f>+VLOOKUP($L199,Data_Validation!$A:$D,1,0)</f>
        <v>5119</v>
      </c>
      <c r="U199" s="656" t="str">
        <f>+VLOOKUP($L199,Data_Validation!$A:$D,3,0)</f>
        <v>Véhicules neufs</v>
      </c>
      <c r="V199" s="656" t="str">
        <f>+VLOOKUP($L199,Data_Validation!$A:$D,4,0)</f>
        <v>Camions détail</v>
      </c>
      <c r="W199" s="656" t="str">
        <f>+VLOOKUP($L199,Data_Validation!$A:$E,5,0)</f>
        <v>$</v>
      </c>
      <c r="X199" s="656">
        <f>+VLOOKUP($L199,Data_Validation!$A:$F,6,0)</f>
        <v>0</v>
      </c>
    </row>
    <row r="200" spans="1:24" ht="15" customHeight="1">
      <c r="A200" s="1332" t="s">
        <v>1115</v>
      </c>
      <c r="B200" s="1332" t="s">
        <v>3384</v>
      </c>
      <c r="C200" s="1334">
        <v>121435.47</v>
      </c>
      <c r="D200" s="1334">
        <v>126383.65</v>
      </c>
      <c r="E200" s="1334">
        <v>247819.12</v>
      </c>
      <c r="F200" s="1332" t="s">
        <v>1110</v>
      </c>
      <c r="G200" s="1332" t="s">
        <v>3348</v>
      </c>
      <c r="H200" s="1332" t="s">
        <v>3942</v>
      </c>
      <c r="I200" s="652"/>
      <c r="J200" s="652"/>
      <c r="K200" s="652"/>
      <c r="L200" s="653" t="str">
        <f t="shared" si="171"/>
        <v>5121</v>
      </c>
      <c r="M200" s="654" t="str">
        <f t="shared" si="172"/>
        <v>C/V - ATLAS CROSS SPORT</v>
      </c>
      <c r="N200" s="655">
        <f>+IF(OR($Q200=Parametres!$G$2,$Q200=Parametres!$G$3),I200,C200)</f>
        <v>121435.47</v>
      </c>
      <c r="O200" s="655">
        <f>+IF(OR($Q200=Parametres!$G$2,$Q200=Parametres!$G$3),J200,D200)</f>
        <v>126383.65</v>
      </c>
      <c r="P200" s="655">
        <f>+IF(OR($Q200=Parametres!$G$2,$Q200=Parametres!$G$3),K200,E200)</f>
        <v>247819.12</v>
      </c>
      <c r="Q200" s="654" t="str">
        <f t="shared" si="173"/>
        <v>6-Coût des ventes</v>
      </c>
      <c r="R200" s="653" t="str">
        <f t="shared" si="174"/>
        <v>4121</v>
      </c>
      <c r="S200" s="654" t="str">
        <f t="shared" si="175"/>
        <v>_</v>
      </c>
      <c r="T200" s="656" t="str">
        <f>+VLOOKUP($L200,Data_Validation!$A:$D,1,0)</f>
        <v>5121</v>
      </c>
      <c r="U200" s="656" t="str">
        <f>+VLOOKUP($L200,Data_Validation!$A:$D,3,0)</f>
        <v>Véhicules neufs</v>
      </c>
      <c r="V200" s="656" t="str">
        <f>+VLOOKUP($L200,Data_Validation!$A:$D,4,0)</f>
        <v>Camions détail</v>
      </c>
      <c r="W200" s="656" t="str">
        <f>+VLOOKUP($L200,Data_Validation!$A:$E,5,0)</f>
        <v>$</v>
      </c>
      <c r="X200" s="656">
        <f>+VLOOKUP($L200,Data_Validation!$A:$F,6,0)</f>
        <v>0</v>
      </c>
    </row>
    <row r="201" spans="1:24" ht="15" customHeight="1">
      <c r="A201" s="1332" t="s">
        <v>1116</v>
      </c>
      <c r="B201" s="1332" t="s">
        <v>2090</v>
      </c>
      <c r="C201" s="1334">
        <v>124029.35</v>
      </c>
      <c r="D201" s="1334">
        <v>0</v>
      </c>
      <c r="E201" s="1334">
        <v>124029.35</v>
      </c>
      <c r="F201" s="1332" t="s">
        <v>1110</v>
      </c>
      <c r="G201" s="1332" t="s">
        <v>987</v>
      </c>
      <c r="H201" s="1332" t="s">
        <v>3942</v>
      </c>
      <c r="I201" s="652"/>
      <c r="J201" s="652"/>
      <c r="K201" s="652"/>
      <c r="L201" s="653" t="str">
        <f t="shared" si="171"/>
        <v>5127</v>
      </c>
      <c r="M201" s="654" t="str">
        <f t="shared" si="172"/>
        <v>C/V - GOLF GTI</v>
      </c>
      <c r="N201" s="655">
        <f>+IF(OR($Q201=Parametres!$G$2,$Q201=Parametres!$G$3),I201,C201)</f>
        <v>124029.35</v>
      </c>
      <c r="O201" s="655">
        <f>+IF(OR($Q201=Parametres!$G$2,$Q201=Parametres!$G$3),J201,D201)</f>
        <v>0</v>
      </c>
      <c r="P201" s="655">
        <f>+IF(OR($Q201=Parametres!$G$2,$Q201=Parametres!$G$3),K201,E201)</f>
        <v>124029.35</v>
      </c>
      <c r="Q201" s="654" t="str">
        <f t="shared" si="173"/>
        <v>6-Coût des ventes</v>
      </c>
      <c r="R201" s="653" t="str">
        <f t="shared" si="174"/>
        <v>4127</v>
      </c>
      <c r="S201" s="654" t="str">
        <f t="shared" si="175"/>
        <v>_</v>
      </c>
      <c r="T201" s="656" t="str">
        <f>+VLOOKUP($L201,Data_Validation!$A:$D,1,0)</f>
        <v>5127</v>
      </c>
      <c r="U201" s="656" t="str">
        <f>+VLOOKUP($L201,Data_Validation!$A:$D,3,0)</f>
        <v>Véhicules neufs</v>
      </c>
      <c r="V201" s="656" t="str">
        <f>+VLOOKUP($L201,Data_Validation!$A:$D,4,0)</f>
        <v>Autos détail</v>
      </c>
      <c r="W201" s="656" t="str">
        <f>+VLOOKUP($L201,Data_Validation!$A:$E,5,0)</f>
        <v>$</v>
      </c>
      <c r="X201" s="656">
        <f>+VLOOKUP($L201,Data_Validation!$A:$F,6,0)</f>
        <v>0</v>
      </c>
    </row>
    <row r="202" spans="1:24" ht="15" customHeight="1">
      <c r="A202" s="1332" t="s">
        <v>1117</v>
      </c>
      <c r="B202" s="1332" t="s">
        <v>2093</v>
      </c>
      <c r="C202" s="1334">
        <v>1635646</v>
      </c>
      <c r="D202" s="1334">
        <v>1066225.08</v>
      </c>
      <c r="E202" s="1334">
        <v>2701871.08</v>
      </c>
      <c r="F202" s="1332" t="s">
        <v>1110</v>
      </c>
      <c r="G202" s="1332" t="s">
        <v>991</v>
      </c>
      <c r="H202" s="1332" t="s">
        <v>3942</v>
      </c>
      <c r="I202" s="652"/>
      <c r="J202" s="652"/>
      <c r="K202" s="652"/>
      <c r="L202" s="653" t="str">
        <f t="shared" si="171"/>
        <v>5131</v>
      </c>
      <c r="M202" s="654" t="str">
        <f t="shared" si="172"/>
        <v>C/V - TIGUAN LWB</v>
      </c>
      <c r="N202" s="655">
        <f>+IF(OR($Q202=Parametres!$G$2,$Q202=Parametres!$G$3),I202,C202)</f>
        <v>1635646</v>
      </c>
      <c r="O202" s="655">
        <f>+IF(OR($Q202=Parametres!$G$2,$Q202=Parametres!$G$3),J202,D202)</f>
        <v>1066225.08</v>
      </c>
      <c r="P202" s="655">
        <f>+IF(OR($Q202=Parametres!$G$2,$Q202=Parametres!$G$3),K202,E202)</f>
        <v>2701871.08</v>
      </c>
      <c r="Q202" s="654" t="str">
        <f t="shared" si="173"/>
        <v>6-Coût des ventes</v>
      </c>
      <c r="R202" s="653" t="str">
        <f t="shared" si="174"/>
        <v>4131</v>
      </c>
      <c r="S202" s="654" t="str">
        <f t="shared" si="175"/>
        <v>_</v>
      </c>
      <c r="T202" s="656" t="str">
        <f>+VLOOKUP($L202,Data_Validation!$A:$D,1,0)</f>
        <v>5131</v>
      </c>
      <c r="U202" s="656" t="str">
        <f>+VLOOKUP($L202,Data_Validation!$A:$D,3,0)</f>
        <v>Véhicules neufs</v>
      </c>
      <c r="V202" s="656" t="str">
        <f>+VLOOKUP($L202,Data_Validation!$A:$D,4,0)</f>
        <v>Camions détail</v>
      </c>
      <c r="W202" s="656" t="str">
        <f>+VLOOKUP($L202,Data_Validation!$A:$E,5,0)</f>
        <v>$</v>
      </c>
      <c r="X202" s="656">
        <f>+VLOOKUP($L202,Data_Validation!$A:$F,6,0)</f>
        <v>0</v>
      </c>
    </row>
    <row r="203" spans="1:24" ht="15" customHeight="1">
      <c r="A203" s="1332" t="s">
        <v>1118</v>
      </c>
      <c r="B203" s="1332" t="s">
        <v>2099</v>
      </c>
      <c r="C203" s="1334">
        <v>491648.27</v>
      </c>
      <c r="D203" s="1334">
        <v>899314.57</v>
      </c>
      <c r="E203" s="1334">
        <v>1390962.84</v>
      </c>
      <c r="F203" s="1332" t="s">
        <v>1110</v>
      </c>
      <c r="G203" s="1332" t="s">
        <v>995</v>
      </c>
      <c r="H203" s="1332" t="s">
        <v>3942</v>
      </c>
      <c r="I203" s="660"/>
      <c r="J203" s="660"/>
      <c r="K203" s="660"/>
      <c r="L203" s="653" t="str">
        <f t="shared" si="171"/>
        <v>5137</v>
      </c>
      <c r="M203" s="654" t="str">
        <f t="shared" si="172"/>
        <v>C/V - VW FLOTTE/VENTE ENTR/EMPLOYE/VEH DEMONS</v>
      </c>
      <c r="N203" s="655">
        <f>+IF(OR($Q203=Parametres!$G$2,$Q203=Parametres!$G$3),I203,C203)</f>
        <v>491648.27</v>
      </c>
      <c r="O203" s="655">
        <f>+IF(OR($Q203=Parametres!$G$2,$Q203=Parametres!$G$3),J203,D203)</f>
        <v>899314.57</v>
      </c>
      <c r="P203" s="655">
        <f>+IF(OR($Q203=Parametres!$G$2,$Q203=Parametres!$G$3),K203,E203)</f>
        <v>1390962.84</v>
      </c>
      <c r="Q203" s="654" t="str">
        <f t="shared" si="173"/>
        <v>6-Coût des ventes</v>
      </c>
      <c r="R203" s="653" t="str">
        <f t="shared" si="174"/>
        <v>4137</v>
      </c>
      <c r="S203" s="654" t="str">
        <f t="shared" si="175"/>
        <v>_</v>
      </c>
      <c r="T203" s="656" t="str">
        <f>+VLOOKUP($L203,Data_Validation!$A:$D,1,0)</f>
        <v>5137</v>
      </c>
      <c r="U203" s="656" t="str">
        <f>+VLOOKUP($L203,Data_Validation!$A:$D,3,0)</f>
        <v>Véhicules neufs</v>
      </c>
      <c r="V203" s="656" t="str">
        <f>+VLOOKUP($L203,Data_Validation!$A:$D,4,0)</f>
        <v>Flottes</v>
      </c>
      <c r="W203" s="656" t="str">
        <f>+VLOOKUP($L203,Data_Validation!$A:$E,5,0)</f>
        <v>$</v>
      </c>
      <c r="X203" s="656">
        <f>+VLOOKUP($L203,Data_Validation!$A:$F,6,0)</f>
        <v>0</v>
      </c>
    </row>
    <row r="204" spans="1:24" ht="15" customHeight="1">
      <c r="A204" s="1332" t="s">
        <v>1118</v>
      </c>
      <c r="B204" s="1332" t="s">
        <v>2102</v>
      </c>
      <c r="C204" s="1334">
        <v>91393.05</v>
      </c>
      <c r="D204" s="1334">
        <v>61924.95</v>
      </c>
      <c r="E204" s="1334">
        <v>153318</v>
      </c>
      <c r="F204" s="1332" t="s">
        <v>1110</v>
      </c>
      <c r="G204" s="1332" t="s">
        <v>999</v>
      </c>
      <c r="H204" s="1332" t="s">
        <v>3942</v>
      </c>
      <c r="I204" s="652"/>
      <c r="J204" s="652"/>
      <c r="K204" s="652"/>
      <c r="L204" s="653" t="str">
        <f t="shared" si="171"/>
        <v>5139</v>
      </c>
      <c r="M204" s="654" t="str">
        <f t="shared" si="172"/>
        <v>C/V - VW FLOTTE/VENTE ENTR/EMPLOYE/VEH DEMONS</v>
      </c>
      <c r="N204" s="655">
        <f>+IF(OR($Q204=Parametres!$G$2,$Q204=Parametres!$G$3),I204,C204)</f>
        <v>91393.05</v>
      </c>
      <c r="O204" s="659">
        <f>+IF(OR($Q204=Parametres!$G$2,$Q204=Parametres!$G$3),J204,D204)</f>
        <v>61924.95</v>
      </c>
      <c r="P204" s="655">
        <f>+IF(OR($Q204=Parametres!$G$2,$Q204=Parametres!$G$3),K204,E204)</f>
        <v>153318</v>
      </c>
      <c r="Q204" s="654" t="str">
        <f t="shared" si="173"/>
        <v>6-Coût des ventes</v>
      </c>
      <c r="R204" s="653" t="str">
        <f t="shared" si="174"/>
        <v>4139</v>
      </c>
      <c r="S204" s="654" t="str">
        <f t="shared" si="175"/>
        <v>_</v>
      </c>
      <c r="T204" s="656" t="str">
        <f>+VLOOKUP($L204,Data_Validation!$A:$D,1,0)</f>
        <v>5139</v>
      </c>
      <c r="U204" s="656" t="str">
        <f>+VLOOKUP($L204,Data_Validation!$A:$D,3,0)</f>
        <v>Véhicules neufs</v>
      </c>
      <c r="V204" s="656" t="str">
        <f>+VLOOKUP($L204,Data_Validation!$A:$D,4,0)</f>
        <v>Ex-Démos et courtoisies</v>
      </c>
      <c r="W204" s="656" t="str">
        <f>+VLOOKUP($L204,Data_Validation!$A:$E,5,0)</f>
        <v>$</v>
      </c>
      <c r="X204" s="656">
        <f>+VLOOKUP($L204,Data_Validation!$A:$F,6,0)</f>
        <v>0</v>
      </c>
    </row>
    <row r="205" spans="1:24" ht="15" customHeight="1">
      <c r="A205" s="1332" t="s">
        <v>3894</v>
      </c>
      <c r="B205" s="1332" t="s">
        <v>3895</v>
      </c>
      <c r="C205" s="1334">
        <v>0</v>
      </c>
      <c r="D205" s="1334">
        <v>108955.21</v>
      </c>
      <c r="E205" s="1334">
        <v>108955.21</v>
      </c>
      <c r="F205" s="1332" t="s">
        <v>1110</v>
      </c>
      <c r="G205" s="1332" t="s">
        <v>3893</v>
      </c>
      <c r="H205" s="1332" t="s">
        <v>3942</v>
      </c>
      <c r="I205" s="670"/>
      <c r="J205" s="651"/>
      <c r="K205" s="670"/>
      <c r="L205" s="653" t="str">
        <f t="shared" si="171"/>
        <v>5141</v>
      </c>
      <c r="M205" s="654" t="str">
        <f t="shared" si="172"/>
        <v>C/V - ID4</v>
      </c>
      <c r="N205" s="655">
        <f>+IF(OR($Q205=Parametres!$G$2,$Q205=Parametres!$G$3),I205,C205)</f>
        <v>0</v>
      </c>
      <c r="O205" s="655">
        <f>+IF(OR($Q205=Parametres!$G$2,$Q205=Parametres!$G$3),J205,D205)</f>
        <v>108955.21</v>
      </c>
      <c r="P205" s="655">
        <f>+IF(OR($Q205=Parametres!$G$2,$Q205=Parametres!$G$3),K205,E205)</f>
        <v>108955.21</v>
      </c>
      <c r="Q205" s="654" t="str">
        <f t="shared" si="173"/>
        <v>6-Coût des ventes</v>
      </c>
      <c r="R205" s="653" t="str">
        <f t="shared" si="174"/>
        <v>4141</v>
      </c>
      <c r="S205" s="654" t="str">
        <f t="shared" si="175"/>
        <v>_</v>
      </c>
      <c r="T205" s="671" t="str">
        <f>+VLOOKUP($L205,Data_Validation!$A:$D,1,0)</f>
        <v>5141</v>
      </c>
      <c r="U205" s="656" t="str">
        <f>+VLOOKUP($L205,Data_Validation!$A:$D,3,0)</f>
        <v>Véhicules neufs</v>
      </c>
      <c r="V205" s="656" t="str">
        <f>+VLOOKUP($L205,Data_Validation!$A:$D,4,0)</f>
        <v>Camions détail</v>
      </c>
      <c r="W205" s="656" t="str">
        <f>+VLOOKUP($L205,Data_Validation!$A:$E,5,0)</f>
        <v>$</v>
      </c>
      <c r="X205" s="656">
        <f>+VLOOKUP($L205,Data_Validation!$A:$F,6,0)</f>
        <v>0</v>
      </c>
    </row>
    <row r="206" spans="1:24" ht="15.75" customHeight="1">
      <c r="A206" s="1332" t="s">
        <v>1119</v>
      </c>
      <c r="B206" s="1332" t="s">
        <v>3385</v>
      </c>
      <c r="C206" s="1334">
        <v>84069.58</v>
      </c>
      <c r="D206" s="1334">
        <v>35794.870000000003</v>
      </c>
      <c r="E206" s="1334">
        <v>119864.45</v>
      </c>
      <c r="F206" s="1332" t="s">
        <v>1110</v>
      </c>
      <c r="G206" s="1332" t="s">
        <v>1120</v>
      </c>
      <c r="H206" s="1332" t="s">
        <v>3942</v>
      </c>
      <c r="I206" s="652"/>
      <c r="J206" s="652"/>
      <c r="K206" s="652"/>
      <c r="L206" s="653" t="str">
        <f t="shared" si="171"/>
        <v>5144</v>
      </c>
      <c r="M206" s="654" t="str">
        <f t="shared" si="172"/>
        <v>C/V - JETTA GLI</v>
      </c>
      <c r="N206" s="655">
        <f>+IF(OR($Q206=Parametres!$G$2,$Q206=Parametres!$G$3),I206,C206)</f>
        <v>84069.58</v>
      </c>
      <c r="O206" s="655">
        <f>+IF(OR($Q206=Parametres!$G$2,$Q206=Parametres!$G$3),J206,D206)</f>
        <v>35794.870000000003</v>
      </c>
      <c r="P206" s="655">
        <f>+IF(OR($Q206=Parametres!$G$2,$Q206=Parametres!$G$3),K206,E206)</f>
        <v>119864.45</v>
      </c>
      <c r="Q206" s="654" t="str">
        <f t="shared" si="173"/>
        <v>6-Coût des ventes</v>
      </c>
      <c r="R206" s="653" t="str">
        <f t="shared" si="174"/>
        <v>514</v>
      </c>
      <c r="S206" s="654" t="str">
        <f t="shared" si="175"/>
        <v>_</v>
      </c>
      <c r="T206" s="656" t="str">
        <f>+VLOOKUP($L206,Data_Validation!$A:$D,1,0)</f>
        <v>5144</v>
      </c>
      <c r="U206" s="656" t="str">
        <f>+VLOOKUP($L206,Data_Validation!$A:$D,3,0)</f>
        <v>Véhicules neufs</v>
      </c>
      <c r="V206" s="656" t="str">
        <f>+VLOOKUP($L206,Data_Validation!$A:$D,4,0)</f>
        <v>Autos détail</v>
      </c>
      <c r="W206" s="656" t="str">
        <f>+VLOOKUP($L206,Data_Validation!$A:$E,5,0)</f>
        <v>$</v>
      </c>
      <c r="X206" s="656">
        <f>+VLOOKUP($L206,Data_Validation!$A:$F,6,0)</f>
        <v>0</v>
      </c>
    </row>
    <row r="207" spans="1:24" ht="15" customHeight="1">
      <c r="A207" s="1332" t="s">
        <v>3944</v>
      </c>
      <c r="B207" s="1332" t="s">
        <v>3946</v>
      </c>
      <c r="C207" s="1334">
        <v>0</v>
      </c>
      <c r="D207" s="1334">
        <v>79239.070000000007</v>
      </c>
      <c r="E207" s="1334">
        <v>79239.070000000007</v>
      </c>
      <c r="F207" s="1332" t="s">
        <v>1110</v>
      </c>
      <c r="G207" s="1332" t="s">
        <v>3962</v>
      </c>
      <c r="H207" s="1332" t="s">
        <v>3942</v>
      </c>
      <c r="I207" s="670"/>
      <c r="J207" s="651"/>
      <c r="K207" s="670"/>
      <c r="L207" s="653" t="str">
        <f t="shared" si="171"/>
        <v>5145</v>
      </c>
      <c r="M207" s="654" t="str">
        <f t="shared" si="172"/>
        <v>ID BUZZ</v>
      </c>
      <c r="N207" s="655">
        <f>+IF(OR($Q207=Parametres!$G$2,$Q207=Parametres!$G$3),I207,C207)</f>
        <v>0</v>
      </c>
      <c r="O207" s="659">
        <f>+IF(OR($Q207=Parametres!$G$2,$Q207=Parametres!$G$3),J207,D207)</f>
        <v>79239.070000000007</v>
      </c>
      <c r="P207" s="655">
        <f>+IF(OR($Q207=Parametres!$G$2,$Q207=Parametres!$G$3),K207,E207)</f>
        <v>79239.070000000007</v>
      </c>
      <c r="Q207" s="654" t="str">
        <f t="shared" si="173"/>
        <v>6-Coût des ventes</v>
      </c>
      <c r="R207" s="653" t="str">
        <f t="shared" si="174"/>
        <v>84137</v>
      </c>
      <c r="S207" s="654" t="str">
        <f t="shared" si="175"/>
        <v>_</v>
      </c>
      <c r="T207" s="656" t="str">
        <f>+VLOOKUP($L207,Data_Validation!$A:$D,1,0)</f>
        <v>5145</v>
      </c>
      <c r="U207" s="656" t="str">
        <f>+VLOOKUP($L207,Data_Validation!$A:$D,3,0)</f>
        <v>Véhicules neufs</v>
      </c>
      <c r="V207" s="656" t="str">
        <f>+VLOOKUP($L207,Data_Validation!$A:$D,4,0)</f>
        <v>Camions détail</v>
      </c>
      <c r="W207" s="656" t="str">
        <f>+VLOOKUP($L207,Data_Validation!$A:$E,5,0)</f>
        <v>$</v>
      </c>
      <c r="X207" s="656">
        <f>+VLOOKUP($L207,Data_Validation!$A:$F,6,0)</f>
        <v>0</v>
      </c>
    </row>
    <row r="208" spans="1:24" ht="15" customHeight="1">
      <c r="A208" s="1332" t="s">
        <v>1121</v>
      </c>
      <c r="B208" s="1332" t="s">
        <v>2113</v>
      </c>
      <c r="C208" s="1334">
        <v>1204721.53</v>
      </c>
      <c r="D208" s="1334">
        <v>367489.86</v>
      </c>
      <c r="E208" s="1334">
        <v>1572211.39</v>
      </c>
      <c r="F208" s="1332" t="s">
        <v>1110</v>
      </c>
      <c r="G208" s="1332" t="s">
        <v>1007</v>
      </c>
      <c r="H208" s="1332" t="s">
        <v>3942</v>
      </c>
      <c r="I208" s="652"/>
      <c r="J208" s="652"/>
      <c r="K208" s="652"/>
      <c r="L208" s="653" t="str">
        <f t="shared" si="171"/>
        <v>5201</v>
      </c>
      <c r="M208" s="654" t="str">
        <f t="shared" si="172"/>
        <v>C/V - VEH.USAGE VW DETAIL CERTIFIE</v>
      </c>
      <c r="N208" s="655">
        <f>+IF(OR($Q208=Parametres!$G$2,$Q208=Parametres!$G$3),I208,C208)</f>
        <v>1204721.53</v>
      </c>
      <c r="O208" s="655">
        <f>+IF(OR($Q208=Parametres!$G$2,$Q208=Parametres!$G$3),J208,D208)</f>
        <v>367489.86</v>
      </c>
      <c r="P208" s="655">
        <f>+IF(OR($Q208=Parametres!$G$2,$Q208=Parametres!$G$3),K208,E208)</f>
        <v>1572211.39</v>
      </c>
      <c r="Q208" s="654" t="str">
        <f t="shared" si="173"/>
        <v>6-Coût des ventes</v>
      </c>
      <c r="R208" s="653" t="str">
        <f t="shared" si="174"/>
        <v>4201</v>
      </c>
      <c r="S208" s="654" t="str">
        <f t="shared" si="175"/>
        <v>_</v>
      </c>
      <c r="T208" s="656" t="str">
        <f>+VLOOKUP($L208,Data_Validation!$A:$D,1,0)</f>
        <v>5201</v>
      </c>
      <c r="U208" s="656" t="str">
        <f>+VLOOKUP($L208,Data_Validation!$A:$D,3,0)</f>
        <v>Véhicules usagés</v>
      </c>
      <c r="V208" s="656" t="str">
        <f>+VLOOKUP($L208,Data_Validation!$A:$D,4,0)</f>
        <v>Certifié</v>
      </c>
      <c r="W208" s="656" t="str">
        <f>+VLOOKUP($L208,Data_Validation!$A:$E,5,0)</f>
        <v>$</v>
      </c>
      <c r="X208" s="656">
        <f>+VLOOKUP($L208,Data_Validation!$A:$F,6,0)</f>
        <v>0</v>
      </c>
    </row>
    <row r="209" spans="1:24" ht="15" customHeight="1">
      <c r="A209" s="1332" t="s">
        <v>1122</v>
      </c>
      <c r="B209" s="1332" t="s">
        <v>2116</v>
      </c>
      <c r="C209" s="1334">
        <v>147406.29999999999</v>
      </c>
      <c r="D209" s="1334">
        <v>36094.1</v>
      </c>
      <c r="E209" s="1334">
        <v>183500.4</v>
      </c>
      <c r="F209" s="1332" t="s">
        <v>1110</v>
      </c>
      <c r="G209" s="1332" t="s">
        <v>1007</v>
      </c>
      <c r="H209" s="1332" t="s">
        <v>3942</v>
      </c>
      <c r="I209" s="670"/>
      <c r="J209" s="651"/>
      <c r="K209" s="670"/>
      <c r="L209" s="653" t="str">
        <f t="shared" si="171"/>
        <v>5203</v>
      </c>
      <c r="M209" s="654" t="str">
        <f t="shared" si="172"/>
        <v>C/V - RECOND USAGE VW CERT.</v>
      </c>
      <c r="N209" s="655">
        <f>+IF(OR($Q209=Parametres!$G$2,$Q209=Parametres!$G$3),I209,C209)</f>
        <v>147406.29999999999</v>
      </c>
      <c r="O209" s="655">
        <f>+IF(OR($Q209=Parametres!$G$2,$Q209=Parametres!$G$3),J209,D209)</f>
        <v>36094.1</v>
      </c>
      <c r="P209" s="655">
        <f>+IF(OR($Q209=Parametres!$G$2,$Q209=Parametres!$G$3),K209,E209)</f>
        <v>183500.4</v>
      </c>
      <c r="Q209" s="654" t="str">
        <f t="shared" si="173"/>
        <v>6-Coût des ventes</v>
      </c>
      <c r="R209" s="653" t="str">
        <f t="shared" si="174"/>
        <v>4201</v>
      </c>
      <c r="S209" s="654" t="str">
        <f t="shared" si="175"/>
        <v>_</v>
      </c>
      <c r="T209" s="671" t="str">
        <f>+VLOOKUP($L209,Data_Validation!$A:$D,1,0)</f>
        <v>5203</v>
      </c>
      <c r="U209" s="656" t="str">
        <f>+VLOOKUP($L209,Data_Validation!$A:$D,3,0)</f>
        <v>Véhicules usagés</v>
      </c>
      <c r="V209" s="656" t="str">
        <f>+VLOOKUP($L209,Data_Validation!$A:$D,4,0)</f>
        <v>Certifié</v>
      </c>
      <c r="W209" s="656" t="str">
        <f>+VLOOKUP($L209,Data_Validation!$A:$E,5,0)</f>
        <v>$</v>
      </c>
      <c r="X209" s="656">
        <f>+VLOOKUP($L209,Data_Validation!$A:$F,6,0)</f>
        <v>0</v>
      </c>
    </row>
    <row r="210" spans="1:24" ht="15" customHeight="1">
      <c r="A210" s="1332" t="s">
        <v>1014</v>
      </c>
      <c r="B210" s="1332" t="s">
        <v>2136</v>
      </c>
      <c r="C210" s="1334">
        <v>74851.75</v>
      </c>
      <c r="D210" s="1334">
        <v>65850</v>
      </c>
      <c r="E210" s="1334">
        <v>140701.75</v>
      </c>
      <c r="F210" s="1332" t="s">
        <v>1110</v>
      </c>
      <c r="G210" s="1332" t="s">
        <v>1015</v>
      </c>
      <c r="H210" s="1332" t="s">
        <v>3942</v>
      </c>
      <c r="I210" s="652"/>
      <c r="J210" s="652"/>
      <c r="K210" s="652"/>
      <c r="L210" s="653" t="str">
        <f t="shared" si="171"/>
        <v>5285</v>
      </c>
      <c r="M210" s="654" t="str">
        <f t="shared" si="172"/>
        <v>VEH. D'OCC. AUTRE DETAIL</v>
      </c>
      <c r="N210" s="655">
        <f>+IF(OR($Q210=Parametres!$G$2,$Q210=Parametres!$G$3),I210,C210)</f>
        <v>74851.75</v>
      </c>
      <c r="O210" s="659">
        <f>+IF(OR($Q210=Parametres!$G$2,$Q210=Parametres!$G$3),J210,D210)</f>
        <v>65850</v>
      </c>
      <c r="P210" s="655">
        <f>+IF(OR($Q210=Parametres!$G$2,$Q210=Parametres!$G$3),K210,E210)</f>
        <v>140701.75</v>
      </c>
      <c r="Q210" s="654" t="str">
        <f t="shared" si="173"/>
        <v>6-Coût des ventes</v>
      </c>
      <c r="R210" s="653" t="str">
        <f t="shared" si="174"/>
        <v>4261</v>
      </c>
      <c r="S210" s="654" t="str">
        <f t="shared" si="175"/>
        <v>_</v>
      </c>
      <c r="T210" s="656" t="str">
        <f>+VLOOKUP($L210,Data_Validation!$A:$D,1,0)</f>
        <v>5285</v>
      </c>
      <c r="U210" s="656" t="str">
        <f>+VLOOKUP($L210,Data_Validation!$A:$D,3,0)</f>
        <v>Véhicules usagés</v>
      </c>
      <c r="V210" s="656" t="str">
        <f>+VLOOKUP($L210,Data_Validation!$A:$D,4,0)</f>
        <v>Autres Marques</v>
      </c>
      <c r="W210" s="656" t="str">
        <f>+VLOOKUP($L210,Data_Validation!$A:$E,5,0)</f>
        <v>$</v>
      </c>
      <c r="X210" s="656">
        <f>+VLOOKUP($L210,Data_Validation!$A:$F,6,0)</f>
        <v>0</v>
      </c>
    </row>
    <row r="211" spans="1:24" ht="15.75" customHeight="1">
      <c r="A211" s="1332" t="s">
        <v>1125</v>
      </c>
      <c r="B211" s="1332" t="s">
        <v>2139</v>
      </c>
      <c r="C211" s="1334">
        <v>3046.86</v>
      </c>
      <c r="D211" s="1334">
        <v>6367.51</v>
      </c>
      <c r="E211" s="1334">
        <v>9414.3700000000008</v>
      </c>
      <c r="F211" s="1332" t="s">
        <v>1110</v>
      </c>
      <c r="G211" s="1332" t="s">
        <v>1015</v>
      </c>
      <c r="H211" s="1332" t="s">
        <v>3942</v>
      </c>
      <c r="I211" s="670"/>
      <c r="J211" s="651"/>
      <c r="K211" s="670"/>
      <c r="L211" s="653" t="str">
        <f t="shared" si="171"/>
        <v>5286</v>
      </c>
      <c r="M211" s="654" t="str">
        <f t="shared" si="172"/>
        <v>RECOND. AUTRE DETAIL</v>
      </c>
      <c r="N211" s="655">
        <f>+IF(OR($Q211=Parametres!$G$2,$Q211=Parametres!$G$3),I211,C211)</f>
        <v>3046.86</v>
      </c>
      <c r="O211" s="655">
        <f>+IF(OR($Q211=Parametres!$G$2,$Q211=Parametres!$G$3),J211,D211)</f>
        <v>6367.51</v>
      </c>
      <c r="P211" s="655">
        <f>+IF(OR($Q211=Parametres!$G$2,$Q211=Parametres!$G$3),K211,E211)</f>
        <v>9414.3700000000008</v>
      </c>
      <c r="Q211" s="654" t="str">
        <f t="shared" si="173"/>
        <v>6-Coût des ventes</v>
      </c>
      <c r="R211" s="653" t="str">
        <f t="shared" si="174"/>
        <v>4261</v>
      </c>
      <c r="S211" s="654" t="str">
        <f t="shared" si="175"/>
        <v>_</v>
      </c>
      <c r="T211" s="656" t="str">
        <f>+VLOOKUP($L211,Data_Validation!$A:$D,1,0)</f>
        <v>5286</v>
      </c>
      <c r="U211" s="656" t="str">
        <f>+VLOOKUP($L211,Data_Validation!$A:$D,3,0)</f>
        <v>Véhicules usagés</v>
      </c>
      <c r="V211" s="656" t="str">
        <f>+VLOOKUP($L211,Data_Validation!$A:$D,4,0)</f>
        <v>Non Certifié</v>
      </c>
      <c r="W211" s="656" t="str">
        <f>+VLOOKUP($L211,Data_Validation!$A:$E,5,0)</f>
        <v>$</v>
      </c>
      <c r="X211" s="656">
        <f>+VLOOKUP($L211,Data_Validation!$A:$F,6,0)</f>
        <v>0</v>
      </c>
    </row>
    <row r="212" spans="1:24" ht="15" customHeight="1">
      <c r="A212" s="1332" t="s">
        <v>1018</v>
      </c>
      <c r="B212" s="1332" t="s">
        <v>2142</v>
      </c>
      <c r="C212" s="1334">
        <v>379903.06</v>
      </c>
      <c r="D212" s="1334">
        <v>422521.59999999998</v>
      </c>
      <c r="E212" s="1334">
        <v>802424.66</v>
      </c>
      <c r="F212" s="1332" t="s">
        <v>1110</v>
      </c>
      <c r="G212" s="1332" t="s">
        <v>1019</v>
      </c>
      <c r="H212" s="1332" t="s">
        <v>3942</v>
      </c>
      <c r="I212" s="652"/>
      <c r="J212" s="652"/>
      <c r="K212" s="652"/>
      <c r="L212" s="653" t="str">
        <f t="shared" si="171"/>
        <v>5291</v>
      </c>
      <c r="M212" s="654" t="str">
        <f t="shared" si="172"/>
        <v>VEH. D'OCC. AU GROS</v>
      </c>
      <c r="N212" s="655">
        <f>+IF(OR($Q212=Parametres!$G$2,$Q212=Parametres!$G$3),I212,C212)</f>
        <v>379903.06</v>
      </c>
      <c r="O212" s="655">
        <f>+IF(OR($Q212=Parametres!$G$2,$Q212=Parametres!$G$3),J212,D212)</f>
        <v>422521.59999999998</v>
      </c>
      <c r="P212" s="655">
        <f>+IF(OR($Q212=Parametres!$G$2,$Q212=Parametres!$G$3),K212,E212)</f>
        <v>802424.66</v>
      </c>
      <c r="Q212" s="654" t="str">
        <f t="shared" si="173"/>
        <v>6-Coût des ventes</v>
      </c>
      <c r="R212" s="653" t="str">
        <f t="shared" si="174"/>
        <v>4281</v>
      </c>
      <c r="S212" s="654" t="str">
        <f t="shared" si="175"/>
        <v>_</v>
      </c>
      <c r="T212" s="656" t="str">
        <f>+VLOOKUP($L212,Data_Validation!$A:$D,1,0)</f>
        <v>5291</v>
      </c>
      <c r="U212" s="656" t="str">
        <f>+VLOOKUP($L212,Data_Validation!$A:$D,3,0)</f>
        <v>Véhicules usagés</v>
      </c>
      <c r="V212" s="656" t="str">
        <f>+VLOOKUP($L212,Data_Validation!$A:$D,4,0)</f>
        <v>Ventes au Gros</v>
      </c>
      <c r="W212" s="656" t="str">
        <f>+VLOOKUP($L212,Data_Validation!$A:$E,5,0)</f>
        <v>$</v>
      </c>
      <c r="X212" s="656">
        <f>+VLOOKUP($L212,Data_Validation!$A:$F,6,0)</f>
        <v>0</v>
      </c>
    </row>
    <row r="213" spans="1:24" ht="15" customHeight="1">
      <c r="A213" s="1332" t="s">
        <v>3670</v>
      </c>
      <c r="B213" s="1332" t="s">
        <v>2145</v>
      </c>
      <c r="C213" s="1334">
        <v>43265.01</v>
      </c>
      <c r="D213" s="1334">
        <v>23716.35</v>
      </c>
      <c r="E213" s="1334">
        <v>66981.36</v>
      </c>
      <c r="F213" s="1332" t="s">
        <v>1110</v>
      </c>
      <c r="G213" s="1332" t="s">
        <v>1023</v>
      </c>
      <c r="H213" s="1332" t="s">
        <v>3942</v>
      </c>
      <c r="I213" s="670"/>
      <c r="J213" s="651"/>
      <c r="K213" s="670"/>
      <c r="L213" s="653" t="str">
        <f t="shared" si="171"/>
        <v>5401</v>
      </c>
      <c r="M213" s="654" t="str">
        <f t="shared" si="172"/>
        <v>MAIN-D'OEUVRE - CLIENT VW - MCI</v>
      </c>
      <c r="N213" s="655">
        <f>+IF(OR($Q213=Parametres!$G$2,$Q213=Parametres!$G$3),I213,C213)</f>
        <v>43265.01</v>
      </c>
      <c r="O213" s="655">
        <f>+IF(OR($Q213=Parametres!$G$2,$Q213=Parametres!$G$3),J213,D213)</f>
        <v>23716.35</v>
      </c>
      <c r="P213" s="655">
        <f>+IF(OR($Q213=Parametres!$G$2,$Q213=Parametres!$G$3),K213,E213)</f>
        <v>66981.36</v>
      </c>
      <c r="Q213" s="654" t="str">
        <f t="shared" si="173"/>
        <v>6-Coût des ventes</v>
      </c>
      <c r="R213" s="653" t="str">
        <f t="shared" si="174"/>
        <v>4401</v>
      </c>
      <c r="S213" s="654" t="str">
        <f t="shared" si="175"/>
        <v>_</v>
      </c>
      <c r="T213" s="656" t="str">
        <f>+VLOOKUP($L213,Data_Validation!$A:$D,1,0)</f>
        <v>5401</v>
      </c>
      <c r="U213" s="656" t="str">
        <f>+VLOOKUP($L213,Data_Validation!$A:$D,3,0)</f>
        <v>Service</v>
      </c>
      <c r="V213" s="656" t="str">
        <f>+VLOOKUP($L213,Data_Validation!$A:$D,4,0)</f>
        <v>M/O Client</v>
      </c>
      <c r="W213" s="656" t="str">
        <f>+VLOOKUP($L213,Data_Validation!$A:$E,5,0)</f>
        <v>$</v>
      </c>
      <c r="X213" s="656">
        <f>+VLOOKUP($L213,Data_Validation!$A:$F,6,0)</f>
        <v>0</v>
      </c>
    </row>
    <row r="214" spans="1:24" ht="15" customHeight="1">
      <c r="A214" s="1332" t="s">
        <v>1127</v>
      </c>
      <c r="B214" s="1332" t="s">
        <v>2148</v>
      </c>
      <c r="C214" s="1334">
        <v>3247.94</v>
      </c>
      <c r="D214" s="1334">
        <v>1536.95</v>
      </c>
      <c r="E214" s="1334">
        <v>4784.8900000000003</v>
      </c>
      <c r="F214" s="1332" t="s">
        <v>1110</v>
      </c>
      <c r="G214" s="1332" t="s">
        <v>1026</v>
      </c>
      <c r="H214" s="1332" t="s">
        <v>3942</v>
      </c>
      <c r="I214" s="652"/>
      <c r="J214" s="652"/>
      <c r="K214" s="652"/>
      <c r="L214" s="653" t="str">
        <f t="shared" si="171"/>
        <v>5402</v>
      </c>
      <c r="M214" s="654" t="str">
        <f t="shared" si="172"/>
        <v>C/V - M.O. ESTHETIQUE CLIENT</v>
      </c>
      <c r="N214" s="655">
        <f>+IF(OR($Q214=Parametres!$G$2,$Q214=Parametres!$G$3),I214,C214)</f>
        <v>3247.94</v>
      </c>
      <c r="O214" s="655">
        <f>+IF(OR($Q214=Parametres!$G$2,$Q214=Parametres!$G$3),J214,D214)</f>
        <v>1536.95</v>
      </c>
      <c r="P214" s="655">
        <f>+IF(OR($Q214=Parametres!$G$2,$Q214=Parametres!$G$3),K214,E214)</f>
        <v>4784.8900000000003</v>
      </c>
      <c r="Q214" s="654" t="str">
        <f t="shared" si="173"/>
        <v>6-Coût des ventes</v>
      </c>
      <c r="R214" s="653" t="str">
        <f t="shared" si="174"/>
        <v>4402</v>
      </c>
      <c r="S214" s="654" t="str">
        <f t="shared" si="175"/>
        <v>_</v>
      </c>
      <c r="T214" s="656" t="str">
        <f>+VLOOKUP($L214,Data_Validation!$A:$D,1,0)</f>
        <v>5402</v>
      </c>
      <c r="U214" s="656" t="str">
        <f>+VLOOKUP($L214,Data_Validation!$A:$D,3,0)</f>
        <v>Service</v>
      </c>
      <c r="V214" s="656" t="str">
        <f>+VLOOKUP($L214,Data_Validation!$A:$D,4,0)</f>
        <v>M/O Esthétique</v>
      </c>
      <c r="W214" s="656" t="str">
        <f>+VLOOKUP($L214,Data_Validation!$A:$E,5,0)</f>
        <v>$</v>
      </c>
      <c r="X214" s="656">
        <f>+VLOOKUP($L214,Data_Validation!$A:$F,6,0)</f>
        <v>0</v>
      </c>
    </row>
    <row r="215" spans="1:24" ht="15.75" customHeight="1">
      <c r="A215" s="1332" t="s">
        <v>3671</v>
      </c>
      <c r="B215" s="1332" t="s">
        <v>2151</v>
      </c>
      <c r="C215" s="1334">
        <v>51681.24</v>
      </c>
      <c r="D215" s="1334">
        <v>25519.81</v>
      </c>
      <c r="E215" s="1334">
        <v>77201.05</v>
      </c>
      <c r="F215" s="1332" t="s">
        <v>1110</v>
      </c>
      <c r="G215" s="1332" t="s">
        <v>1028</v>
      </c>
      <c r="H215" s="1332" t="s">
        <v>3942</v>
      </c>
      <c r="I215" s="670"/>
      <c r="J215" s="670"/>
      <c r="K215" s="670"/>
      <c r="L215" s="653" t="str">
        <f t="shared" si="171"/>
        <v>5403</v>
      </c>
      <c r="M215" s="654" t="str">
        <f t="shared" si="172"/>
        <v>MAIN-D'OEUVRE - GARANTIE VW - MCI</v>
      </c>
      <c r="N215" s="655">
        <f>+IF(OR($Q215=Parametres!$G$2,$Q215=Parametres!$G$3),I215,C215)</f>
        <v>51681.24</v>
      </c>
      <c r="O215" s="655">
        <f>+IF(OR($Q215=Parametres!$G$2,$Q215=Parametres!$G$3),J215,D215)</f>
        <v>25519.81</v>
      </c>
      <c r="P215" s="655">
        <f>+IF(OR($Q215=Parametres!$G$2,$Q215=Parametres!$G$3),K215,E215)</f>
        <v>77201.05</v>
      </c>
      <c r="Q215" s="654" t="str">
        <f t="shared" si="173"/>
        <v>6-Coût des ventes</v>
      </c>
      <c r="R215" s="653" t="str">
        <f t="shared" si="174"/>
        <v>4403</v>
      </c>
      <c r="S215" s="654" t="str">
        <f t="shared" si="175"/>
        <v>_</v>
      </c>
      <c r="T215" s="656" t="str">
        <f>+VLOOKUP($L215,Data_Validation!$A:$D,1,0)</f>
        <v>5403</v>
      </c>
      <c r="U215" s="656" t="str">
        <f>+VLOOKUP($L215,Data_Validation!$A:$D,3,0)</f>
        <v>Service</v>
      </c>
      <c r="V215" s="656" t="str">
        <f>+VLOOKUP($L215,Data_Validation!$A:$D,4,0)</f>
        <v>M/O Garantie</v>
      </c>
      <c r="W215" s="656" t="str">
        <f>+VLOOKUP($L215,Data_Validation!$A:$E,5,0)</f>
        <v>$</v>
      </c>
      <c r="X215" s="656">
        <f>+VLOOKUP($L215,Data_Validation!$A:$F,6,0)</f>
        <v>0</v>
      </c>
    </row>
    <row r="216" spans="1:24" ht="15" customHeight="1">
      <c r="A216" s="1332" t="s">
        <v>3672</v>
      </c>
      <c r="B216" s="1332" t="s">
        <v>2154</v>
      </c>
      <c r="C216" s="1334">
        <v>40007.07</v>
      </c>
      <c r="D216" s="1334">
        <v>21359.01</v>
      </c>
      <c r="E216" s="1334">
        <v>61366.080000000002</v>
      </c>
      <c r="F216" s="1332" t="s">
        <v>1110</v>
      </c>
      <c r="G216" s="1332" t="s">
        <v>1031</v>
      </c>
      <c r="H216" s="1332" t="s">
        <v>3942</v>
      </c>
      <c r="I216" s="670"/>
      <c r="J216" s="660"/>
      <c r="K216" s="670"/>
      <c r="L216" s="653" t="str">
        <f t="shared" si="171"/>
        <v>5405</v>
      </c>
      <c r="M216" s="654" t="str">
        <f t="shared" si="172"/>
        <v>MAIN-D'OEUVRE - INTERNE VW - MCI</v>
      </c>
      <c r="N216" s="655">
        <f>+IF(OR($Q216=Parametres!$G$2,$Q216=Parametres!$G$3),I216,C216)</f>
        <v>40007.07</v>
      </c>
      <c r="O216" s="655">
        <f>+IF(OR($Q216=Parametres!$G$2,$Q216=Parametres!$G$3),J216,D216)</f>
        <v>21359.01</v>
      </c>
      <c r="P216" s="655">
        <f>+IF(OR($Q216=Parametres!$G$2,$Q216=Parametres!$G$3),K216,E216)</f>
        <v>61366.080000000002</v>
      </c>
      <c r="Q216" s="654" t="str">
        <f t="shared" si="173"/>
        <v>6-Coût des ventes</v>
      </c>
      <c r="R216" s="653" t="str">
        <f t="shared" si="174"/>
        <v>4405</v>
      </c>
      <c r="S216" s="654" t="str">
        <f t="shared" si="175"/>
        <v>_</v>
      </c>
      <c r="T216" s="656" t="str">
        <f>+VLOOKUP($L216,Data_Validation!$A:$D,1,0)</f>
        <v>5405</v>
      </c>
      <c r="U216" s="656" t="str">
        <f>+VLOOKUP($L216,Data_Validation!$A:$D,3,0)</f>
        <v>Service</v>
      </c>
      <c r="V216" s="656" t="str">
        <f>+VLOOKUP($L216,Data_Validation!$A:$D,4,0)</f>
        <v>M/O Interne</v>
      </c>
      <c r="W216" s="656" t="str">
        <f>+VLOOKUP($L216,Data_Validation!$A:$E,5,0)</f>
        <v>$</v>
      </c>
      <c r="X216" s="656">
        <f>+VLOOKUP($L216,Data_Validation!$A:$F,6,0)</f>
        <v>0</v>
      </c>
    </row>
    <row r="217" spans="1:24" ht="15" customHeight="1">
      <c r="A217" s="1332" t="s">
        <v>3680</v>
      </c>
      <c r="B217" s="1332" t="s">
        <v>2160</v>
      </c>
      <c r="C217" s="1334">
        <v>4099.8900000000003</v>
      </c>
      <c r="D217" s="1334">
        <v>2324.0300000000002</v>
      </c>
      <c r="E217" s="1334">
        <v>6423.92</v>
      </c>
      <c r="F217" s="1332" t="s">
        <v>1110</v>
      </c>
      <c r="G217" s="1332" t="s">
        <v>1131</v>
      </c>
      <c r="H217" s="1332" t="s">
        <v>3942</v>
      </c>
      <c r="I217" s="672"/>
      <c r="J217" s="663"/>
      <c r="K217" s="672"/>
      <c r="L217" s="653" t="str">
        <f t="shared" si="171"/>
        <v>5416</v>
      </c>
      <c r="M217" s="654" t="str">
        <f t="shared" si="172"/>
        <v>C/V - MAIN D'OEUVRE SVC NON APP - TOUS</v>
      </c>
      <c r="N217" s="655">
        <f>+IF(OR($Q217=Parametres!$G$2,$Q217=Parametres!$G$3),I217,C217)</f>
        <v>4099.8900000000003</v>
      </c>
      <c r="O217" s="655">
        <f>+IF(OR($Q217=Parametres!$G$2,$Q217=Parametres!$G$3),J217,D217)</f>
        <v>2324.0300000000002</v>
      </c>
      <c r="P217" s="655">
        <f>+IF(OR($Q217=Parametres!$G$2,$Q217=Parametres!$G$3),K217,E217)</f>
        <v>6423.92</v>
      </c>
      <c r="Q217" s="654" t="str">
        <f t="shared" si="173"/>
        <v>6-Coût des ventes</v>
      </c>
      <c r="R217" s="653" t="str">
        <f t="shared" si="174"/>
        <v>4416</v>
      </c>
      <c r="S217" s="654" t="str">
        <f t="shared" si="175"/>
        <v>_</v>
      </c>
      <c r="T217" s="656" t="str">
        <f>+VLOOKUP($L217,Data_Validation!$A:$D,1,0)</f>
        <v>5416</v>
      </c>
      <c r="U217" s="656" t="str">
        <f>+VLOOKUP($L217,Data_Validation!$A:$D,3,0)</f>
        <v>Service</v>
      </c>
      <c r="V217" s="656" t="str">
        <f>+VLOOKUP($L217,Data_Validation!$A:$D,4,0)</f>
        <v>Ajustement M/O</v>
      </c>
      <c r="W217" s="656" t="str">
        <f>+VLOOKUP($L217,Data_Validation!$A:$E,5,0)</f>
        <v>$</v>
      </c>
      <c r="X217" s="656">
        <f>+VLOOKUP($L217,Data_Validation!$A:$F,6,0)</f>
        <v>0</v>
      </c>
    </row>
    <row r="218" spans="1:24" ht="15" customHeight="1">
      <c r="A218" s="1332" t="s">
        <v>1033</v>
      </c>
      <c r="B218" s="1332" t="s">
        <v>2166</v>
      </c>
      <c r="C218" s="1334">
        <v>23006.05</v>
      </c>
      <c r="D218" s="1334">
        <v>12533.86</v>
      </c>
      <c r="E218" s="1334">
        <v>35539.910000000003</v>
      </c>
      <c r="F218" s="1332" t="s">
        <v>1110</v>
      </c>
      <c r="G218" s="1332" t="s">
        <v>1034</v>
      </c>
      <c r="H218" s="1332" t="s">
        <v>3942</v>
      </c>
      <c r="I218" s="652"/>
      <c r="J218" s="652"/>
      <c r="K218" s="652"/>
      <c r="L218" s="653" t="str">
        <f t="shared" si="171"/>
        <v>5451</v>
      </c>
      <c r="M218" s="654" t="str">
        <f t="shared" si="172"/>
        <v>CARBURANT/HUILE/GRAISSE</v>
      </c>
      <c r="N218" s="655">
        <f>+IF(OR($Q218=Parametres!$G$2,$Q218=Parametres!$G$3),I218,C218)</f>
        <v>23006.05</v>
      </c>
      <c r="O218" s="655">
        <f>+IF(OR($Q218=Parametres!$G$2,$Q218=Parametres!$G$3),J218,D218)</f>
        <v>12533.86</v>
      </c>
      <c r="P218" s="655">
        <f>+IF(OR($Q218=Parametres!$G$2,$Q218=Parametres!$G$3),K218,E218)</f>
        <v>35539.910000000003</v>
      </c>
      <c r="Q218" s="654" t="str">
        <f t="shared" si="173"/>
        <v>6-Coût des ventes</v>
      </c>
      <c r="R218" s="653" t="str">
        <f t="shared" si="174"/>
        <v>4782</v>
      </c>
      <c r="S218" s="654" t="str">
        <f t="shared" si="175"/>
        <v>_</v>
      </c>
      <c r="T218" s="656" t="str">
        <f>+VLOOKUP($L218,Data_Validation!$A:$D,1,0)</f>
        <v>5451</v>
      </c>
      <c r="U218" s="656" t="str">
        <f>+VLOOKUP($L218,Data_Validation!$A:$D,3,0)</f>
        <v>Pièces</v>
      </c>
      <c r="V218" s="656" t="str">
        <f>+VLOOKUP($L218,Data_Validation!$A:$D,4,0)</f>
        <v>Huiles et Graisse</v>
      </c>
      <c r="W218" s="656" t="str">
        <f>+VLOOKUP($L218,Data_Validation!$A:$E,5,0)</f>
        <v>$</v>
      </c>
      <c r="X218" s="656">
        <f>+VLOOKUP($L218,Data_Validation!$A:$F,6,0)</f>
        <v>0</v>
      </c>
    </row>
    <row r="219" spans="1:24" ht="15.75" customHeight="1">
      <c r="A219" s="1332" t="s">
        <v>1036</v>
      </c>
      <c r="B219" s="1332" t="s">
        <v>2169</v>
      </c>
      <c r="C219" s="1334">
        <v>9552.98</v>
      </c>
      <c r="D219" s="1334">
        <v>2383</v>
      </c>
      <c r="E219" s="1334">
        <v>11935.98</v>
      </c>
      <c r="F219" s="1332" t="s">
        <v>1110</v>
      </c>
      <c r="G219" s="1332" t="s">
        <v>1037</v>
      </c>
      <c r="H219" s="1332" t="s">
        <v>3942</v>
      </c>
      <c r="I219" s="652"/>
      <c r="J219" s="652"/>
      <c r="K219" s="652"/>
      <c r="L219" s="653" t="str">
        <f t="shared" si="171"/>
        <v>5491</v>
      </c>
      <c r="M219" s="654" t="str">
        <f t="shared" si="172"/>
        <v>REPARATION SOUS-LOC. - GENERAL</v>
      </c>
      <c r="N219" s="655">
        <f>+IF(OR($Q219=Parametres!$G$2,$Q219=Parametres!$G$3),I219,C219)</f>
        <v>9552.98</v>
      </c>
      <c r="O219" s="659">
        <f>+IF(OR($Q219=Parametres!$G$2,$Q219=Parametres!$G$3),J219,D219)</f>
        <v>2383</v>
      </c>
      <c r="P219" s="655">
        <f>+IF(OR($Q219=Parametres!$G$2,$Q219=Parametres!$G$3),K219,E219)</f>
        <v>11935.98</v>
      </c>
      <c r="Q219" s="654" t="str">
        <f t="shared" si="173"/>
        <v>6-Coût des ventes</v>
      </c>
      <c r="R219" s="653" t="str">
        <f t="shared" si="174"/>
        <v>4491</v>
      </c>
      <c r="S219" s="654" t="str">
        <f t="shared" si="175"/>
        <v>_</v>
      </c>
      <c r="T219" s="656" t="str">
        <f>+VLOOKUP($L219,Data_Validation!$A:$D,1,0)</f>
        <v>5491</v>
      </c>
      <c r="U219" s="656" t="str">
        <f>+VLOOKUP($L219,Data_Validation!$A:$D,3,0)</f>
        <v>Service</v>
      </c>
      <c r="V219" s="656" t="str">
        <f>+VLOOKUP($L219,Data_Validation!$A:$D,4,0)</f>
        <v>Sous-traitement</v>
      </c>
      <c r="W219" s="656" t="str">
        <f>+VLOOKUP($L219,Data_Validation!$A:$E,5,0)</f>
        <v>$</v>
      </c>
      <c r="X219" s="656">
        <f>+VLOOKUP($L219,Data_Validation!$A:$F,6,0)</f>
        <v>0</v>
      </c>
    </row>
    <row r="220" spans="1:24" ht="15" customHeight="1">
      <c r="A220" s="1332" t="s">
        <v>1132</v>
      </c>
      <c r="B220" s="1332" t="s">
        <v>2172</v>
      </c>
      <c r="C220" s="1334">
        <v>0</v>
      </c>
      <c r="D220" s="1334">
        <v>505.22</v>
      </c>
      <c r="E220" s="1334">
        <v>505.22</v>
      </c>
      <c r="F220" s="1332" t="s">
        <v>1110</v>
      </c>
      <c r="G220" s="1332" t="s">
        <v>1040</v>
      </c>
      <c r="H220" s="1332" t="s">
        <v>3942</v>
      </c>
      <c r="I220" s="672"/>
      <c r="J220" s="663"/>
      <c r="K220" s="672"/>
      <c r="L220" s="653" t="str">
        <f t="shared" si="171"/>
        <v>5493</v>
      </c>
      <c r="M220" s="654" t="str">
        <f t="shared" si="172"/>
        <v>C/V - SOUS-TRAITANCE GARANTIE</v>
      </c>
      <c r="N220" s="655">
        <f>+IF(OR($Q220=Parametres!$G$2,$Q220=Parametres!$G$3),I220,C220)</f>
        <v>0</v>
      </c>
      <c r="O220" s="655">
        <f>+IF(OR($Q220=Parametres!$G$2,$Q220=Parametres!$G$3),J220,D220)</f>
        <v>505.22</v>
      </c>
      <c r="P220" s="655">
        <f>+IF(OR($Q220=Parametres!$G$2,$Q220=Parametres!$G$3),K220,E220)</f>
        <v>505.22</v>
      </c>
      <c r="Q220" s="654" t="str">
        <f t="shared" si="173"/>
        <v>6-Coût des ventes</v>
      </c>
      <c r="R220" s="653" t="str">
        <f t="shared" si="174"/>
        <v>4493</v>
      </c>
      <c r="S220" s="654" t="str">
        <f t="shared" si="175"/>
        <v>_</v>
      </c>
      <c r="T220" s="656" t="str">
        <f>+VLOOKUP($L220,Data_Validation!$A:$D,1,0)</f>
        <v>5493</v>
      </c>
      <c r="U220" s="656" t="str">
        <f>+VLOOKUP($L220,Data_Validation!$A:$D,3,0)</f>
        <v>Service</v>
      </c>
      <c r="V220" s="656" t="str">
        <f>+VLOOKUP($L220,Data_Validation!$A:$D,4,0)</f>
        <v>Sous-traitement</v>
      </c>
      <c r="W220" s="656" t="str">
        <f>+VLOOKUP($L220,Data_Validation!$A:$E,5,0)</f>
        <v>$</v>
      </c>
      <c r="X220" s="656">
        <f>+VLOOKUP($L220,Data_Validation!$A:$F,6,0)</f>
        <v>0</v>
      </c>
    </row>
    <row r="221" spans="1:24" ht="15" customHeight="1">
      <c r="A221" s="1332" t="s">
        <v>1133</v>
      </c>
      <c r="B221" s="1332" t="s">
        <v>2175</v>
      </c>
      <c r="C221" s="1334">
        <v>13745.95</v>
      </c>
      <c r="D221" s="1334">
        <v>5266</v>
      </c>
      <c r="E221" s="1334">
        <v>19011.95</v>
      </c>
      <c r="F221" s="1332" t="s">
        <v>1110</v>
      </c>
      <c r="G221" s="1332" t="s">
        <v>1044</v>
      </c>
      <c r="H221" s="1332" t="s">
        <v>3942</v>
      </c>
      <c r="I221" s="672"/>
      <c r="J221" s="663"/>
      <c r="K221" s="672"/>
      <c r="L221" s="653" t="str">
        <f t="shared" si="171"/>
        <v>5495</v>
      </c>
      <c r="M221" s="654" t="str">
        <f t="shared" si="172"/>
        <v>C/V - SOUS-TRAITANCE INTERNE</v>
      </c>
      <c r="N221" s="655">
        <f>+IF(OR($Q221=Parametres!$G$2,$Q221=Parametres!$G$3),I221,C221)</f>
        <v>13745.95</v>
      </c>
      <c r="O221" s="655">
        <f>+IF(OR($Q221=Parametres!$G$2,$Q221=Parametres!$G$3),J221,D221)</f>
        <v>5266</v>
      </c>
      <c r="P221" s="655">
        <f>+IF(OR($Q221=Parametres!$G$2,$Q221=Parametres!$G$3),K221,E221)</f>
        <v>19011.95</v>
      </c>
      <c r="Q221" s="654" t="str">
        <f t="shared" si="173"/>
        <v>6-Coût des ventes</v>
      </c>
      <c r="R221" s="653" t="str">
        <f t="shared" si="174"/>
        <v>4495</v>
      </c>
      <c r="S221" s="654" t="str">
        <f t="shared" si="175"/>
        <v>_</v>
      </c>
      <c r="T221" s="656" t="str">
        <f>+VLOOKUP($L221,Data_Validation!$A:$D,1,0)</f>
        <v>5495</v>
      </c>
      <c r="U221" s="656" t="str">
        <f>+VLOOKUP($L221,Data_Validation!$A:$D,3,0)</f>
        <v>Service</v>
      </c>
      <c r="V221" s="656" t="str">
        <f>+VLOOKUP($L221,Data_Validation!$A:$D,4,0)</f>
        <v>Sous-traitement</v>
      </c>
      <c r="W221" s="656" t="str">
        <f>+VLOOKUP($L221,Data_Validation!$A:$E,5,0)</f>
        <v>$</v>
      </c>
      <c r="X221" s="656">
        <f>+VLOOKUP($L221,Data_Validation!$A:$F,6,0)</f>
        <v>0</v>
      </c>
    </row>
    <row r="222" spans="1:24" ht="15" customHeight="1">
      <c r="A222" s="1332" t="s">
        <v>3427</v>
      </c>
      <c r="B222" s="1332" t="s">
        <v>3428</v>
      </c>
      <c r="C222" s="1334">
        <v>1954.04</v>
      </c>
      <c r="D222" s="1334">
        <v>1291.3699999999999</v>
      </c>
      <c r="E222" s="1334">
        <v>3245.41</v>
      </c>
      <c r="F222" s="1332" t="s">
        <v>1110</v>
      </c>
      <c r="G222" s="1332" t="s">
        <v>3426</v>
      </c>
      <c r="H222" s="1332" t="s">
        <v>3942</v>
      </c>
      <c r="I222" s="670"/>
      <c r="J222" s="651"/>
      <c r="K222" s="670"/>
      <c r="L222" s="653" t="str">
        <f t="shared" si="171"/>
        <v>5505</v>
      </c>
      <c r="M222" s="654" t="str">
        <f t="shared" si="172"/>
        <v>C/V - M.O. INTERNE CARROSSERIE</v>
      </c>
      <c r="N222" s="655">
        <f>+IF(OR($Q222=Parametres!$G$2,$Q222=Parametres!$G$3),I222,C222)</f>
        <v>1954.04</v>
      </c>
      <c r="O222" s="655">
        <f>+IF(OR($Q222=Parametres!$G$2,$Q222=Parametres!$G$3),J222,D222)</f>
        <v>1291.3699999999999</v>
      </c>
      <c r="P222" s="655">
        <f>+IF(OR($Q222=Parametres!$G$2,$Q222=Parametres!$G$3),K222,E222)</f>
        <v>3245.41</v>
      </c>
      <c r="Q222" s="654" t="str">
        <f t="shared" si="173"/>
        <v>6-Coût des ventes</v>
      </c>
      <c r="R222" s="653" t="str">
        <f t="shared" si="174"/>
        <v>4505</v>
      </c>
      <c r="S222" s="654" t="str">
        <f t="shared" si="175"/>
        <v>_</v>
      </c>
      <c r="T222" s="656" t="str">
        <f>+VLOOKUP($L222,Data_Validation!$A:$D,1,0)</f>
        <v>5505</v>
      </c>
      <c r="U222" s="656" t="str">
        <f>+VLOOKUP($L222,Data_Validation!$A:$D,3,0)</f>
        <v>Service</v>
      </c>
      <c r="V222" s="656" t="str">
        <f>+VLOOKUP($L222,Data_Validation!$A:$D,4,0)</f>
        <v>M.O. Recond. MCPA</v>
      </c>
      <c r="W222" s="656" t="str">
        <f>+VLOOKUP($L222,Data_Validation!$A:$E,5,0)</f>
        <v>$</v>
      </c>
      <c r="X222" s="656">
        <f>+VLOOKUP($L222,Data_Validation!$A:$F,6,0)</f>
        <v>0</v>
      </c>
    </row>
    <row r="223" spans="1:24" ht="15" customHeight="1">
      <c r="A223" s="1332" t="s">
        <v>1134</v>
      </c>
      <c r="B223" s="1332" t="s">
        <v>2184</v>
      </c>
      <c r="C223" s="1334">
        <v>21228.41</v>
      </c>
      <c r="D223" s="1334">
        <v>6825</v>
      </c>
      <c r="E223" s="1334">
        <v>28053.41</v>
      </c>
      <c r="F223" s="1332" t="s">
        <v>1110</v>
      </c>
      <c r="G223" s="1332" t="s">
        <v>1051</v>
      </c>
      <c r="H223" s="1332" t="s">
        <v>3942</v>
      </c>
      <c r="I223" s="1099"/>
      <c r="J223" s="1099"/>
      <c r="K223" s="1099"/>
      <c r="L223" s="653" t="str">
        <f t="shared" si="171"/>
        <v>5591</v>
      </c>
      <c r="M223" s="654" t="str">
        <f t="shared" si="172"/>
        <v>C/V - S-TRAIT. CARR.</v>
      </c>
      <c r="N223" s="655">
        <f>+IF(OR($Q223=Parametres!$G$2,$Q223=Parametres!$G$3),I223,C223)</f>
        <v>21228.41</v>
      </c>
      <c r="O223" s="655">
        <f>+IF(OR($Q223=Parametres!$G$2,$Q223=Parametres!$G$3),J223,D223)</f>
        <v>6825</v>
      </c>
      <c r="P223" s="655">
        <f>+IF(OR($Q223=Parametres!$G$2,$Q223=Parametres!$G$3),K223,E223)</f>
        <v>28053.41</v>
      </c>
      <c r="Q223" s="654" t="str">
        <f t="shared" si="173"/>
        <v>6-Coût des ventes</v>
      </c>
      <c r="R223" s="653" t="str">
        <f t="shared" si="174"/>
        <v>4591</v>
      </c>
      <c r="S223" s="654" t="str">
        <f t="shared" si="175"/>
        <v>_</v>
      </c>
      <c r="T223" s="656" t="str">
        <f>+VLOOKUP($L223,Data_Validation!$A:$D,1,0)</f>
        <v>5591</v>
      </c>
      <c r="U223" s="656" t="str">
        <f>+VLOOKUP($L223,Data_Validation!$A:$D,3,0)</f>
        <v>Carrosserie</v>
      </c>
      <c r="V223" s="656" t="str">
        <f>+VLOOKUP($L223,Data_Validation!$A:$D,4,0)</f>
        <v>M/O Sous-traitement</v>
      </c>
      <c r="W223" s="656" t="str">
        <f>+VLOOKUP($L223,Data_Validation!$A:$E,5,0)</f>
        <v>$</v>
      </c>
      <c r="X223" s="656">
        <f>+VLOOKUP($L223,Data_Validation!$A:$F,6,0)</f>
        <v>0</v>
      </c>
    </row>
    <row r="224" spans="1:24" ht="15" customHeight="1">
      <c r="A224" s="1332" t="s">
        <v>1135</v>
      </c>
      <c r="B224" s="1332" t="s">
        <v>2187</v>
      </c>
      <c r="C224" s="1334">
        <v>197235.04</v>
      </c>
      <c r="D224" s="1334">
        <v>49145.31</v>
      </c>
      <c r="E224" s="1334">
        <v>246380.35</v>
      </c>
      <c r="F224" s="1332" t="s">
        <v>1110</v>
      </c>
      <c r="G224" s="1332" t="s">
        <v>1055</v>
      </c>
      <c r="H224" s="1332" t="s">
        <v>3942</v>
      </c>
      <c r="I224" s="1099"/>
      <c r="J224" s="1099"/>
      <c r="K224" s="1099"/>
      <c r="L224" s="653" t="str">
        <f t="shared" si="171"/>
        <v>5593</v>
      </c>
      <c r="M224" s="654" t="str">
        <f t="shared" si="172"/>
        <v>C/V - S-TRAIT.GARANTIE CARROS.</v>
      </c>
      <c r="N224" s="655">
        <f>+IF(OR($Q224=Parametres!$G$2,$Q224=Parametres!$G$3),I224,C224)</f>
        <v>197235.04</v>
      </c>
      <c r="O224" s="655">
        <f>+IF(OR($Q224=Parametres!$G$2,$Q224=Parametres!$G$3),J224,D224)</f>
        <v>49145.31</v>
      </c>
      <c r="P224" s="655">
        <f>+IF(OR($Q224=Parametres!$G$2,$Q224=Parametres!$G$3),K224,E224)</f>
        <v>246380.35</v>
      </c>
      <c r="Q224" s="654" t="str">
        <f t="shared" si="173"/>
        <v>6-Coût des ventes</v>
      </c>
      <c r="R224" s="653" t="str">
        <f t="shared" si="174"/>
        <v>4593</v>
      </c>
      <c r="S224" s="654" t="str">
        <f t="shared" si="175"/>
        <v>_</v>
      </c>
      <c r="T224" s="656" t="str">
        <f>+VLOOKUP($L224,Data_Validation!$A:$D,1,0)</f>
        <v>5593</v>
      </c>
      <c r="U224" s="656" t="str">
        <f>+VLOOKUP($L224,Data_Validation!$A:$D,3,0)</f>
        <v>Carrosserie</v>
      </c>
      <c r="V224" s="656" t="str">
        <f>+VLOOKUP($L224,Data_Validation!$A:$D,4,0)</f>
        <v>M/O Sous-traitement</v>
      </c>
      <c r="W224" s="656" t="str">
        <f>+VLOOKUP($L224,Data_Validation!$A:$E,5,0)</f>
        <v>$</v>
      </c>
      <c r="X224" s="656">
        <f>+VLOOKUP($L224,Data_Validation!$A:$F,6,0)</f>
        <v>0</v>
      </c>
    </row>
    <row r="225" spans="1:24" ht="15.75" customHeight="1">
      <c r="A225" s="1332" t="s">
        <v>1136</v>
      </c>
      <c r="B225" s="1332" t="s">
        <v>2190</v>
      </c>
      <c r="C225" s="1334">
        <v>1560.63</v>
      </c>
      <c r="D225" s="1334">
        <v>500</v>
      </c>
      <c r="E225" s="1334">
        <v>2060.63</v>
      </c>
      <c r="F225" s="1332" t="s">
        <v>1110</v>
      </c>
      <c r="G225" s="1332" t="s">
        <v>1059</v>
      </c>
      <c r="H225" s="1332" t="s">
        <v>3942</v>
      </c>
      <c r="I225" s="1099"/>
      <c r="J225" s="1099"/>
      <c r="K225" s="1099"/>
      <c r="L225" s="653" t="str">
        <f t="shared" si="171"/>
        <v>5595</v>
      </c>
      <c r="M225" s="654" t="str">
        <f t="shared" si="172"/>
        <v>C/V - S-TRAIT.INTERNE CARROS.</v>
      </c>
      <c r="N225" s="655">
        <f>+IF(OR($Q225=Parametres!$G$2,$Q225=Parametres!$G$3),I225,C225)</f>
        <v>1560.63</v>
      </c>
      <c r="O225" s="655">
        <f>+IF(OR($Q225=Parametres!$G$2,$Q225=Parametres!$G$3),J225,D225)</f>
        <v>500</v>
      </c>
      <c r="P225" s="655">
        <f>+IF(OR($Q225=Parametres!$G$2,$Q225=Parametres!$G$3),K225,E225)</f>
        <v>2060.63</v>
      </c>
      <c r="Q225" s="654" t="str">
        <f t="shared" si="173"/>
        <v>6-Coût des ventes</v>
      </c>
      <c r="R225" s="653" t="str">
        <f t="shared" si="174"/>
        <v>4595</v>
      </c>
      <c r="S225" s="654" t="str">
        <f t="shared" si="175"/>
        <v>_</v>
      </c>
      <c r="T225" s="656" t="str">
        <f>+VLOOKUP($L225,Data_Validation!$A:$D,1,0)</f>
        <v>5595</v>
      </c>
      <c r="U225" s="656" t="str">
        <f>+VLOOKUP($L225,Data_Validation!$A:$D,3,0)</f>
        <v>Carrosserie</v>
      </c>
      <c r="V225" s="656" t="str">
        <f>+VLOOKUP($L225,Data_Validation!$A:$D,4,0)</f>
        <v>M/O Sous-traitement</v>
      </c>
      <c r="W225" s="656" t="str">
        <f>+VLOOKUP($L225,Data_Validation!$A:$E,5,0)</f>
        <v>$</v>
      </c>
      <c r="X225" s="656">
        <f>+VLOOKUP($L225,Data_Validation!$A:$F,6,0)</f>
        <v>0</v>
      </c>
    </row>
    <row r="226" spans="1:24" ht="15" customHeight="1">
      <c r="A226" s="1332" t="s">
        <v>3673</v>
      </c>
      <c r="B226" s="1332" t="s">
        <v>2193</v>
      </c>
      <c r="C226" s="1334">
        <v>87090.07</v>
      </c>
      <c r="D226" s="1334">
        <v>41868.29</v>
      </c>
      <c r="E226" s="1334">
        <v>128958.36</v>
      </c>
      <c r="F226" s="1332" t="s">
        <v>1110</v>
      </c>
      <c r="G226" s="1332" t="s">
        <v>1063</v>
      </c>
      <c r="H226" s="1332" t="s">
        <v>3942</v>
      </c>
      <c r="I226" s="670"/>
      <c r="J226" s="651"/>
      <c r="K226" s="670"/>
      <c r="L226" s="653" t="str">
        <f t="shared" si="171"/>
        <v>5701</v>
      </c>
      <c r="M226" s="654" t="str">
        <f t="shared" si="172"/>
        <v>VW P&amp;A - BR - CLIENT - MCI</v>
      </c>
      <c r="N226" s="655">
        <f>+IF(OR($Q226=Parametres!$G$2,$Q226=Parametres!$G$3),I226,C226)</f>
        <v>87090.07</v>
      </c>
      <c r="O226" s="655">
        <f>+IF(OR($Q226=Parametres!$G$2,$Q226=Parametres!$G$3),J226,D226)</f>
        <v>41868.29</v>
      </c>
      <c r="P226" s="655">
        <f>+IF(OR($Q226=Parametres!$G$2,$Q226=Parametres!$G$3),K226,E226)</f>
        <v>128958.36</v>
      </c>
      <c r="Q226" s="654" t="str">
        <f t="shared" si="173"/>
        <v>6-Coût des ventes</v>
      </c>
      <c r="R226" s="653" t="str">
        <f t="shared" si="174"/>
        <v>4701</v>
      </c>
      <c r="S226" s="654" t="str">
        <f t="shared" si="175"/>
        <v>_</v>
      </c>
      <c r="T226" s="656" t="str">
        <f>+VLOOKUP($L226,Data_Validation!$A:$D,1,0)</f>
        <v>5701</v>
      </c>
      <c r="U226" s="656" t="str">
        <f>+VLOOKUP($L226,Data_Validation!$A:$D,3,0)</f>
        <v>Pièces</v>
      </c>
      <c r="V226" s="656" t="str">
        <f>+VLOOKUP($L226,Data_Validation!$A:$D,4,0)</f>
        <v>Pièces Ro Clients</v>
      </c>
      <c r="W226" s="656" t="str">
        <f>+VLOOKUP($L226,Data_Validation!$A:$E,5,0)</f>
        <v>$</v>
      </c>
      <c r="X226" s="656">
        <f>+VLOOKUP($L226,Data_Validation!$A:$F,6,0)</f>
        <v>0</v>
      </c>
    </row>
    <row r="227" spans="1:24" ht="15" customHeight="1">
      <c r="A227" s="1332" t="s">
        <v>1138</v>
      </c>
      <c r="B227" s="1332" t="s">
        <v>2196</v>
      </c>
      <c r="C227" s="1334">
        <v>597.11</v>
      </c>
      <c r="D227" s="1334">
        <v>431.8</v>
      </c>
      <c r="E227" s="1334">
        <v>1028.9100000000001</v>
      </c>
      <c r="F227" s="1332" t="s">
        <v>1110</v>
      </c>
      <c r="G227" s="1332" t="s">
        <v>1067</v>
      </c>
      <c r="H227" s="1332" t="s">
        <v>3942</v>
      </c>
      <c r="I227" s="652"/>
      <c r="J227" s="652"/>
      <c r="K227" s="652"/>
      <c r="L227" s="653" t="str">
        <f t="shared" si="171"/>
        <v>5702</v>
      </c>
      <c r="M227" s="654" t="str">
        <f t="shared" si="172"/>
        <v>C/V - SHOP SUPPLY VW</v>
      </c>
      <c r="N227" s="655">
        <f>+IF(OR($Q227=Parametres!$G$2,$Q227=Parametres!$G$3),I227,C227)</f>
        <v>597.11</v>
      </c>
      <c r="O227" s="655">
        <f>+IF(OR($Q227=Parametres!$G$2,$Q227=Parametres!$G$3),J227,D227)</f>
        <v>431.8</v>
      </c>
      <c r="P227" s="655">
        <f>+IF(OR($Q227=Parametres!$G$2,$Q227=Parametres!$G$3),K227,E227)</f>
        <v>1028.9100000000001</v>
      </c>
      <c r="Q227" s="654" t="str">
        <f t="shared" si="173"/>
        <v>6-Coût des ventes</v>
      </c>
      <c r="R227" s="653" t="str">
        <f t="shared" si="174"/>
        <v>4702</v>
      </c>
      <c r="S227" s="654" t="str">
        <f t="shared" si="175"/>
        <v>_</v>
      </c>
      <c r="T227" s="656" t="str">
        <f>+VLOOKUP($L227,Data_Validation!$A:$D,1,0)</f>
        <v>5702</v>
      </c>
      <c r="U227" s="656" t="str">
        <f>+VLOOKUP($L227,Data_Validation!$A:$D,3,0)</f>
        <v>Service</v>
      </c>
      <c r="V227" s="656" t="str">
        <f>+VLOOKUP($L227,Data_Validation!$A:$D,4,0)</f>
        <v>M/O Client</v>
      </c>
      <c r="W227" s="656" t="str">
        <f>+VLOOKUP($L227,Data_Validation!$A:$E,5,0)</f>
        <v>$</v>
      </c>
      <c r="X227" s="656">
        <f>+VLOOKUP($L227,Data_Validation!$A:$F,6,0)</f>
        <v>0</v>
      </c>
    </row>
    <row r="228" spans="1:24" ht="15" customHeight="1">
      <c r="A228" s="1332" t="s">
        <v>3674</v>
      </c>
      <c r="B228" s="1332" t="s">
        <v>2199</v>
      </c>
      <c r="C228" s="1334">
        <v>157957.17000000001</v>
      </c>
      <c r="D228" s="1334">
        <v>52768.63</v>
      </c>
      <c r="E228" s="1334">
        <v>210725.8</v>
      </c>
      <c r="F228" s="1332" t="s">
        <v>1110</v>
      </c>
      <c r="G228" s="1332" t="s">
        <v>1069</v>
      </c>
      <c r="H228" s="1332" t="s">
        <v>3942</v>
      </c>
      <c r="I228" s="652"/>
      <c r="J228" s="652"/>
      <c r="K228" s="652"/>
      <c r="L228" s="653" t="str">
        <f t="shared" si="171"/>
        <v>5703</v>
      </c>
      <c r="M228" s="654" t="str">
        <f t="shared" si="172"/>
        <v>VW P&amp;A - BR - GARANTIE - MCI</v>
      </c>
      <c r="N228" s="655">
        <f>+IF(OR($Q228=Parametres!$G$2,$Q228=Parametres!$G$3),I228,C228)</f>
        <v>157957.17000000001</v>
      </c>
      <c r="O228" s="655">
        <f>+IF(OR($Q228=Parametres!$G$2,$Q228=Parametres!$G$3),J228,D228)</f>
        <v>52768.63</v>
      </c>
      <c r="P228" s="655">
        <f>+IF(OR($Q228=Parametres!$G$2,$Q228=Parametres!$G$3),K228,E228)</f>
        <v>210725.8</v>
      </c>
      <c r="Q228" s="654" t="str">
        <f t="shared" si="173"/>
        <v>6-Coût des ventes</v>
      </c>
      <c r="R228" s="653" t="str">
        <f t="shared" si="174"/>
        <v>4703</v>
      </c>
      <c r="S228" s="654" t="str">
        <f t="shared" si="175"/>
        <v>_</v>
      </c>
      <c r="T228" s="656" t="str">
        <f>+VLOOKUP($L228,Data_Validation!$A:$D,1,0)</f>
        <v>5703</v>
      </c>
      <c r="U228" s="656" t="str">
        <f>+VLOOKUP($L228,Data_Validation!$A:$D,3,0)</f>
        <v>Pièces</v>
      </c>
      <c r="V228" s="656" t="str">
        <f>+VLOOKUP($L228,Data_Validation!$A:$D,4,0)</f>
        <v>P/A Garantie</v>
      </c>
      <c r="W228" s="656" t="str">
        <f>+VLOOKUP($L228,Data_Validation!$A:$E,5,0)</f>
        <v>$</v>
      </c>
      <c r="X228" s="656">
        <f>+VLOOKUP($L228,Data_Validation!$A:$F,6,0)</f>
        <v>0</v>
      </c>
    </row>
    <row r="229" spans="1:24" ht="15.75" customHeight="1">
      <c r="A229" s="1332" t="s">
        <v>3675</v>
      </c>
      <c r="B229" s="1332" t="s">
        <v>2202</v>
      </c>
      <c r="C229" s="1334">
        <v>90417.26</v>
      </c>
      <c r="D229" s="1334">
        <v>42031.86</v>
      </c>
      <c r="E229" s="1334">
        <v>132449.12</v>
      </c>
      <c r="F229" s="1332" t="s">
        <v>1110</v>
      </c>
      <c r="G229" s="1332" t="s">
        <v>1073</v>
      </c>
      <c r="H229" s="1332" t="s">
        <v>3942</v>
      </c>
      <c r="I229" s="672"/>
      <c r="J229" s="663"/>
      <c r="K229" s="672"/>
      <c r="L229" s="653" t="str">
        <f t="shared" si="171"/>
        <v>5705</v>
      </c>
      <c r="M229" s="654" t="str">
        <f t="shared" si="172"/>
        <v>VW P&amp;A - BR - INTERNE - MCI</v>
      </c>
      <c r="N229" s="655">
        <f>+IF(OR($Q229=Parametres!$G$2,$Q229=Parametres!$G$3),I229,C229)</f>
        <v>90417.26</v>
      </c>
      <c r="O229" s="655">
        <f>+IF(OR($Q229=Parametres!$G$2,$Q229=Parametres!$G$3),J229,D229)</f>
        <v>42031.86</v>
      </c>
      <c r="P229" s="655">
        <f>+IF(OR($Q229=Parametres!$G$2,$Q229=Parametres!$G$3),K229,E229)</f>
        <v>132449.12</v>
      </c>
      <c r="Q229" s="654" t="str">
        <f t="shared" si="173"/>
        <v>6-Coût des ventes</v>
      </c>
      <c r="R229" s="653" t="str">
        <f t="shared" si="174"/>
        <v>4705</v>
      </c>
      <c r="S229" s="654" t="str">
        <f t="shared" si="175"/>
        <v>_</v>
      </c>
      <c r="T229" s="656" t="str">
        <f>+VLOOKUP($L229,Data_Validation!$A:$D,1,0)</f>
        <v>5705</v>
      </c>
      <c r="U229" s="656" t="str">
        <f>+VLOOKUP($L229,Data_Validation!$A:$D,3,0)</f>
        <v>Pièces</v>
      </c>
      <c r="V229" s="656" t="str">
        <f>+VLOOKUP($L229,Data_Validation!$A:$D,4,0)</f>
        <v>Ventes Internes</v>
      </c>
      <c r="W229" s="656" t="str">
        <f>+VLOOKUP($L229,Data_Validation!$A:$E,5,0)</f>
        <v>$</v>
      </c>
      <c r="X229" s="656">
        <f>+VLOOKUP($L229,Data_Validation!$A:$F,6,0)</f>
        <v>0</v>
      </c>
    </row>
    <row r="230" spans="1:24" ht="15" customHeight="1">
      <c r="A230" s="1332" t="s">
        <v>3676</v>
      </c>
      <c r="B230" s="1332" t="s">
        <v>2205</v>
      </c>
      <c r="C230" s="1334">
        <v>317.67</v>
      </c>
      <c r="D230" s="1334">
        <v>111.32</v>
      </c>
      <c r="E230" s="1334">
        <v>428.99</v>
      </c>
      <c r="F230" s="1332" t="s">
        <v>1110</v>
      </c>
      <c r="G230" s="1332" t="s">
        <v>1076</v>
      </c>
      <c r="H230" s="1332" t="s">
        <v>3942</v>
      </c>
      <c r="I230" s="670"/>
      <c r="J230" s="651"/>
      <c r="K230" s="670"/>
      <c r="L230" s="653" t="str">
        <f t="shared" si="171"/>
        <v>5706</v>
      </c>
      <c r="M230" s="654" t="str">
        <f t="shared" si="172"/>
        <v>VW P&amp;A - BR - CLIENT - VEB</v>
      </c>
      <c r="N230" s="655">
        <f>+IF(OR($Q230=Parametres!$G$2,$Q230=Parametres!$G$3),I230,C230)</f>
        <v>317.67</v>
      </c>
      <c r="O230" s="655">
        <f>+IF(OR($Q230=Parametres!$G$2,$Q230=Parametres!$G$3),J230,D230)</f>
        <v>111.32</v>
      </c>
      <c r="P230" s="655">
        <f>+IF(OR($Q230=Parametres!$G$2,$Q230=Parametres!$G$3),K230,E230)</f>
        <v>428.99</v>
      </c>
      <c r="Q230" s="654" t="str">
        <f t="shared" si="173"/>
        <v>6-Coût des ventes</v>
      </c>
      <c r="R230" s="653" t="str">
        <f t="shared" si="174"/>
        <v>4706</v>
      </c>
      <c r="S230" s="654" t="str">
        <f t="shared" si="175"/>
        <v>_</v>
      </c>
      <c r="T230" s="656" t="str">
        <f>+VLOOKUP($L230,Data_Validation!$A:$D,1,0)</f>
        <v>5706</v>
      </c>
      <c r="U230" s="656" t="str">
        <f>+VLOOKUP($L230,Data_Validation!$A:$D,3,0)</f>
        <v>Service</v>
      </c>
      <c r="V230" s="656" t="str">
        <f>+VLOOKUP($L230,Data_Validation!$A:$D,4,0)</f>
        <v>M/O Interne</v>
      </c>
      <c r="W230" s="656" t="str">
        <f>+VLOOKUP($L230,Data_Validation!$A:$E,5,0)</f>
        <v>$</v>
      </c>
      <c r="X230" s="656">
        <f>+VLOOKUP($L230,Data_Validation!$A:$F,6,0)</f>
        <v>0</v>
      </c>
    </row>
    <row r="231" spans="1:24" ht="15" customHeight="1">
      <c r="A231" s="1332" t="s">
        <v>1141</v>
      </c>
      <c r="B231" s="1332" t="s">
        <v>2208</v>
      </c>
      <c r="C231" s="1334">
        <v>3985.69</v>
      </c>
      <c r="D231" s="1334">
        <v>1999.75</v>
      </c>
      <c r="E231" s="1334">
        <v>5985.44</v>
      </c>
      <c r="F231" s="1332" t="s">
        <v>1110</v>
      </c>
      <c r="G231" s="1332" t="s">
        <v>1142</v>
      </c>
      <c r="H231" s="1332" t="s">
        <v>3942</v>
      </c>
      <c r="I231" s="652"/>
      <c r="J231" s="652"/>
      <c r="K231" s="652"/>
      <c r="L231" s="653" t="str">
        <f t="shared" si="171"/>
        <v>5711</v>
      </c>
      <c r="M231" s="654" t="str">
        <f t="shared" si="172"/>
        <v>C/V - AUTRE PIECE/ACC/CARR B.R. CLIENT</v>
      </c>
      <c r="N231" s="655">
        <f>+IF(OR($Q231=Parametres!$G$2,$Q231=Parametres!$G$3),I231,C231)</f>
        <v>3985.69</v>
      </c>
      <c r="O231" s="655">
        <f>+IF(OR($Q231=Parametres!$G$2,$Q231=Parametres!$G$3),J231,D231)</f>
        <v>1999.75</v>
      </c>
      <c r="P231" s="655">
        <f>+IF(OR($Q231=Parametres!$G$2,$Q231=Parametres!$G$3),K231,E231)</f>
        <v>5985.44</v>
      </c>
      <c r="Q231" s="654" t="str">
        <f t="shared" si="173"/>
        <v>6-Coût des ventes</v>
      </c>
      <c r="R231" s="653" t="str">
        <f t="shared" si="174"/>
        <v>4711</v>
      </c>
      <c r="S231" s="654" t="str">
        <f t="shared" si="175"/>
        <v>_</v>
      </c>
      <c r="T231" s="656" t="str">
        <f>+VLOOKUP($L231,Data_Validation!$A:$D,1,0)</f>
        <v>5711</v>
      </c>
      <c r="U231" s="656" t="str">
        <f>+VLOOKUP($L231,Data_Validation!$A:$D,3,0)</f>
        <v>Pièces</v>
      </c>
      <c r="V231" s="656" t="str">
        <f>+VLOOKUP($L231,Data_Validation!$A:$D,4,0)</f>
        <v>Pièces Ro Clients</v>
      </c>
      <c r="W231" s="656" t="str">
        <f>+VLOOKUP($L231,Data_Validation!$A:$E,5,0)</f>
        <v>$</v>
      </c>
      <c r="X231" s="656">
        <f>+VLOOKUP($L231,Data_Validation!$A:$F,6,0)</f>
        <v>0</v>
      </c>
    </row>
    <row r="232" spans="1:24" ht="15" customHeight="1">
      <c r="A232" s="1332" t="s">
        <v>3677</v>
      </c>
      <c r="B232" s="1332" t="s">
        <v>2214</v>
      </c>
      <c r="C232" s="1334">
        <v>1347.04</v>
      </c>
      <c r="D232" s="1334">
        <v>525.41</v>
      </c>
      <c r="E232" s="1334">
        <v>1872.45</v>
      </c>
      <c r="F232" s="1332" t="s">
        <v>1110</v>
      </c>
      <c r="G232" s="1332" t="s">
        <v>1086</v>
      </c>
      <c r="H232" s="1332" t="s">
        <v>3942</v>
      </c>
      <c r="I232" s="652"/>
      <c r="J232" s="652"/>
      <c r="K232" s="652"/>
      <c r="L232" s="653" t="str">
        <f t="shared" si="171"/>
        <v>5731</v>
      </c>
      <c r="M232" s="654" t="str">
        <f t="shared" si="172"/>
        <v>VW-P&amp;A-P&amp;BRO-CLIENT - MCI</v>
      </c>
      <c r="N232" s="655">
        <f>+IF(OR($Q232=Parametres!$G$2,$Q232=Parametres!$G$3),I232,C232)</f>
        <v>1347.04</v>
      </c>
      <c r="O232" s="655">
        <f>+IF(OR($Q232=Parametres!$G$2,$Q232=Parametres!$G$3),J232,D232)</f>
        <v>525.41</v>
      </c>
      <c r="P232" s="655">
        <f>+IF(OR($Q232=Parametres!$G$2,$Q232=Parametres!$G$3),K232,E232)</f>
        <v>1872.45</v>
      </c>
      <c r="Q232" s="654" t="str">
        <f t="shared" si="173"/>
        <v>6-Coût des ventes</v>
      </c>
      <c r="R232" s="653" t="str">
        <f t="shared" si="174"/>
        <v>4731</v>
      </c>
      <c r="S232" s="654" t="str">
        <f t="shared" si="175"/>
        <v>_</v>
      </c>
      <c r="T232" s="656" t="str">
        <f>+VLOOKUP($L232,Data_Validation!$A:$D,1,0)</f>
        <v>5731</v>
      </c>
      <c r="U232" s="656" t="str">
        <f>+VLOOKUP($L232,Data_Validation!$A:$D,3,0)</f>
        <v>Pièces</v>
      </c>
      <c r="V232" s="656" t="str">
        <f>+VLOOKUP($L232,Data_Validation!$A:$D,4,0)</f>
        <v>Pièces Ro Carrosserie</v>
      </c>
      <c r="W232" s="656" t="str">
        <f>+VLOOKUP($L232,Data_Validation!$A:$E,5,0)</f>
        <v>$</v>
      </c>
      <c r="X232" s="656">
        <f>+VLOOKUP($L232,Data_Validation!$A:$F,6,0)</f>
        <v>0</v>
      </c>
    </row>
    <row r="233" spans="1:24" ht="15" customHeight="1">
      <c r="A233" s="1332" t="s">
        <v>3678</v>
      </c>
      <c r="B233" s="1332" t="s">
        <v>2217</v>
      </c>
      <c r="C233" s="1334">
        <v>122422.29</v>
      </c>
      <c r="D233" s="1334">
        <v>35820.870000000003</v>
      </c>
      <c r="E233" s="1334">
        <v>158243.16</v>
      </c>
      <c r="F233" s="1332" t="s">
        <v>1110</v>
      </c>
      <c r="G233" s="1332" t="s">
        <v>1090</v>
      </c>
      <c r="H233" s="1332" t="s">
        <v>3942</v>
      </c>
      <c r="I233" s="660"/>
      <c r="J233" s="660"/>
      <c r="K233" s="660"/>
      <c r="L233" s="653" t="str">
        <f t="shared" si="171"/>
        <v>5733</v>
      </c>
      <c r="M233" s="654" t="str">
        <f t="shared" si="172"/>
        <v>VW-P&amp;A-P&amp;BRO-GARANTIE - MCI</v>
      </c>
      <c r="N233" s="655">
        <f>+IF(OR($Q233=Parametres!$G$2,$Q233=Parametres!$G$3),I233,C233)</f>
        <v>122422.29</v>
      </c>
      <c r="O233" s="655">
        <f>+IF(OR($Q233=Parametres!$G$2,$Q233=Parametres!$G$3),J233,D233)</f>
        <v>35820.870000000003</v>
      </c>
      <c r="P233" s="655">
        <f>+IF(OR($Q233=Parametres!$G$2,$Q233=Parametres!$G$3),K233,E233)</f>
        <v>158243.16</v>
      </c>
      <c r="Q233" s="654" t="str">
        <f t="shared" si="173"/>
        <v>6-Coût des ventes</v>
      </c>
      <c r="R233" s="653" t="str">
        <f t="shared" si="174"/>
        <v>4733</v>
      </c>
      <c r="S233" s="654" t="str">
        <f t="shared" si="175"/>
        <v>_</v>
      </c>
      <c r="T233" s="656" t="str">
        <f>+VLOOKUP($L233,Data_Validation!$A:$D,1,0)</f>
        <v>5733</v>
      </c>
      <c r="U233" s="656" t="str">
        <f>+VLOOKUP($L233,Data_Validation!$A:$D,3,0)</f>
        <v>Pièces</v>
      </c>
      <c r="V233" s="656" t="str">
        <f>+VLOOKUP($L233,Data_Validation!$A:$D,4,0)</f>
        <v>Pièces Ro Carrosserie</v>
      </c>
      <c r="W233" s="656" t="str">
        <f>+VLOOKUP($L233,Data_Validation!$A:$E,5,0)</f>
        <v>$</v>
      </c>
      <c r="X233" s="656">
        <f>+VLOOKUP($L233,Data_Validation!$A:$F,6,0)</f>
        <v>0</v>
      </c>
    </row>
    <row r="234" spans="1:24" ht="15.75" customHeight="1">
      <c r="A234" s="1332" t="s">
        <v>3679</v>
      </c>
      <c r="B234" s="1332" t="s">
        <v>2220</v>
      </c>
      <c r="C234" s="1334">
        <v>258.24</v>
      </c>
      <c r="D234" s="1334">
        <v>423.4</v>
      </c>
      <c r="E234" s="1334">
        <v>681.64</v>
      </c>
      <c r="F234" s="1332" t="s">
        <v>1110</v>
      </c>
      <c r="G234" s="1332" t="s">
        <v>1094</v>
      </c>
      <c r="H234" s="1332" t="s">
        <v>3942</v>
      </c>
      <c r="I234" s="652"/>
      <c r="J234" s="652"/>
      <c r="K234" s="652"/>
      <c r="L234" s="653" t="str">
        <f t="shared" si="171"/>
        <v>5735</v>
      </c>
      <c r="M234" s="654" t="str">
        <f t="shared" si="172"/>
        <v>VW-P&amp;A-P&amp;BRO-INTERNE - MCI</v>
      </c>
      <c r="N234" s="655">
        <f>+IF(OR($Q234=Parametres!$G$2,$Q234=Parametres!$G$3),I234,C234)</f>
        <v>258.24</v>
      </c>
      <c r="O234" s="655">
        <f>+IF(OR($Q234=Parametres!$G$2,$Q234=Parametres!$G$3),J234,D234)</f>
        <v>423.4</v>
      </c>
      <c r="P234" s="655">
        <f>+IF(OR($Q234=Parametres!$G$2,$Q234=Parametres!$G$3),K234,E234)</f>
        <v>681.64</v>
      </c>
      <c r="Q234" s="654" t="str">
        <f t="shared" si="173"/>
        <v>6-Coût des ventes</v>
      </c>
      <c r="R234" s="653" t="str">
        <f t="shared" si="174"/>
        <v>4735</v>
      </c>
      <c r="S234" s="654" t="str">
        <f t="shared" si="175"/>
        <v>_</v>
      </c>
      <c r="T234" s="656" t="str">
        <f>+VLOOKUP($L234,Data_Validation!$A:$D,1,0)</f>
        <v>5735</v>
      </c>
      <c r="U234" s="656" t="str">
        <f>+VLOOKUP($L234,Data_Validation!$A:$D,3,0)</f>
        <v>Pièces</v>
      </c>
      <c r="V234" s="656" t="str">
        <f>+VLOOKUP($L234,Data_Validation!$A:$D,4,0)</f>
        <v>Pièces Ro Carrosserie</v>
      </c>
      <c r="W234" s="656" t="str">
        <f>+VLOOKUP($L234,Data_Validation!$A:$E,5,0)</f>
        <v>$</v>
      </c>
      <c r="X234" s="656">
        <f>+VLOOKUP($L234,Data_Validation!$A:$F,6,0)</f>
        <v>0</v>
      </c>
    </row>
    <row r="235" spans="1:24" ht="15" customHeight="1">
      <c r="A235" s="1332" t="s">
        <v>1147</v>
      </c>
      <c r="B235" s="1332" t="s">
        <v>2223</v>
      </c>
      <c r="C235" s="1334">
        <v>14733.95</v>
      </c>
      <c r="D235" s="1334">
        <v>6478.55</v>
      </c>
      <c r="E235" s="1334">
        <v>21212.5</v>
      </c>
      <c r="F235" s="1332" t="s">
        <v>1110</v>
      </c>
      <c r="G235" s="1332" t="s">
        <v>1098</v>
      </c>
      <c r="H235" s="1332" t="s">
        <v>3942</v>
      </c>
      <c r="I235" s="652"/>
      <c r="J235" s="652"/>
      <c r="K235" s="652"/>
      <c r="L235" s="653" t="str">
        <f t="shared" si="171"/>
        <v>5761</v>
      </c>
      <c r="M235" s="654" t="str">
        <f t="shared" si="172"/>
        <v>C/V - P&amp;A VW COMPTOIR - DETAIL</v>
      </c>
      <c r="N235" s="655">
        <f>+IF(OR($Q235=Parametres!$G$2,$Q235=Parametres!$G$3),I235,C235)</f>
        <v>14733.95</v>
      </c>
      <c r="O235" s="655">
        <f>+IF(OR($Q235=Parametres!$G$2,$Q235=Parametres!$G$3),J235,D235)</f>
        <v>6478.55</v>
      </c>
      <c r="P235" s="655">
        <f>+IF(OR($Q235=Parametres!$G$2,$Q235=Parametres!$G$3),K235,E235)</f>
        <v>21212.5</v>
      </c>
      <c r="Q235" s="654" t="str">
        <f t="shared" si="173"/>
        <v>6-Coût des ventes</v>
      </c>
      <c r="R235" s="653" t="str">
        <f t="shared" si="174"/>
        <v>4761</v>
      </c>
      <c r="S235" s="654" t="str">
        <f t="shared" si="175"/>
        <v>_</v>
      </c>
      <c r="T235" s="656" t="str">
        <f>+VLOOKUP($L235,Data_Validation!$A:$D,1,0)</f>
        <v>5761</v>
      </c>
      <c r="U235" s="656" t="str">
        <f>+VLOOKUP($L235,Data_Validation!$A:$D,3,0)</f>
        <v>Pièces</v>
      </c>
      <c r="V235" s="656" t="str">
        <f>+VLOOKUP($L235,Data_Validation!$A:$D,4,0)</f>
        <v>Ventes Détails</v>
      </c>
      <c r="W235" s="656" t="str">
        <f>+VLOOKUP($L235,Data_Validation!$A:$E,5,0)</f>
        <v>$</v>
      </c>
      <c r="X235" s="656">
        <f>+VLOOKUP($L235,Data_Validation!$A:$F,6,0)</f>
        <v>0</v>
      </c>
    </row>
    <row r="236" spans="1:24" ht="15" customHeight="1">
      <c r="A236" s="1332" t="s">
        <v>1148</v>
      </c>
      <c r="B236" s="1332" t="s">
        <v>2226</v>
      </c>
      <c r="C236" s="1334">
        <v>395231.94</v>
      </c>
      <c r="D236" s="1334">
        <v>236605.47</v>
      </c>
      <c r="E236" s="1334">
        <v>631837.41</v>
      </c>
      <c r="F236" s="1332" t="s">
        <v>1110</v>
      </c>
      <c r="G236" s="1332" t="s">
        <v>1102</v>
      </c>
      <c r="H236" s="1332" t="s">
        <v>3942</v>
      </c>
      <c r="I236" s="652"/>
      <c r="J236" s="652"/>
      <c r="K236" s="652"/>
      <c r="L236" s="653" t="str">
        <f t="shared" si="171"/>
        <v>5763</v>
      </c>
      <c r="M236" s="654" t="str">
        <f t="shared" si="172"/>
        <v>C/V - P&amp;A VW COMPTOIR GROS - ECHANGE</v>
      </c>
      <c r="N236" s="655">
        <f>+IF(OR($Q236=Parametres!$G$2,$Q236=Parametres!$G$3),I236,C236)</f>
        <v>395231.94</v>
      </c>
      <c r="O236" s="655">
        <f>+IF(OR($Q236=Parametres!$G$2,$Q236=Parametres!$G$3),J236,D236)</f>
        <v>236605.47</v>
      </c>
      <c r="P236" s="655">
        <f>+IF(OR($Q236=Parametres!$G$2,$Q236=Parametres!$G$3),K236,E236)</f>
        <v>631837.41</v>
      </c>
      <c r="Q236" s="654" t="str">
        <f t="shared" si="173"/>
        <v>6-Coût des ventes</v>
      </c>
      <c r="R236" s="653" t="str">
        <f t="shared" si="174"/>
        <v>4763</v>
      </c>
      <c r="S236" s="654" t="str">
        <f t="shared" si="175"/>
        <v>_</v>
      </c>
      <c r="T236" s="656" t="str">
        <f>+VLOOKUP($L236,Data_Validation!$A:$D,1,0)</f>
        <v>5763</v>
      </c>
      <c r="U236" s="656" t="str">
        <f>+VLOOKUP($L236,Data_Validation!$A:$D,3,0)</f>
        <v>Pièces</v>
      </c>
      <c r="V236" s="656" t="str">
        <f>+VLOOKUP($L236,Data_Validation!$A:$D,4,0)</f>
        <v>Ventes de Gros</v>
      </c>
      <c r="W236" s="656" t="str">
        <f>+VLOOKUP($L236,Data_Validation!$A:$E,5,0)</f>
        <v>$</v>
      </c>
      <c r="X236" s="656">
        <f>+VLOOKUP($L236,Data_Validation!$A:$F,6,0)</f>
        <v>0</v>
      </c>
    </row>
    <row r="237" spans="1:24" ht="15" customHeight="1">
      <c r="A237" s="1332" t="s">
        <v>3682</v>
      </c>
      <c r="B237" s="1332" t="s">
        <v>3683</v>
      </c>
      <c r="C237" s="1334">
        <v>11732.49</v>
      </c>
      <c r="D237" s="1334">
        <v>725.15</v>
      </c>
      <c r="E237" s="1334">
        <v>12457.64</v>
      </c>
      <c r="F237" s="1332" t="s">
        <v>1110</v>
      </c>
      <c r="G237" s="1332" t="s">
        <v>3684</v>
      </c>
      <c r="H237" s="1332" t="s">
        <v>3942</v>
      </c>
      <c r="I237" s="670"/>
      <c r="J237" s="651"/>
      <c r="K237" s="670"/>
      <c r="L237" s="653" t="str">
        <f t="shared" si="171"/>
        <v>5773</v>
      </c>
      <c r="M237" s="654" t="str">
        <f t="shared" si="172"/>
        <v>C/V - P&amp;A - COMPTOIR - ENGROS - AUDI</v>
      </c>
      <c r="N237" s="655">
        <f>+IF(OR($Q237=Parametres!$G$2,$Q237=Parametres!$G$3),I237,C237)</f>
        <v>11732.49</v>
      </c>
      <c r="O237" s="659">
        <f>+IF(OR($Q237=Parametres!$G$2,$Q237=Parametres!$G$3),J237,D237)</f>
        <v>725.15</v>
      </c>
      <c r="P237" s="655">
        <f>+IF(OR($Q237=Parametres!$G$2,$Q237=Parametres!$G$3),K237,E237)</f>
        <v>12457.64</v>
      </c>
      <c r="Q237" s="654" t="str">
        <f t="shared" si="173"/>
        <v>6-Coût des ventes</v>
      </c>
      <c r="R237" s="653" t="str">
        <f t="shared" si="174"/>
        <v>4773</v>
      </c>
      <c r="S237" s="654" t="str">
        <f t="shared" si="175"/>
        <v>_</v>
      </c>
      <c r="T237" s="656" t="str">
        <f>+VLOOKUP($L237,Data_Validation!$A:$D,1,0)</f>
        <v>5773</v>
      </c>
      <c r="U237" s="656" t="str">
        <f>+VLOOKUP($L237,Data_Validation!$A:$D,3,0)</f>
        <v>Pièces</v>
      </c>
      <c r="V237" s="656" t="str">
        <f>+VLOOKUP($L237,Data_Validation!$A:$D,4,0)</f>
        <v>Ventes de Gros</v>
      </c>
      <c r="W237" s="656" t="str">
        <f>+VLOOKUP($L237,Data_Validation!$A:$E,5,0)</f>
        <v>$</v>
      </c>
      <c r="X237" s="656">
        <f>+VLOOKUP($L237,Data_Validation!$A:$F,6,0)</f>
        <v>0</v>
      </c>
    </row>
    <row r="238" spans="1:24" ht="15.75" customHeight="1">
      <c r="A238" s="1332" t="s">
        <v>1149</v>
      </c>
      <c r="B238" s="1332" t="s">
        <v>2229</v>
      </c>
      <c r="C238" s="1334">
        <v>100689.9</v>
      </c>
      <c r="D238" s="1334">
        <v>32722.02</v>
      </c>
      <c r="E238" s="1334">
        <v>133411.92000000001</v>
      </c>
      <c r="F238" s="1332" t="s">
        <v>1110</v>
      </c>
      <c r="G238" s="1332" t="s">
        <v>1106</v>
      </c>
      <c r="H238" s="1332" t="s">
        <v>3942</v>
      </c>
      <c r="I238" s="670"/>
      <c r="J238" s="670"/>
      <c r="K238" s="670"/>
      <c r="L238" s="653" t="str">
        <f t="shared" si="171"/>
        <v>5781</v>
      </c>
      <c r="M238" s="654" t="str">
        <f t="shared" si="172"/>
        <v>COUT PNEUS</v>
      </c>
      <c r="N238" s="655">
        <f>+IF(OR($Q238=Parametres!$G$2,$Q238=Parametres!$G$3),I238,C238)</f>
        <v>100689.9</v>
      </c>
      <c r="O238" s="659">
        <f>+IF(OR($Q238=Parametres!$G$2,$Q238=Parametres!$G$3),J238,D238)</f>
        <v>32722.02</v>
      </c>
      <c r="P238" s="655">
        <f>+IF(OR($Q238=Parametres!$G$2,$Q238=Parametres!$G$3),K238,E238)</f>
        <v>133411.92000000001</v>
      </c>
      <c r="Q238" s="654" t="str">
        <f t="shared" si="173"/>
        <v>6-Coût des ventes</v>
      </c>
      <c r="R238" s="653" t="str">
        <f t="shared" si="174"/>
        <v>4781</v>
      </c>
      <c r="S238" s="654" t="str">
        <f t="shared" si="175"/>
        <v>_</v>
      </c>
      <c r="T238" s="656" t="str">
        <f>+VLOOKUP($L238,Data_Validation!$A:$D,1,0)</f>
        <v>5781</v>
      </c>
      <c r="U238" s="656" t="str">
        <f>+VLOOKUP($L238,Data_Validation!$A:$D,3,0)</f>
        <v>Pièces</v>
      </c>
      <c r="V238" s="656" t="str">
        <f>+VLOOKUP($L238,Data_Validation!$A:$D,4,0)</f>
        <v>Ventes Pneus</v>
      </c>
      <c r="W238" s="656" t="str">
        <f>+VLOOKUP($L238,Data_Validation!$A:$E,5,0)</f>
        <v>$</v>
      </c>
      <c r="X238" s="656">
        <f>+VLOOKUP($L238,Data_Validation!$A:$F,6,0)</f>
        <v>0</v>
      </c>
    </row>
    <row r="239" spans="1:24" ht="15" customHeight="1">
      <c r="A239" s="1332" t="s">
        <v>1150</v>
      </c>
      <c r="B239" s="1332" t="s">
        <v>2232</v>
      </c>
      <c r="C239" s="1334">
        <v>-625.28</v>
      </c>
      <c r="D239" s="1334">
        <v>0</v>
      </c>
      <c r="E239" s="1334">
        <v>-625.28</v>
      </c>
      <c r="F239" s="1332" t="s">
        <v>1110</v>
      </c>
      <c r="G239" s="1332" t="s">
        <v>1106</v>
      </c>
      <c r="H239" s="1332" t="s">
        <v>3942</v>
      </c>
      <c r="I239" s="652"/>
      <c r="J239" s="652"/>
      <c r="K239" s="652"/>
      <c r="L239" s="653" t="str">
        <f t="shared" si="171"/>
        <v>5785</v>
      </c>
      <c r="M239" s="654" t="str">
        <f t="shared" si="172"/>
        <v>C/V - VW PNEUS</v>
      </c>
      <c r="N239" s="655">
        <f>+IF(OR($Q239=Parametres!$G$2,$Q239=Parametres!$G$3),I239,C239)</f>
        <v>-625.28</v>
      </c>
      <c r="O239" s="655">
        <f>+IF(OR($Q239=Parametres!$G$2,$Q239=Parametres!$G$3),J239,D239)</f>
        <v>0</v>
      </c>
      <c r="P239" s="655">
        <f>+IF(OR($Q239=Parametres!$G$2,$Q239=Parametres!$G$3),K239,E239)</f>
        <v>-625.28</v>
      </c>
      <c r="Q239" s="654" t="str">
        <f t="shared" si="173"/>
        <v>6-Coût des ventes</v>
      </c>
      <c r="R239" s="653" t="str">
        <f t="shared" si="174"/>
        <v>4781</v>
      </c>
      <c r="S239" s="654" t="str">
        <f t="shared" si="175"/>
        <v>_</v>
      </c>
      <c r="T239" s="656" t="str">
        <f>+VLOOKUP($L239,Data_Validation!$A:$D,1,0)</f>
        <v>5785</v>
      </c>
      <c r="U239" s="656" t="str">
        <f>+VLOOKUP($L239,Data_Validation!$A:$D,3,0)</f>
        <v>Pièces</v>
      </c>
      <c r="V239" s="656" t="str">
        <f>+VLOOKUP($L239,Data_Validation!$A:$D,4,0)</f>
        <v>Ventes Pneus</v>
      </c>
      <c r="W239" s="656" t="str">
        <f>+VLOOKUP($L239,Data_Validation!$A:$E,5,0)</f>
        <v>$</v>
      </c>
      <c r="X239" s="656">
        <f>+VLOOKUP($L239,Data_Validation!$A:$F,6,0)</f>
        <v>0</v>
      </c>
    </row>
    <row r="240" spans="1:24" ht="15" customHeight="1">
      <c r="A240" s="1332" t="s">
        <v>1151</v>
      </c>
      <c r="B240" s="1332" t="s">
        <v>2237</v>
      </c>
      <c r="C240" s="1334">
        <v>5772.07</v>
      </c>
      <c r="D240" s="1334">
        <v>-25227.09</v>
      </c>
      <c r="E240" s="1334">
        <v>-19455.02</v>
      </c>
      <c r="F240" s="1332" t="s">
        <v>1110</v>
      </c>
      <c r="G240" s="1332" t="s">
        <v>1152</v>
      </c>
      <c r="H240" s="1332" t="s">
        <v>3942</v>
      </c>
      <c r="I240" s="667"/>
      <c r="J240" s="667"/>
      <c r="K240" s="667"/>
      <c r="L240" s="653" t="str">
        <f t="shared" si="171"/>
        <v>5796</v>
      </c>
      <c r="M240" s="654" t="str">
        <f t="shared" si="172"/>
        <v>C/V - BONI / ESCPTE PI VW</v>
      </c>
      <c r="N240" s="655">
        <f>+IF(OR($Q240=Parametres!$G$2,$Q240=Parametres!$G$3),I240,C240)</f>
        <v>5772.07</v>
      </c>
      <c r="O240" s="655">
        <f>+IF(OR($Q240=Parametres!$G$2,$Q240=Parametres!$G$3),J240,D240)</f>
        <v>-25227.09</v>
      </c>
      <c r="P240" s="655">
        <f>+IF(OR($Q240=Parametres!$G$2,$Q240=Parametres!$G$3),K240,E240)</f>
        <v>-19455.02</v>
      </c>
      <c r="Q240" s="654" t="str">
        <f t="shared" si="173"/>
        <v>6-Coût des ventes</v>
      </c>
      <c r="R240" s="653" t="str">
        <f t="shared" si="174"/>
        <v>5792</v>
      </c>
      <c r="S240" s="654" t="str">
        <f t="shared" si="175"/>
        <v>_</v>
      </c>
      <c r="T240" s="656" t="str">
        <f>+VLOOKUP($L240,Data_Validation!$A:$D,1,0)</f>
        <v>5796</v>
      </c>
      <c r="U240" s="656" t="str">
        <f>+VLOOKUP($L240,Data_Validation!$A:$D,3,0)</f>
        <v>Pièces</v>
      </c>
      <c r="V240" s="656" t="str">
        <f>+VLOOKUP($L240,Data_Validation!$A:$D,4,0)</f>
        <v>Escomptes</v>
      </c>
      <c r="W240" s="656" t="str">
        <f>+VLOOKUP($L240,Data_Validation!$A:$E,5,0)</f>
        <v>$</v>
      </c>
      <c r="X240" s="656">
        <f>+VLOOKUP($L240,Data_Validation!$A:$F,6,0)</f>
        <v>0</v>
      </c>
    </row>
    <row r="241" spans="1:24" ht="15" customHeight="1">
      <c r="A241" s="1332" t="s">
        <v>1153</v>
      </c>
      <c r="B241" s="1332" t="s">
        <v>1155</v>
      </c>
      <c r="C241" s="1334">
        <v>73393.919999999998</v>
      </c>
      <c r="D241" s="1334">
        <v>40277.06</v>
      </c>
      <c r="E241" s="1334">
        <v>113670.98</v>
      </c>
      <c r="F241" s="1332" t="s">
        <v>1154</v>
      </c>
      <c r="G241" s="1332" t="s">
        <v>1155</v>
      </c>
      <c r="H241" s="1332" t="s">
        <v>3942</v>
      </c>
      <c r="I241" s="666"/>
      <c r="J241" s="666"/>
      <c r="K241" s="666"/>
      <c r="L241" s="653" t="str">
        <f t="shared" si="171"/>
        <v>6101</v>
      </c>
      <c r="M241" s="654" t="str">
        <f t="shared" si="172"/>
        <v>COMMISSION VENDEUR NEUFS</v>
      </c>
      <c r="N241" s="655">
        <f>+IF(OR($Q241=Parametres!$G$2,$Q241=Parametres!$G$3),I241,C241)</f>
        <v>73393.919999999998</v>
      </c>
      <c r="O241" s="655">
        <f>+IF(OR($Q241=Parametres!$G$2,$Q241=Parametres!$G$3),J241,D241)</f>
        <v>40277.06</v>
      </c>
      <c r="P241" s="655">
        <f>+IF(OR($Q241=Parametres!$G$2,$Q241=Parametres!$G$3),K241,E241)</f>
        <v>113670.98</v>
      </c>
      <c r="Q241" s="654" t="str">
        <f t="shared" si="173"/>
        <v>7-Dépenses</v>
      </c>
      <c r="R241" s="653" t="str">
        <f t="shared" si="174"/>
        <v>6101</v>
      </c>
      <c r="S241" s="654" t="str">
        <f t="shared" si="175"/>
        <v>_</v>
      </c>
      <c r="T241" s="656" t="str">
        <f>+VLOOKUP($L241,Data_Validation!$A:$D,1,0)</f>
        <v>6101</v>
      </c>
      <c r="U241" s="656" t="str">
        <f>+VLOOKUP($L241,Data_Validation!$A:$D,3,0)</f>
        <v>Véhicules neufs</v>
      </c>
      <c r="V241" s="656" t="str">
        <f>+VLOOKUP($L241,Data_Validation!$A:$D,4,0)</f>
        <v>Comm. vendeurs</v>
      </c>
      <c r="W241" s="656" t="str">
        <f>+VLOOKUP($L241,Data_Validation!$A:$E,5,0)</f>
        <v>$</v>
      </c>
      <c r="X241" s="656">
        <f>+VLOOKUP($L241,Data_Validation!$A:$F,6,0)</f>
        <v>0</v>
      </c>
    </row>
    <row r="242" spans="1:24" ht="15" customHeight="1">
      <c r="A242" s="1332" t="s">
        <v>1156</v>
      </c>
      <c r="B242" s="1332" t="s">
        <v>1157</v>
      </c>
      <c r="C242" s="1334">
        <v>19386.45</v>
      </c>
      <c r="D242" s="1334">
        <v>11178.89</v>
      </c>
      <c r="E242" s="1334">
        <v>30565.34</v>
      </c>
      <c r="F242" s="1332" t="s">
        <v>1154</v>
      </c>
      <c r="G242" s="1332" t="s">
        <v>1157</v>
      </c>
      <c r="H242" s="1332" t="s">
        <v>3942</v>
      </c>
      <c r="I242" s="666"/>
      <c r="J242" s="666"/>
      <c r="K242" s="666"/>
      <c r="L242" s="653" t="str">
        <f t="shared" si="171"/>
        <v>6102</v>
      </c>
      <c r="M242" s="654" t="str">
        <f t="shared" si="172"/>
        <v>RENUMERATION F &amp; I</v>
      </c>
      <c r="N242" s="655">
        <f>+IF(OR($Q242=Parametres!$G$2,$Q242=Parametres!$G$3),I242,C242)</f>
        <v>19386.45</v>
      </c>
      <c r="O242" s="655">
        <f>+IF(OR($Q242=Parametres!$G$2,$Q242=Parametres!$G$3),J242,D242)</f>
        <v>11178.89</v>
      </c>
      <c r="P242" s="655">
        <f>+IF(OR($Q242=Parametres!$G$2,$Q242=Parametres!$G$3),K242,E242)</f>
        <v>30565.34</v>
      </c>
      <c r="Q242" s="654" t="str">
        <f t="shared" si="173"/>
        <v>7-Dépenses</v>
      </c>
      <c r="R242" s="653" t="str">
        <f t="shared" si="174"/>
        <v>6102</v>
      </c>
      <c r="S242" s="654" t="str">
        <f t="shared" si="175"/>
        <v>_</v>
      </c>
      <c r="T242" s="656" t="str">
        <f>+VLOOKUP($L242,Data_Validation!$A:$D,1,0)</f>
        <v>6102</v>
      </c>
      <c r="U242" s="656" t="str">
        <f>+VLOOKUP($L242,Data_Validation!$A:$D,3,0)</f>
        <v>Véhicules neufs</v>
      </c>
      <c r="V242" s="656" t="str">
        <f>+VLOOKUP($L242,Data_Validation!$A:$D,4,0)</f>
        <v>Comm. F&amp;I</v>
      </c>
      <c r="W242" s="656" t="str">
        <f>+VLOOKUP($L242,Data_Validation!$A:$E,5,0)</f>
        <v>$</v>
      </c>
      <c r="X242" s="656">
        <f>+VLOOKUP($L242,Data_Validation!$A:$F,6,0)</f>
        <v>0</v>
      </c>
    </row>
    <row r="243" spans="1:24" ht="15.75" customHeight="1">
      <c r="A243" s="1332" t="s">
        <v>1160</v>
      </c>
      <c r="B243" s="1332" t="s">
        <v>1161</v>
      </c>
      <c r="C243" s="1334">
        <v>12754.82</v>
      </c>
      <c r="D243" s="1334">
        <v>7768.53</v>
      </c>
      <c r="E243" s="1334">
        <v>20523.349999999999</v>
      </c>
      <c r="F243" s="1332" t="s">
        <v>1154</v>
      </c>
      <c r="G243" s="1332" t="s">
        <v>1161</v>
      </c>
      <c r="H243" s="1332" t="s">
        <v>3942</v>
      </c>
      <c r="I243" s="667"/>
      <c r="J243" s="667"/>
      <c r="K243" s="667"/>
      <c r="L243" s="653" t="str">
        <f t="shared" si="171"/>
        <v>6106</v>
      </c>
      <c r="M243" s="654" t="str">
        <f t="shared" si="172"/>
        <v>ENTRETIEN DES STOCKS</v>
      </c>
      <c r="N243" s="655">
        <f>+IF(OR($Q243=Parametres!$G$2,$Q243=Parametres!$G$3),I243,C243)</f>
        <v>12754.82</v>
      </c>
      <c r="O243" s="659">
        <f>+IF(OR($Q243=Parametres!$G$2,$Q243=Parametres!$G$3),J243,D243)</f>
        <v>7768.53</v>
      </c>
      <c r="P243" s="655">
        <f>+IF(OR($Q243=Parametres!$G$2,$Q243=Parametres!$G$3),K243,E243)</f>
        <v>20523.349999999999</v>
      </c>
      <c r="Q243" s="654" t="str">
        <f t="shared" si="173"/>
        <v>7-Dépenses</v>
      </c>
      <c r="R243" s="653" t="str">
        <f t="shared" si="174"/>
        <v>6106</v>
      </c>
      <c r="S243" s="654" t="str">
        <f t="shared" si="175"/>
        <v>_</v>
      </c>
      <c r="T243" s="656" t="str">
        <f>+VLOOKUP($L243,Data_Validation!$A:$D,1,0)</f>
        <v>6106</v>
      </c>
      <c r="U243" s="656" t="str">
        <f>+VLOOKUP($L243,Data_Validation!$A:$D,3,0)</f>
        <v>Véhicules neufs</v>
      </c>
      <c r="V243" s="656" t="str">
        <f>+VLOOKUP($L243,Data_Validation!$A:$D,4,0)</f>
        <v>Entretien stock</v>
      </c>
      <c r="W243" s="656" t="str">
        <f>+VLOOKUP($L243,Data_Validation!$A:$E,5,0)</f>
        <v>$</v>
      </c>
      <c r="X243" s="656">
        <f>+VLOOKUP($L243,Data_Validation!$A:$F,6,0)</f>
        <v>0</v>
      </c>
    </row>
    <row r="244" spans="1:24" ht="15" customHeight="1">
      <c r="A244" s="1332" t="s">
        <v>1162</v>
      </c>
      <c r="B244" s="1332" t="s">
        <v>1163</v>
      </c>
      <c r="C244" s="1334">
        <v>48860.18</v>
      </c>
      <c r="D244" s="1334">
        <v>28000.83</v>
      </c>
      <c r="E244" s="1334">
        <v>76861.009999999995</v>
      </c>
      <c r="F244" s="1332" t="s">
        <v>1154</v>
      </c>
      <c r="G244" s="1332" t="s">
        <v>1163</v>
      </c>
      <c r="H244" s="1332" t="s">
        <v>3942</v>
      </c>
      <c r="I244" s="666"/>
      <c r="J244" s="666"/>
      <c r="K244" s="666"/>
      <c r="L244" s="653" t="str">
        <f t="shared" ref="L244:L307" si="176">TEXT(B244,0)</f>
        <v>6107</v>
      </c>
      <c r="M244" s="654" t="str">
        <f t="shared" ref="M244:M307" si="177">+A244</f>
        <v>INTERET-PLAN DE FINANCEMENT</v>
      </c>
      <c r="N244" s="655">
        <f>+IF(OR($Q244=Parametres!$G$2,$Q244=Parametres!$G$3),I244,C244)</f>
        <v>48860.18</v>
      </c>
      <c r="O244" s="655">
        <f>+IF(OR($Q244=Parametres!$G$2,$Q244=Parametres!$G$3),J244,D244)</f>
        <v>28000.83</v>
      </c>
      <c r="P244" s="655">
        <f>+IF(OR($Q244=Parametres!$G$2,$Q244=Parametres!$G$3),K244,E244)</f>
        <v>76861.009999999995</v>
      </c>
      <c r="Q244" s="654" t="str">
        <f t="shared" ref="Q244:Q307" si="178">+F244</f>
        <v>7-Dépenses</v>
      </c>
      <c r="R244" s="653" t="str">
        <f t="shared" ref="R244:R307" si="179">+G244</f>
        <v>6107</v>
      </c>
      <c r="S244" s="654" t="str">
        <f t="shared" ref="S244:S307" si="180">+H244</f>
        <v>_</v>
      </c>
      <c r="T244" s="671" t="str">
        <f>+VLOOKUP($L244,Data_Validation!$A:$D,1,0)</f>
        <v>6107</v>
      </c>
      <c r="U244" s="656" t="str">
        <f>+VLOOKUP($L244,Data_Validation!$A:$D,3,0)</f>
        <v>Véhicules neufs</v>
      </c>
      <c r="V244" s="656" t="str">
        <f>+VLOOKUP($L244,Data_Validation!$A:$D,4,0)</f>
        <v>Intérêt de gros</v>
      </c>
      <c r="W244" s="656" t="str">
        <f>+VLOOKUP($L244,Data_Validation!$A:$E,5,0)</f>
        <v>$</v>
      </c>
      <c r="X244" s="656">
        <f>+VLOOKUP($L244,Data_Validation!$A:$F,6,0)</f>
        <v>0</v>
      </c>
    </row>
    <row r="245" spans="1:24" ht="15" customHeight="1">
      <c r="A245" s="1332" t="s">
        <v>1164</v>
      </c>
      <c r="B245" s="1332" t="s">
        <v>1165</v>
      </c>
      <c r="C245" s="1334">
        <v>6244.92</v>
      </c>
      <c r="D245" s="1334">
        <v>7912.15</v>
      </c>
      <c r="E245" s="1334">
        <v>14157.07</v>
      </c>
      <c r="F245" s="1332" t="s">
        <v>1154</v>
      </c>
      <c r="G245" s="1332" t="s">
        <v>1165</v>
      </c>
      <c r="H245" s="1332" t="s">
        <v>3942</v>
      </c>
      <c r="I245" s="667"/>
      <c r="J245" s="667"/>
      <c r="K245" s="667"/>
      <c r="L245" s="653" t="str">
        <f t="shared" si="176"/>
        <v>6108</v>
      </c>
      <c r="M245" s="654" t="str">
        <f t="shared" si="177"/>
        <v>FRAIS DE LIVRAISON</v>
      </c>
      <c r="N245" s="655">
        <f>+IF(OR($Q245=Parametres!$G$2,$Q245=Parametres!$G$3),I245,C245)</f>
        <v>6244.92</v>
      </c>
      <c r="O245" s="655">
        <f>+IF(OR($Q245=Parametres!$G$2,$Q245=Parametres!$G$3),J245,D245)</f>
        <v>7912.15</v>
      </c>
      <c r="P245" s="655">
        <f>+IF(OR($Q245=Parametres!$G$2,$Q245=Parametres!$G$3),K245,E245)</f>
        <v>14157.07</v>
      </c>
      <c r="Q245" s="654" t="str">
        <f t="shared" si="178"/>
        <v>7-Dépenses</v>
      </c>
      <c r="R245" s="653" t="str">
        <f t="shared" si="179"/>
        <v>6108</v>
      </c>
      <c r="S245" s="654" t="str">
        <f t="shared" si="180"/>
        <v>_</v>
      </c>
      <c r="T245" s="656" t="str">
        <f>+VLOOKUP($L245,Data_Validation!$A:$D,1,0)</f>
        <v>6108</v>
      </c>
      <c r="U245" s="656" t="str">
        <f>+VLOOKUP($L245,Data_Validation!$A:$D,3,0)</f>
        <v>Véhicules neufs</v>
      </c>
      <c r="V245" s="656" t="str">
        <f>+VLOOKUP($L245,Data_Validation!$A:$D,4,0)</f>
        <v>Frais de livraison</v>
      </c>
      <c r="W245" s="656" t="str">
        <f>+VLOOKUP($L245,Data_Validation!$A:$E,5,0)</f>
        <v>$</v>
      </c>
      <c r="X245" s="656">
        <f>+VLOOKUP($L245,Data_Validation!$A:$F,6,0)</f>
        <v>0</v>
      </c>
    </row>
    <row r="246" spans="1:24" ht="15" customHeight="1">
      <c r="A246" s="1332" t="s">
        <v>1166</v>
      </c>
      <c r="B246" s="1332" t="s">
        <v>1167</v>
      </c>
      <c r="C246" s="1334">
        <v>20895.66</v>
      </c>
      <c r="D246" s="1334">
        <v>9116.66</v>
      </c>
      <c r="E246" s="1334">
        <v>30012.32</v>
      </c>
      <c r="F246" s="1332" t="s">
        <v>1154</v>
      </c>
      <c r="G246" s="1332" t="s">
        <v>1167</v>
      </c>
      <c r="H246" s="1332" t="s">
        <v>3942</v>
      </c>
      <c r="I246" s="666"/>
      <c r="J246" s="666"/>
      <c r="K246" s="666"/>
      <c r="L246" s="653" t="str">
        <f t="shared" si="176"/>
        <v>6114</v>
      </c>
      <c r="M246" s="654" t="str">
        <f t="shared" si="177"/>
        <v>PUBLICITE</v>
      </c>
      <c r="N246" s="655">
        <f>+IF(OR($Q246=Parametres!$G$2,$Q246=Parametres!$G$3),I246,C246)</f>
        <v>20895.66</v>
      </c>
      <c r="O246" s="655">
        <f>+IF(OR($Q246=Parametres!$G$2,$Q246=Parametres!$G$3),J246,D246)</f>
        <v>9116.66</v>
      </c>
      <c r="P246" s="655">
        <f>+IF(OR($Q246=Parametres!$G$2,$Q246=Parametres!$G$3),K246,E246)</f>
        <v>30012.32</v>
      </c>
      <c r="Q246" s="654" t="str">
        <f t="shared" si="178"/>
        <v>7-Dépenses</v>
      </c>
      <c r="R246" s="653" t="str">
        <f t="shared" si="179"/>
        <v>6114</v>
      </c>
      <c r="S246" s="654" t="str">
        <f t="shared" si="180"/>
        <v>_</v>
      </c>
      <c r="T246" s="656" t="str">
        <f>+VLOOKUP($L246,Data_Validation!$A:$D,1,0)</f>
        <v>6114</v>
      </c>
      <c r="U246" s="656" t="str">
        <f>+VLOOKUP($L246,Data_Validation!$A:$D,3,0)</f>
        <v>Véhicules neufs</v>
      </c>
      <c r="V246" s="656" t="str">
        <f>+VLOOKUP($L246,Data_Validation!$A:$D,4,0)</f>
        <v>Publicité 1</v>
      </c>
      <c r="W246" s="656" t="str">
        <f>+VLOOKUP($L246,Data_Validation!$A:$E,5,0)</f>
        <v>$</v>
      </c>
      <c r="X246" s="656">
        <f>+VLOOKUP($L246,Data_Validation!$A:$F,6,0)</f>
        <v>0</v>
      </c>
    </row>
    <row r="247" spans="1:24" ht="15.75" customHeight="1">
      <c r="A247" s="1332" t="s">
        <v>1168</v>
      </c>
      <c r="B247" s="1332" t="s">
        <v>2257</v>
      </c>
      <c r="C247" s="1334">
        <v>-14400</v>
      </c>
      <c r="D247" s="1334">
        <v>-12000</v>
      </c>
      <c r="E247" s="1334">
        <v>-26400</v>
      </c>
      <c r="F247" s="1332" t="s">
        <v>1154</v>
      </c>
      <c r="G247" s="1332" t="s">
        <v>1167</v>
      </c>
      <c r="H247" s="1332" t="s">
        <v>3942</v>
      </c>
      <c r="I247" s="667"/>
      <c r="J247" s="667"/>
      <c r="K247" s="667"/>
      <c r="L247" s="653" t="str">
        <f t="shared" si="176"/>
        <v>6115</v>
      </c>
      <c r="M247" s="654" t="str">
        <f t="shared" si="177"/>
        <v>CREDIT PUBLICITE NEUF</v>
      </c>
      <c r="N247" s="655">
        <f>+IF(OR($Q247=Parametres!$G$2,$Q247=Parametres!$G$3),I247,C247)</f>
        <v>-14400</v>
      </c>
      <c r="O247" s="655">
        <f>+IF(OR($Q247=Parametres!$G$2,$Q247=Parametres!$G$3),J247,D247)</f>
        <v>-12000</v>
      </c>
      <c r="P247" s="655">
        <f>+IF(OR($Q247=Parametres!$G$2,$Q247=Parametres!$G$3),K247,E247)</f>
        <v>-26400</v>
      </c>
      <c r="Q247" s="654" t="str">
        <f t="shared" si="178"/>
        <v>7-Dépenses</v>
      </c>
      <c r="R247" s="653" t="str">
        <f t="shared" si="179"/>
        <v>6114</v>
      </c>
      <c r="S247" s="654" t="str">
        <f t="shared" si="180"/>
        <v>_</v>
      </c>
      <c r="T247" s="656" t="str">
        <f>+VLOOKUP($L247,Data_Validation!$A:$D,1,0)</f>
        <v>6115</v>
      </c>
      <c r="U247" s="656" t="str">
        <f>+VLOOKUP($L247,Data_Validation!$A:$D,3,0)</f>
        <v>Véhicules neufs</v>
      </c>
      <c r="V247" s="656" t="str">
        <f>+VLOOKUP($L247,Data_Validation!$A:$D,4,0)</f>
        <v>Publicité 1</v>
      </c>
      <c r="W247" s="656" t="str">
        <f>+VLOOKUP($L247,Data_Validation!$A:$E,5,0)</f>
        <v>$</v>
      </c>
      <c r="X247" s="656">
        <f>+VLOOKUP($L247,Data_Validation!$A:$F,6,0)</f>
        <v>0</v>
      </c>
    </row>
    <row r="248" spans="1:24" ht="15" customHeight="1">
      <c r="A248" s="1332" t="s">
        <v>3959</v>
      </c>
      <c r="B248" s="1332" t="s">
        <v>1170</v>
      </c>
      <c r="C248" s="1334">
        <v>11755.57</v>
      </c>
      <c r="D248" s="1334">
        <v>4221.8</v>
      </c>
      <c r="E248" s="1334">
        <v>15977.37</v>
      </c>
      <c r="F248" s="1332" t="s">
        <v>1154</v>
      </c>
      <c r="G248" s="1332" t="s">
        <v>1170</v>
      </c>
      <c r="H248" s="1332" t="s">
        <v>3942</v>
      </c>
      <c r="I248" s="666"/>
      <c r="J248" s="666"/>
      <c r="K248" s="666"/>
      <c r="L248" s="653" t="str">
        <f t="shared" si="176"/>
        <v>6121</v>
      </c>
      <c r="M248" s="654" t="str">
        <f t="shared" si="177"/>
        <v>SALAIRES - DIRECTION GENERALE</v>
      </c>
      <c r="N248" s="655">
        <f>+IF(OR($Q248=Parametres!$G$2,$Q248=Parametres!$G$3),I248,C248)</f>
        <v>11755.57</v>
      </c>
      <c r="O248" s="655">
        <f>+IF(OR($Q248=Parametres!$G$2,$Q248=Parametres!$G$3),J248,D248)</f>
        <v>4221.8</v>
      </c>
      <c r="P248" s="655">
        <f>+IF(OR($Q248=Parametres!$G$2,$Q248=Parametres!$G$3),K248,E248)</f>
        <v>15977.37</v>
      </c>
      <c r="Q248" s="654" t="str">
        <f t="shared" si="178"/>
        <v>7-Dépenses</v>
      </c>
      <c r="R248" s="653" t="str">
        <f t="shared" si="179"/>
        <v>6121</v>
      </c>
      <c r="S248" s="654" t="str">
        <f t="shared" si="180"/>
        <v>_</v>
      </c>
      <c r="T248" s="656" t="str">
        <f>+VLOOKUP($L248,Data_Validation!$A:$D,1,0)</f>
        <v>6121</v>
      </c>
      <c r="U248" s="656" t="str">
        <f>+VLOOKUP($L248,Data_Validation!$A:$D,3,0)</f>
        <v>Véhicules neufs</v>
      </c>
      <c r="V248" s="656" t="str">
        <f>+VLOOKUP($L248,Data_Validation!$A:$D,4,0)</f>
        <v>Salaires propriétaire</v>
      </c>
      <c r="W248" s="656" t="str">
        <f>+VLOOKUP($L248,Data_Validation!$A:$E,5,0)</f>
        <v>$</v>
      </c>
      <c r="X248" s="656">
        <f>+VLOOKUP($L248,Data_Validation!$A:$F,6,0)</f>
        <v>0</v>
      </c>
    </row>
    <row r="249" spans="1:24" ht="15" customHeight="1">
      <c r="A249" s="1332" t="s">
        <v>1171</v>
      </c>
      <c r="B249" s="1332" t="s">
        <v>1172</v>
      </c>
      <c r="C249" s="1334">
        <v>28112.77</v>
      </c>
      <c r="D249" s="1334">
        <v>8276.74</v>
      </c>
      <c r="E249" s="1334">
        <v>36389.51</v>
      </c>
      <c r="F249" s="1332" t="s">
        <v>1154</v>
      </c>
      <c r="G249" s="1332" t="s">
        <v>1172</v>
      </c>
      <c r="H249" s="1332" t="s">
        <v>3942</v>
      </c>
      <c r="I249" s="667"/>
      <c r="J249" s="667"/>
      <c r="K249" s="667"/>
      <c r="L249" s="653" t="str">
        <f t="shared" si="176"/>
        <v>6122</v>
      </c>
      <c r="M249" s="654" t="str">
        <f t="shared" si="177"/>
        <v>SAL SUPERVISION / GERANT</v>
      </c>
      <c r="N249" s="655">
        <f>+IF(OR($Q249=Parametres!$G$2,$Q249=Parametres!$G$3),I249,C249)</f>
        <v>28112.77</v>
      </c>
      <c r="O249" s="655">
        <f>+IF(OR($Q249=Parametres!$G$2,$Q249=Parametres!$G$3),J249,D249)</f>
        <v>8276.74</v>
      </c>
      <c r="P249" s="655">
        <f>+IF(OR($Q249=Parametres!$G$2,$Q249=Parametres!$G$3),K249,E249)</f>
        <v>36389.51</v>
      </c>
      <c r="Q249" s="654" t="str">
        <f t="shared" si="178"/>
        <v>7-Dépenses</v>
      </c>
      <c r="R249" s="653" t="str">
        <f t="shared" si="179"/>
        <v>6122</v>
      </c>
      <c r="S249" s="654" t="str">
        <f t="shared" si="180"/>
        <v>_</v>
      </c>
      <c r="T249" s="656" t="str">
        <f>+VLOOKUP($L249,Data_Validation!$A:$D,1,0)</f>
        <v>6122</v>
      </c>
      <c r="U249" s="656" t="str">
        <f>+VLOOKUP($L249,Data_Validation!$A:$D,3,0)</f>
        <v>Véhicules neufs</v>
      </c>
      <c r="V249" s="656" t="str">
        <f>+VLOOKUP($L249,Data_Validation!$A:$D,4,0)</f>
        <v>Salaires cadres</v>
      </c>
      <c r="W249" s="656" t="str">
        <f>+VLOOKUP($L249,Data_Validation!$A:$E,5,0)</f>
        <v>$</v>
      </c>
      <c r="X249" s="656">
        <f>+VLOOKUP($L249,Data_Validation!$A:$F,6,0)</f>
        <v>0</v>
      </c>
    </row>
    <row r="250" spans="1:24" ht="15" customHeight="1">
      <c r="A250" s="1332" t="s">
        <v>1173</v>
      </c>
      <c r="B250" s="1332" t="s">
        <v>1174</v>
      </c>
      <c r="C250" s="1334">
        <v>37496.14</v>
      </c>
      <c r="D250" s="1334">
        <v>12360.33</v>
      </c>
      <c r="E250" s="1334">
        <v>49856.47</v>
      </c>
      <c r="F250" s="1332" t="s">
        <v>1154</v>
      </c>
      <c r="G250" s="1332" t="s">
        <v>1174</v>
      </c>
      <c r="H250" s="1332" t="s">
        <v>3942</v>
      </c>
      <c r="I250" s="666"/>
      <c r="J250" s="666"/>
      <c r="K250" s="666"/>
      <c r="L250" s="653" t="str">
        <f t="shared" si="176"/>
        <v>6123</v>
      </c>
      <c r="M250" s="654" t="str">
        <f t="shared" si="177"/>
        <v>SAL. &amp; RENUM. - CLERICAL</v>
      </c>
      <c r="N250" s="655">
        <f>+IF(OR($Q250=Parametres!$G$2,$Q250=Parametres!$G$3),I250,C250)</f>
        <v>37496.14</v>
      </c>
      <c r="O250" s="655">
        <f>+IF(OR($Q250=Parametres!$G$2,$Q250=Parametres!$G$3),J250,D250)</f>
        <v>12360.33</v>
      </c>
      <c r="P250" s="655">
        <f>+IF(OR($Q250=Parametres!$G$2,$Q250=Parametres!$G$3),K250,E250)</f>
        <v>49856.47</v>
      </c>
      <c r="Q250" s="654" t="str">
        <f t="shared" si="178"/>
        <v>7-Dépenses</v>
      </c>
      <c r="R250" s="653" t="str">
        <f t="shared" si="179"/>
        <v>6123</v>
      </c>
      <c r="S250" s="654" t="str">
        <f t="shared" si="180"/>
        <v>_</v>
      </c>
      <c r="T250" s="656" t="str">
        <f>+VLOOKUP($L250,Data_Validation!$A:$D,1,0)</f>
        <v>6123</v>
      </c>
      <c r="U250" s="656" t="str">
        <f>+VLOOKUP($L250,Data_Validation!$A:$D,3,0)</f>
        <v>Véhicules neufs</v>
      </c>
      <c r="V250" s="656" t="str">
        <f>+VLOOKUP($L250,Data_Validation!$A:$D,4,0)</f>
        <v>Salaires commis</v>
      </c>
      <c r="W250" s="656" t="str">
        <f>+VLOOKUP($L250,Data_Validation!$A:$E,5,0)</f>
        <v>$</v>
      </c>
      <c r="X250" s="656">
        <f>+VLOOKUP($L250,Data_Validation!$A:$F,6,0)</f>
        <v>0</v>
      </c>
    </row>
    <row r="251" spans="1:24" ht="15" customHeight="1">
      <c r="A251" s="1332" t="s">
        <v>1175</v>
      </c>
      <c r="B251" s="1332" t="s">
        <v>1176</v>
      </c>
      <c r="C251" s="1334">
        <v>9432.69</v>
      </c>
      <c r="D251" s="1334">
        <v>7219.67</v>
      </c>
      <c r="E251" s="1334">
        <v>16652.36</v>
      </c>
      <c r="F251" s="1332" t="s">
        <v>1154</v>
      </c>
      <c r="G251" s="1332" t="s">
        <v>1176</v>
      </c>
      <c r="H251" s="1332" t="s">
        <v>3942</v>
      </c>
      <c r="I251" s="652"/>
      <c r="J251" s="652"/>
      <c r="K251" s="652"/>
      <c r="L251" s="653" t="str">
        <f t="shared" si="176"/>
        <v>6124</v>
      </c>
      <c r="M251" s="654" t="str">
        <f t="shared" si="177"/>
        <v>SALAIRES &amp; RENUM. - AUTRES</v>
      </c>
      <c r="N251" s="655">
        <f>+IF(OR($Q251=Parametres!$G$2,$Q251=Parametres!$G$3),I251,C251)</f>
        <v>9432.69</v>
      </c>
      <c r="O251" s="655">
        <f>+IF(OR($Q251=Parametres!$G$2,$Q251=Parametres!$G$3),J251,D251)</f>
        <v>7219.67</v>
      </c>
      <c r="P251" s="655">
        <f>+IF(OR($Q251=Parametres!$G$2,$Q251=Parametres!$G$3),K251,E251)</f>
        <v>16652.36</v>
      </c>
      <c r="Q251" s="654" t="str">
        <f t="shared" si="178"/>
        <v>7-Dépenses</v>
      </c>
      <c r="R251" s="653" t="str">
        <f t="shared" si="179"/>
        <v>6124</v>
      </c>
      <c r="S251" s="654" t="str">
        <f t="shared" si="180"/>
        <v>_</v>
      </c>
      <c r="T251" s="656" t="str">
        <f>+VLOOKUP($L251,Data_Validation!$A:$D,1,0)</f>
        <v>6124</v>
      </c>
      <c r="U251" s="656" t="str">
        <f>+VLOOKUP($L251,Data_Validation!$A:$D,3,0)</f>
        <v>Véhicules neufs</v>
      </c>
      <c r="V251" s="656" t="str">
        <f>+VLOOKUP($L251,Data_Validation!$A:$D,4,0)</f>
        <v>Salaires autres</v>
      </c>
      <c r="W251" s="656" t="str">
        <f>+VLOOKUP($L251,Data_Validation!$A:$E,5,0)</f>
        <v>$</v>
      </c>
      <c r="X251" s="656">
        <f>+VLOOKUP($L251,Data_Validation!$A:$F,6,0)</f>
        <v>0</v>
      </c>
    </row>
    <row r="252" spans="1:24" ht="15.75" customHeight="1">
      <c r="A252" s="1332" t="s">
        <v>1177</v>
      </c>
      <c r="B252" s="1332" t="s">
        <v>1178</v>
      </c>
      <c r="C252" s="1334">
        <v>26370.6</v>
      </c>
      <c r="D252" s="1334">
        <v>10662.01</v>
      </c>
      <c r="E252" s="1334">
        <v>37032.61</v>
      </c>
      <c r="F252" s="1332" t="s">
        <v>1154</v>
      </c>
      <c r="G252" s="1332" t="s">
        <v>1178</v>
      </c>
      <c r="H252" s="1332" t="s">
        <v>3942</v>
      </c>
      <c r="I252" s="670"/>
      <c r="J252" s="651"/>
      <c r="K252" s="670"/>
      <c r="L252" s="653" t="str">
        <f t="shared" si="176"/>
        <v>6129</v>
      </c>
      <c r="M252" s="654" t="str">
        <f t="shared" si="177"/>
        <v>ABS., VACANCE &amp; SAL. JOURS FER</v>
      </c>
      <c r="N252" s="655">
        <f>+IF(OR($Q252=Parametres!$G$2,$Q252=Parametres!$G$3),I252,C252)</f>
        <v>26370.6</v>
      </c>
      <c r="O252" s="655">
        <f>+IF(OR($Q252=Parametres!$G$2,$Q252=Parametres!$G$3),J252,D252)</f>
        <v>10662.01</v>
      </c>
      <c r="P252" s="655">
        <f>+IF(OR($Q252=Parametres!$G$2,$Q252=Parametres!$G$3),K252,E252)</f>
        <v>37032.61</v>
      </c>
      <c r="Q252" s="654" t="str">
        <f t="shared" si="178"/>
        <v>7-Dépenses</v>
      </c>
      <c r="R252" s="653" t="str">
        <f t="shared" si="179"/>
        <v>6129</v>
      </c>
      <c r="S252" s="654" t="str">
        <f t="shared" si="180"/>
        <v>_</v>
      </c>
      <c r="T252" s="656" t="str">
        <f>+VLOOKUP($L252,Data_Validation!$A:$D,1,0)</f>
        <v>6129</v>
      </c>
      <c r="U252" s="656" t="str">
        <f>+VLOOKUP($L252,Data_Validation!$A:$D,3,0)</f>
        <v>Véhicules neufs</v>
      </c>
      <c r="V252" s="656" t="str">
        <f>+VLOOKUP($L252,Data_Validation!$A:$D,4,0)</f>
        <v>Salaires en absences</v>
      </c>
      <c r="W252" s="656" t="str">
        <f>+VLOOKUP($L252,Data_Validation!$A:$E,5,0)</f>
        <v>$</v>
      </c>
      <c r="X252" s="656">
        <f>+VLOOKUP($L252,Data_Validation!$A:$F,6,0)</f>
        <v>0</v>
      </c>
    </row>
    <row r="253" spans="1:24" ht="15" customHeight="1">
      <c r="A253" s="1332" t="s">
        <v>1179</v>
      </c>
      <c r="B253" s="1332" t="s">
        <v>1180</v>
      </c>
      <c r="C253" s="1334">
        <v>5041.37</v>
      </c>
      <c r="D253" s="1334">
        <v>1876.33</v>
      </c>
      <c r="E253" s="1334">
        <v>6917.7</v>
      </c>
      <c r="F253" s="1332" t="s">
        <v>1154</v>
      </c>
      <c r="G253" s="1332" t="s">
        <v>1180</v>
      </c>
      <c r="H253" s="1332" t="s">
        <v>3942</v>
      </c>
      <c r="I253" s="652"/>
      <c r="J253" s="652"/>
      <c r="K253" s="652"/>
      <c r="L253" s="653" t="str">
        <f t="shared" si="176"/>
        <v>6131</v>
      </c>
      <c r="M253" s="654" t="str">
        <f t="shared" si="177"/>
        <v>CSST</v>
      </c>
      <c r="N253" s="655">
        <f>+IF(OR($Q253=Parametres!$G$2,$Q253=Parametres!$G$3),I253,C253)</f>
        <v>5041.37</v>
      </c>
      <c r="O253" s="655">
        <f>+IF(OR($Q253=Parametres!$G$2,$Q253=Parametres!$G$3),J253,D253)</f>
        <v>1876.33</v>
      </c>
      <c r="P253" s="655">
        <f>+IF(OR($Q253=Parametres!$G$2,$Q253=Parametres!$G$3),K253,E253)</f>
        <v>6917.7</v>
      </c>
      <c r="Q253" s="654" t="str">
        <f t="shared" si="178"/>
        <v>7-Dépenses</v>
      </c>
      <c r="R253" s="653" t="str">
        <f t="shared" si="179"/>
        <v>6131</v>
      </c>
      <c r="S253" s="654" t="str">
        <f t="shared" si="180"/>
        <v>_</v>
      </c>
      <c r="T253" s="656" t="str">
        <f>+VLOOKUP($L253,Data_Validation!$A:$D,1,0)</f>
        <v>6131</v>
      </c>
      <c r="U253" s="656" t="str">
        <f>+VLOOKUP($L253,Data_Validation!$A:$D,3,0)</f>
        <v>Véhicules neufs</v>
      </c>
      <c r="V253" s="656" t="str">
        <f>+VLOOKUP($L253,Data_Validation!$A:$D,4,0)</f>
        <v>Csst</v>
      </c>
      <c r="W253" s="656" t="str">
        <f>+VLOOKUP($L253,Data_Validation!$A:$E,5,0)</f>
        <v>$</v>
      </c>
      <c r="X253" s="656">
        <f>+VLOOKUP($L253,Data_Validation!$A:$F,6,0)</f>
        <v>0</v>
      </c>
    </row>
    <row r="254" spans="1:24" ht="15" customHeight="1">
      <c r="A254" s="1332" t="s">
        <v>1181</v>
      </c>
      <c r="B254" s="1332" t="s">
        <v>1182</v>
      </c>
      <c r="C254" s="1334">
        <v>26510.21</v>
      </c>
      <c r="D254" s="1334">
        <v>13455.59</v>
      </c>
      <c r="E254" s="1334">
        <v>39965.800000000003</v>
      </c>
      <c r="F254" s="1332" t="s">
        <v>1154</v>
      </c>
      <c r="G254" s="1332" t="s">
        <v>1182</v>
      </c>
      <c r="H254" s="1332" t="s">
        <v>3942</v>
      </c>
      <c r="I254" s="670"/>
      <c r="J254" s="651"/>
      <c r="K254" s="670"/>
      <c r="L254" s="653" t="str">
        <f t="shared" si="176"/>
        <v>6132</v>
      </c>
      <c r="M254" s="654" t="str">
        <f t="shared" si="177"/>
        <v>RRQ RAMQ AC</v>
      </c>
      <c r="N254" s="655">
        <f>+IF(OR($Q254=Parametres!$G$2,$Q254=Parametres!$G$3),I254,C254)</f>
        <v>26510.21</v>
      </c>
      <c r="O254" s="655">
        <f>+IF(OR($Q254=Parametres!$G$2,$Q254=Parametres!$G$3),J254,D254)</f>
        <v>13455.59</v>
      </c>
      <c r="P254" s="655">
        <f>+IF(OR($Q254=Parametres!$G$2,$Q254=Parametres!$G$3),K254,E254)</f>
        <v>39965.800000000003</v>
      </c>
      <c r="Q254" s="654" t="str">
        <f t="shared" si="178"/>
        <v>7-Dépenses</v>
      </c>
      <c r="R254" s="653" t="str">
        <f t="shared" si="179"/>
        <v>6132</v>
      </c>
      <c r="S254" s="654" t="str">
        <f t="shared" si="180"/>
        <v>_</v>
      </c>
      <c r="T254" s="656" t="str">
        <f>+VLOOKUP($L254,Data_Validation!$A:$D,1,0)</f>
        <v>6132</v>
      </c>
      <c r="U254" s="656" t="str">
        <f>+VLOOKUP($L254,Data_Validation!$A:$D,3,0)</f>
        <v>Véhicules neufs</v>
      </c>
      <c r="V254" s="656" t="str">
        <f>+VLOOKUP($L254,Data_Validation!$A:$D,4,0)</f>
        <v>Déduction à la source</v>
      </c>
      <c r="W254" s="656" t="str">
        <f>+VLOOKUP($L254,Data_Validation!$A:$E,5,0)</f>
        <v>$</v>
      </c>
      <c r="X254" s="656">
        <f>+VLOOKUP($L254,Data_Validation!$A:$F,6,0)</f>
        <v>0</v>
      </c>
    </row>
    <row r="255" spans="1:24" ht="15" customHeight="1">
      <c r="A255" s="1332" t="s">
        <v>1183</v>
      </c>
      <c r="B255" s="1332" t="s">
        <v>1184</v>
      </c>
      <c r="C255" s="1334">
        <v>4364.22</v>
      </c>
      <c r="D255" s="1334">
        <v>3348.86</v>
      </c>
      <c r="E255" s="1334">
        <v>7713.08</v>
      </c>
      <c r="F255" s="1332" t="s">
        <v>1154</v>
      </c>
      <c r="G255" s="1332" t="s">
        <v>1184</v>
      </c>
      <c r="H255" s="1332" t="s">
        <v>3942</v>
      </c>
      <c r="I255" s="652"/>
      <c r="J255" s="652"/>
      <c r="K255" s="652"/>
      <c r="L255" s="653" t="str">
        <f t="shared" si="176"/>
        <v>6133</v>
      </c>
      <c r="M255" s="654" t="str">
        <f t="shared" si="177"/>
        <v>FOND PENSION - NEUF</v>
      </c>
      <c r="N255" s="655">
        <f>+IF(OR($Q255=Parametres!$G$2,$Q255=Parametres!$G$3),I255,C255)</f>
        <v>4364.22</v>
      </c>
      <c r="O255" s="655">
        <f>+IF(OR($Q255=Parametres!$G$2,$Q255=Parametres!$G$3),J255,D255)</f>
        <v>3348.86</v>
      </c>
      <c r="P255" s="655">
        <f>+IF(OR($Q255=Parametres!$G$2,$Q255=Parametres!$G$3),K255,E255)</f>
        <v>7713.08</v>
      </c>
      <c r="Q255" s="654" t="str">
        <f t="shared" si="178"/>
        <v>7-Dépenses</v>
      </c>
      <c r="R255" s="653" t="str">
        <f t="shared" si="179"/>
        <v>6133</v>
      </c>
      <c r="S255" s="654" t="str">
        <f t="shared" si="180"/>
        <v>_</v>
      </c>
      <c r="T255" s="656" t="str">
        <f>+VLOOKUP($L255,Data_Validation!$A:$D,1,0)</f>
        <v>6133</v>
      </c>
      <c r="U255" s="656" t="str">
        <f>+VLOOKUP($L255,Data_Validation!$A:$D,3,0)</f>
        <v>Véhicules neufs</v>
      </c>
      <c r="V255" s="656" t="str">
        <f>+VLOOKUP($L255,Data_Validation!$A:$D,4,0)</f>
        <v>Bénéfices marginaux</v>
      </c>
      <c r="W255" s="656" t="str">
        <f>+VLOOKUP($L255,Data_Validation!$A:$E,5,0)</f>
        <v>$</v>
      </c>
      <c r="X255" s="656">
        <f>+VLOOKUP($L255,Data_Validation!$A:$F,6,0)</f>
        <v>0</v>
      </c>
    </row>
    <row r="256" spans="1:24" ht="15.75" customHeight="1">
      <c r="A256" s="1332" t="s">
        <v>1185</v>
      </c>
      <c r="B256" s="1332" t="s">
        <v>1186</v>
      </c>
      <c r="C256" s="1334">
        <v>6376.19</v>
      </c>
      <c r="D256" s="1334">
        <v>2713.72</v>
      </c>
      <c r="E256" s="1334">
        <v>9089.91</v>
      </c>
      <c r="F256" s="1332" t="s">
        <v>1154</v>
      </c>
      <c r="G256" s="1332" t="s">
        <v>1186</v>
      </c>
      <c r="H256" s="1332" t="s">
        <v>3942</v>
      </c>
      <c r="I256" s="670"/>
      <c r="J256" s="651"/>
      <c r="K256" s="670"/>
      <c r="L256" s="653" t="str">
        <f t="shared" si="176"/>
        <v>6139</v>
      </c>
      <c r="M256" s="654" t="str">
        <f t="shared" si="177"/>
        <v>ASSURANCE GROUPS</v>
      </c>
      <c r="N256" s="655">
        <f>+IF(OR($Q256=Parametres!$G$2,$Q256=Parametres!$G$3),I256,C256)</f>
        <v>6376.19</v>
      </c>
      <c r="O256" s="655">
        <f>+IF(OR($Q256=Parametres!$G$2,$Q256=Parametres!$G$3),J256,D256)</f>
        <v>2713.72</v>
      </c>
      <c r="P256" s="655">
        <f>+IF(OR($Q256=Parametres!$G$2,$Q256=Parametres!$G$3),K256,E256)</f>
        <v>9089.91</v>
      </c>
      <c r="Q256" s="654" t="str">
        <f t="shared" si="178"/>
        <v>7-Dépenses</v>
      </c>
      <c r="R256" s="653" t="str">
        <f t="shared" si="179"/>
        <v>6139</v>
      </c>
      <c r="S256" s="654" t="str">
        <f t="shared" si="180"/>
        <v>_</v>
      </c>
      <c r="T256" s="656" t="str">
        <f>+VLOOKUP($L256,Data_Validation!$A:$D,1,0)</f>
        <v>6139</v>
      </c>
      <c r="U256" s="656" t="str">
        <f>+VLOOKUP($L256,Data_Validation!$A:$D,3,0)</f>
        <v>Véhicules neufs</v>
      </c>
      <c r="V256" s="656" t="str">
        <f>+VLOOKUP($L256,Data_Validation!$A:$D,4,0)</f>
        <v>Bénéfices marginaux</v>
      </c>
      <c r="W256" s="656" t="str">
        <f>+VLOOKUP($L256,Data_Validation!$A:$E,5,0)</f>
        <v>$</v>
      </c>
      <c r="X256" s="656">
        <f>+VLOOKUP($L256,Data_Validation!$A:$F,6,0)</f>
        <v>0</v>
      </c>
    </row>
    <row r="257" spans="1:24" ht="15" customHeight="1">
      <c r="A257" s="1332" t="s">
        <v>1191</v>
      </c>
      <c r="B257" s="1332" t="s">
        <v>1192</v>
      </c>
      <c r="C257" s="1334">
        <v>9881.7900000000009</v>
      </c>
      <c r="D257" s="1334">
        <v>703.36</v>
      </c>
      <c r="E257" s="1334">
        <v>10585.15</v>
      </c>
      <c r="F257" s="1332" t="s">
        <v>1154</v>
      </c>
      <c r="G257" s="1332" t="s">
        <v>1192</v>
      </c>
      <c r="H257" s="1332" t="s">
        <v>3942</v>
      </c>
      <c r="I257" s="670"/>
      <c r="J257" s="651"/>
      <c r="K257" s="670"/>
      <c r="L257" s="653" t="str">
        <f t="shared" si="176"/>
        <v>6144</v>
      </c>
      <c r="M257" s="654" t="str">
        <f t="shared" si="177"/>
        <v>FORMATION</v>
      </c>
      <c r="N257" s="655">
        <f>+IF(OR($Q257=Parametres!$G$2,$Q257=Parametres!$G$3),I257,C257)</f>
        <v>9881.7900000000009</v>
      </c>
      <c r="O257" s="655">
        <f>+IF(OR($Q257=Parametres!$G$2,$Q257=Parametres!$G$3),J257,D257)</f>
        <v>703.36</v>
      </c>
      <c r="P257" s="655">
        <f>+IF(OR($Q257=Parametres!$G$2,$Q257=Parametres!$G$3),K257,E257)</f>
        <v>10585.15</v>
      </c>
      <c r="Q257" s="654" t="str">
        <f t="shared" si="178"/>
        <v>7-Dépenses</v>
      </c>
      <c r="R257" s="653" t="str">
        <f t="shared" si="179"/>
        <v>6144</v>
      </c>
      <c r="S257" s="654" t="str">
        <f t="shared" si="180"/>
        <v>_</v>
      </c>
      <c r="T257" s="656" t="str">
        <f>+VLOOKUP($L257,Data_Validation!$A:$D,1,0)</f>
        <v>6144</v>
      </c>
      <c r="U257" s="656" t="str">
        <f>+VLOOKUP($L257,Data_Validation!$A:$D,3,0)</f>
        <v>Véhicules neufs</v>
      </c>
      <c r="V257" s="656" t="str">
        <f>+VLOOKUP($L257,Data_Validation!$A:$D,4,0)</f>
        <v>Formation</v>
      </c>
      <c r="W257" s="656" t="str">
        <f>+VLOOKUP($L257,Data_Validation!$A:$E,5,0)</f>
        <v>$</v>
      </c>
      <c r="X257" s="656">
        <f>+VLOOKUP($L257,Data_Validation!$A:$F,6,0)</f>
        <v>0</v>
      </c>
    </row>
    <row r="258" spans="1:24" ht="15" customHeight="1">
      <c r="A258" s="1332" t="s">
        <v>1193</v>
      </c>
      <c r="B258" s="1332" t="s">
        <v>1194</v>
      </c>
      <c r="C258" s="1334">
        <v>15117.96</v>
      </c>
      <c r="D258" s="1334">
        <v>6586.98</v>
      </c>
      <c r="E258" s="1334">
        <v>21704.94</v>
      </c>
      <c r="F258" s="1332" t="s">
        <v>1154</v>
      </c>
      <c r="G258" s="1332" t="s">
        <v>1194</v>
      </c>
      <c r="H258" s="1332" t="s">
        <v>3942</v>
      </c>
      <c r="I258" s="670"/>
      <c r="J258" s="651"/>
      <c r="K258" s="670"/>
      <c r="L258" s="653" t="str">
        <f t="shared" si="176"/>
        <v>6145</v>
      </c>
      <c r="M258" s="654" t="str">
        <f t="shared" si="177"/>
        <v>VEHICULE DE COMPAGNIE - DEPENS</v>
      </c>
      <c r="N258" s="655">
        <f>+IF(OR($Q258=Parametres!$G$2,$Q258=Parametres!$G$3),I258,C258)</f>
        <v>15117.96</v>
      </c>
      <c r="O258" s="655">
        <f>+IF(OR($Q258=Parametres!$G$2,$Q258=Parametres!$G$3),J258,D258)</f>
        <v>6586.98</v>
      </c>
      <c r="P258" s="655">
        <f>+IF(OR($Q258=Parametres!$G$2,$Q258=Parametres!$G$3),K258,E258)</f>
        <v>21704.94</v>
      </c>
      <c r="Q258" s="654" t="str">
        <f t="shared" si="178"/>
        <v>7-Dépenses</v>
      </c>
      <c r="R258" s="653" t="str">
        <f t="shared" si="179"/>
        <v>6145</v>
      </c>
      <c r="S258" s="654" t="str">
        <f t="shared" si="180"/>
        <v>_</v>
      </c>
      <c r="T258" s="656" t="str">
        <f>+VLOOKUP($L258,Data_Validation!$A:$D,1,0)</f>
        <v>6145</v>
      </c>
      <c r="U258" s="656" t="str">
        <f>+VLOOKUP($L258,Data_Validation!$A:$D,3,0)</f>
        <v>Véhicules neufs</v>
      </c>
      <c r="V258" s="656" t="str">
        <f>+VLOOKUP($L258,Data_Validation!$A:$D,4,0)</f>
        <v>Frais véhicules de cie</v>
      </c>
      <c r="W258" s="656" t="str">
        <f>+VLOOKUP($L258,Data_Validation!$A:$E,5,0)</f>
        <v>$</v>
      </c>
      <c r="X258" s="656">
        <f>+VLOOKUP($L258,Data_Validation!$A:$F,6,0)</f>
        <v>0</v>
      </c>
    </row>
    <row r="259" spans="1:24" ht="15" customHeight="1">
      <c r="A259" s="1332" t="s">
        <v>1195</v>
      </c>
      <c r="B259" s="1332" t="s">
        <v>1196</v>
      </c>
      <c r="C259" s="1334">
        <v>502.22</v>
      </c>
      <c r="D259" s="1334">
        <v>73.97</v>
      </c>
      <c r="E259" s="1334">
        <v>576.19000000000005</v>
      </c>
      <c r="F259" s="1332" t="s">
        <v>1154</v>
      </c>
      <c r="G259" s="1332" t="s">
        <v>1196</v>
      </c>
      <c r="H259" s="1332" t="s">
        <v>3942</v>
      </c>
      <c r="I259" s="670"/>
      <c r="J259" s="651"/>
      <c r="K259" s="670"/>
      <c r="L259" s="653" t="str">
        <f t="shared" si="176"/>
        <v>6147</v>
      </c>
      <c r="M259" s="654" t="str">
        <f t="shared" si="177"/>
        <v>FRET/EXPRESS/TRANS. PAR CAMION</v>
      </c>
      <c r="N259" s="655">
        <f>+IF(OR($Q259=Parametres!$G$2,$Q259=Parametres!$G$3),I259,C259)</f>
        <v>502.22</v>
      </c>
      <c r="O259" s="659">
        <f>+IF(OR($Q259=Parametres!$G$2,$Q259=Parametres!$G$3),J259,D259)</f>
        <v>73.97</v>
      </c>
      <c r="P259" s="655">
        <f>+IF(OR($Q259=Parametres!$G$2,$Q259=Parametres!$G$3),K259,E259)</f>
        <v>576.19000000000005</v>
      </c>
      <c r="Q259" s="654" t="str">
        <f t="shared" si="178"/>
        <v>7-Dépenses</v>
      </c>
      <c r="R259" s="653" t="str">
        <f t="shared" si="179"/>
        <v>6147</v>
      </c>
      <c r="S259" s="654" t="str">
        <f t="shared" si="180"/>
        <v>_</v>
      </c>
      <c r="T259" s="656" t="str">
        <f>+VLOOKUP($L259,Data_Validation!$A:$D,1,0)</f>
        <v>6147</v>
      </c>
      <c r="U259" s="656" t="str">
        <f>+VLOOKUP($L259,Data_Validation!$A:$D,3,0)</f>
        <v>Véhicules neufs</v>
      </c>
      <c r="V259" s="656" t="str">
        <f>+VLOOKUP($L259,Data_Validation!$A:$D,4,0)</f>
        <v>Frais postaux</v>
      </c>
      <c r="W259" s="656" t="str">
        <f>+VLOOKUP($L259,Data_Validation!$A:$E,5,0)</f>
        <v>$</v>
      </c>
      <c r="X259" s="656">
        <f>+VLOOKUP($L259,Data_Validation!$A:$F,6,0)</f>
        <v>0</v>
      </c>
    </row>
    <row r="260" spans="1:24" ht="15" customHeight="1">
      <c r="A260" s="1332" t="s">
        <v>1197</v>
      </c>
      <c r="B260" s="1332" t="s">
        <v>1198</v>
      </c>
      <c r="C260" s="1334">
        <v>15513.72</v>
      </c>
      <c r="D260" s="1334">
        <v>7443.72</v>
      </c>
      <c r="E260" s="1334">
        <v>22957.439999999999</v>
      </c>
      <c r="F260" s="1332" t="s">
        <v>1154</v>
      </c>
      <c r="G260" s="1332" t="s">
        <v>1198</v>
      </c>
      <c r="H260" s="1332" t="s">
        <v>3942</v>
      </c>
      <c r="I260" s="670"/>
      <c r="J260" s="651"/>
      <c r="K260" s="670"/>
      <c r="L260" s="653" t="str">
        <f t="shared" si="176"/>
        <v>6151</v>
      </c>
      <c r="M260" s="654" t="str">
        <f t="shared" si="177"/>
        <v>DEP. DU TRAITEMENT DES DONNEES</v>
      </c>
      <c r="N260" s="655">
        <f>+IF(OR($Q260=Parametres!$G$2,$Q260=Parametres!$G$3),I260,C260)</f>
        <v>15513.72</v>
      </c>
      <c r="O260" s="655">
        <f>+IF(OR($Q260=Parametres!$G$2,$Q260=Parametres!$G$3),J260,D260)</f>
        <v>7443.72</v>
      </c>
      <c r="P260" s="655">
        <f>+IF(OR($Q260=Parametres!$G$2,$Q260=Parametres!$G$3),K260,E260)</f>
        <v>22957.439999999999</v>
      </c>
      <c r="Q260" s="654" t="str">
        <f t="shared" si="178"/>
        <v>7-Dépenses</v>
      </c>
      <c r="R260" s="653" t="str">
        <f t="shared" si="179"/>
        <v>6151</v>
      </c>
      <c r="S260" s="654" t="str">
        <f t="shared" si="180"/>
        <v>_</v>
      </c>
      <c r="T260" s="656" t="str">
        <f>+VLOOKUP($L260,Data_Validation!$A:$D,1,0)</f>
        <v>6151</v>
      </c>
      <c r="U260" s="656" t="str">
        <f>+VLOOKUP($L260,Data_Validation!$A:$D,3,0)</f>
        <v>Véhicules neufs</v>
      </c>
      <c r="V260" s="656" t="str">
        <f>+VLOOKUP($L260,Data_Validation!$A:$D,4,0)</f>
        <v>Informatique</v>
      </c>
      <c r="W260" s="656" t="str">
        <f>+VLOOKUP($L260,Data_Validation!$A:$E,5,0)</f>
        <v>$</v>
      </c>
      <c r="X260" s="656">
        <f>+VLOOKUP($L260,Data_Validation!$A:$F,6,0)</f>
        <v>0</v>
      </c>
    </row>
    <row r="261" spans="1:24" ht="15" customHeight="1">
      <c r="A261" s="1332" t="s">
        <v>1199</v>
      </c>
      <c r="B261" s="1332" t="s">
        <v>1200</v>
      </c>
      <c r="C261" s="1334">
        <v>584.08000000000004</v>
      </c>
      <c r="D261" s="1334">
        <v>1096.3800000000001</v>
      </c>
      <c r="E261" s="1334">
        <v>1680.46</v>
      </c>
      <c r="F261" s="1332" t="s">
        <v>1154</v>
      </c>
      <c r="G261" s="1332" t="s">
        <v>1200</v>
      </c>
      <c r="H261" s="1332" t="s">
        <v>3942</v>
      </c>
      <c r="I261" s="652"/>
      <c r="J261" s="652"/>
      <c r="K261" s="652"/>
      <c r="L261" s="653" t="str">
        <f t="shared" si="176"/>
        <v>6152</v>
      </c>
      <c r="M261" s="654" t="str">
        <f t="shared" si="177"/>
        <v>PAPETERIE</v>
      </c>
      <c r="N261" s="655">
        <f>+IF(OR($Q261=Parametres!$G$2,$Q261=Parametres!$G$3),I261,C261)</f>
        <v>584.08000000000004</v>
      </c>
      <c r="O261" s="655">
        <f>+IF(OR($Q261=Parametres!$G$2,$Q261=Parametres!$G$3),J261,D261)</f>
        <v>1096.3800000000001</v>
      </c>
      <c r="P261" s="655">
        <f>+IF(OR($Q261=Parametres!$G$2,$Q261=Parametres!$G$3),K261,E261)</f>
        <v>1680.46</v>
      </c>
      <c r="Q261" s="654" t="str">
        <f t="shared" si="178"/>
        <v>7-Dépenses</v>
      </c>
      <c r="R261" s="653" t="str">
        <f t="shared" si="179"/>
        <v>6152</v>
      </c>
      <c r="S261" s="654" t="str">
        <f t="shared" si="180"/>
        <v>_</v>
      </c>
      <c r="T261" s="656" t="str">
        <f>+VLOOKUP($L261,Data_Validation!$A:$D,1,0)</f>
        <v>6152</v>
      </c>
      <c r="U261" s="656" t="str">
        <f>+VLOOKUP($L261,Data_Validation!$A:$D,3,0)</f>
        <v>Véhicules neufs</v>
      </c>
      <c r="V261" s="656" t="str">
        <f>+VLOOKUP($L261,Data_Validation!$A:$D,4,0)</f>
        <v>Papeterie</v>
      </c>
      <c r="W261" s="656" t="str">
        <f>+VLOOKUP($L261,Data_Validation!$A:$E,5,0)</f>
        <v>$</v>
      </c>
      <c r="X261" s="656">
        <f>+VLOOKUP($L261,Data_Validation!$A:$F,6,0)</f>
        <v>0</v>
      </c>
    </row>
    <row r="262" spans="1:24" ht="15.75" customHeight="1">
      <c r="A262" s="1332" t="s">
        <v>1201</v>
      </c>
      <c r="B262" s="1332" t="s">
        <v>1202</v>
      </c>
      <c r="C262" s="1334">
        <v>910.39</v>
      </c>
      <c r="D262" s="1334">
        <v>188.84</v>
      </c>
      <c r="E262" s="1334">
        <v>1099.23</v>
      </c>
      <c r="F262" s="1332" t="s">
        <v>1154</v>
      </c>
      <c r="G262" s="1332" t="s">
        <v>1202</v>
      </c>
      <c r="H262" s="1332" t="s">
        <v>3942</v>
      </c>
      <c r="I262" s="672"/>
      <c r="J262" s="663"/>
      <c r="K262" s="672"/>
      <c r="L262" s="653" t="str">
        <f t="shared" si="176"/>
        <v>6153</v>
      </c>
      <c r="M262" s="654" t="str">
        <f t="shared" si="177"/>
        <v>TELEPHONE ET TELEX</v>
      </c>
      <c r="N262" s="655">
        <f>+IF(OR($Q262=Parametres!$G$2,$Q262=Parametres!$G$3),I262,C262)</f>
        <v>910.39</v>
      </c>
      <c r="O262" s="655">
        <f>+IF(OR($Q262=Parametres!$G$2,$Q262=Parametres!$G$3),J262,D262)</f>
        <v>188.84</v>
      </c>
      <c r="P262" s="655">
        <f>+IF(OR($Q262=Parametres!$G$2,$Q262=Parametres!$G$3),K262,E262)</f>
        <v>1099.23</v>
      </c>
      <c r="Q262" s="654" t="str">
        <f t="shared" si="178"/>
        <v>7-Dépenses</v>
      </c>
      <c r="R262" s="653" t="str">
        <f t="shared" si="179"/>
        <v>6153</v>
      </c>
      <c r="S262" s="654" t="str">
        <f t="shared" si="180"/>
        <v>_</v>
      </c>
      <c r="T262" s="671" t="str">
        <f>+VLOOKUP($L262,Data_Validation!$A:$D,1,0)</f>
        <v>6153</v>
      </c>
      <c r="U262" s="656" t="str">
        <f>+VLOOKUP($L262,Data_Validation!$A:$D,3,0)</f>
        <v>Véhicules neufs</v>
      </c>
      <c r="V262" s="656" t="str">
        <f>+VLOOKUP($L262,Data_Validation!$A:$D,4,0)</f>
        <v>Téléphone</v>
      </c>
      <c r="W262" s="656" t="str">
        <f>+VLOOKUP($L262,Data_Validation!$A:$E,5,0)</f>
        <v>$</v>
      </c>
      <c r="X262" s="656">
        <f>+VLOOKUP($L262,Data_Validation!$A:$F,6,0)</f>
        <v>0</v>
      </c>
    </row>
    <row r="263" spans="1:24" ht="15" customHeight="1">
      <c r="A263" s="1332" t="s">
        <v>1203</v>
      </c>
      <c r="B263" s="1332" t="s">
        <v>1204</v>
      </c>
      <c r="C263" s="1334">
        <v>550.59</v>
      </c>
      <c r="D263" s="1334">
        <v>338.63</v>
      </c>
      <c r="E263" s="1334">
        <v>889.22</v>
      </c>
      <c r="F263" s="1332" t="s">
        <v>1154</v>
      </c>
      <c r="G263" s="1332" t="s">
        <v>1204</v>
      </c>
      <c r="H263" s="1332" t="s">
        <v>3942</v>
      </c>
      <c r="I263" s="670"/>
      <c r="J263" s="651"/>
      <c r="K263" s="670"/>
      <c r="L263" s="653" t="str">
        <f t="shared" si="176"/>
        <v>6155</v>
      </c>
      <c r="M263" s="654" t="str">
        <f t="shared" si="177"/>
        <v>DEPENSES DIVERS</v>
      </c>
      <c r="N263" s="655">
        <f>+IF(OR($Q263=Parametres!$G$2,$Q263=Parametres!$G$3),I263,C263)</f>
        <v>550.59</v>
      </c>
      <c r="O263" s="655">
        <f>+IF(OR($Q263=Parametres!$G$2,$Q263=Parametres!$G$3),J263,D263)</f>
        <v>338.63</v>
      </c>
      <c r="P263" s="655">
        <f>+IF(OR($Q263=Parametres!$G$2,$Q263=Parametres!$G$3),K263,E263)</f>
        <v>889.22</v>
      </c>
      <c r="Q263" s="654" t="str">
        <f t="shared" si="178"/>
        <v>7-Dépenses</v>
      </c>
      <c r="R263" s="653" t="str">
        <f t="shared" si="179"/>
        <v>6155</v>
      </c>
      <c r="S263" s="654" t="str">
        <f t="shared" si="180"/>
        <v>_</v>
      </c>
      <c r="T263" s="656" t="str">
        <f>+VLOOKUP($L263,Data_Validation!$A:$D,1,0)</f>
        <v>6155</v>
      </c>
      <c r="U263" s="656" t="str">
        <f>+VLOOKUP($L263,Data_Validation!$A:$D,3,0)</f>
        <v>Véhicules neufs</v>
      </c>
      <c r="V263" s="656" t="str">
        <f>+VLOOKUP($L263,Data_Validation!$A:$D,4,0)</f>
        <v>Divers</v>
      </c>
      <c r="W263" s="656" t="str">
        <f>+VLOOKUP($L263,Data_Validation!$A:$E,5,0)</f>
        <v>$</v>
      </c>
      <c r="X263" s="656">
        <f>+VLOOKUP($L263,Data_Validation!$A:$F,6,0)</f>
        <v>0</v>
      </c>
    </row>
    <row r="264" spans="1:24" ht="15" customHeight="1">
      <c r="A264" s="1332" t="s">
        <v>1205</v>
      </c>
      <c r="B264" s="1332" t="s">
        <v>1206</v>
      </c>
      <c r="C264" s="1334">
        <v>1321.79</v>
      </c>
      <c r="D264" s="1334">
        <v>1992.45</v>
      </c>
      <c r="E264" s="1334">
        <v>3314.24</v>
      </c>
      <c r="F264" s="1332" t="s">
        <v>1154</v>
      </c>
      <c r="G264" s="1332" t="s">
        <v>1206</v>
      </c>
      <c r="H264" s="1332" t="s">
        <v>3942</v>
      </c>
      <c r="I264" s="652"/>
      <c r="J264" s="652"/>
      <c r="K264" s="652"/>
      <c r="L264" s="653" t="str">
        <f t="shared" si="176"/>
        <v>6156</v>
      </c>
      <c r="M264" s="654" t="str">
        <f t="shared" si="177"/>
        <v>FRAIS REPRESENTATION - NEUF</v>
      </c>
      <c r="N264" s="655">
        <f>+IF(OR($Q264=Parametres!$G$2,$Q264=Parametres!$G$3),I264,C264)</f>
        <v>1321.79</v>
      </c>
      <c r="O264" s="659">
        <f>+IF(OR($Q264=Parametres!$G$2,$Q264=Parametres!$G$3),J264,D264)</f>
        <v>1992.45</v>
      </c>
      <c r="P264" s="655">
        <f>+IF(OR($Q264=Parametres!$G$2,$Q264=Parametres!$G$3),K264,E264)</f>
        <v>3314.24</v>
      </c>
      <c r="Q264" s="654" t="str">
        <f t="shared" si="178"/>
        <v>7-Dépenses</v>
      </c>
      <c r="R264" s="653" t="str">
        <f t="shared" si="179"/>
        <v>6156</v>
      </c>
      <c r="S264" s="654" t="str">
        <f t="shared" si="180"/>
        <v>_</v>
      </c>
      <c r="T264" s="656" t="str">
        <f>+VLOOKUP($L264,Data_Validation!$A:$D,1,0)</f>
        <v>6156</v>
      </c>
      <c r="U264" s="656" t="str">
        <f>+VLOOKUP($L264,Data_Validation!$A:$D,3,0)</f>
        <v>Véhicules neufs</v>
      </c>
      <c r="V264" s="656" t="str">
        <f>+VLOOKUP($L264,Data_Validation!$A:$D,4,0)</f>
        <v>Frais de déplacement</v>
      </c>
      <c r="W264" s="656" t="str">
        <f>+VLOOKUP($L264,Data_Validation!$A:$E,5,0)</f>
        <v>$</v>
      </c>
      <c r="X264" s="656">
        <f>+VLOOKUP($L264,Data_Validation!$A:$F,6,0)</f>
        <v>0</v>
      </c>
    </row>
    <row r="265" spans="1:24" ht="15" customHeight="1">
      <c r="A265" s="1332" t="s">
        <v>1207</v>
      </c>
      <c r="B265" s="1332" t="s">
        <v>3387</v>
      </c>
      <c r="C265" s="1334">
        <v>9371.2800000000007</v>
      </c>
      <c r="D265" s="1334">
        <v>3826.7</v>
      </c>
      <c r="E265" s="1334">
        <v>13197.98</v>
      </c>
      <c r="F265" s="1332" t="s">
        <v>1154</v>
      </c>
      <c r="G265" s="1332" t="s">
        <v>1208</v>
      </c>
      <c r="H265" s="1332" t="s">
        <v>3942</v>
      </c>
      <c r="I265" s="651"/>
      <c r="J265" s="651"/>
      <c r="K265" s="651"/>
      <c r="L265" s="653" t="str">
        <f t="shared" si="176"/>
        <v>6157</v>
      </c>
      <c r="M265" s="654" t="str">
        <f t="shared" si="177"/>
        <v>FRAIS BANCAIRES - NEUF</v>
      </c>
      <c r="N265" s="655">
        <f>+IF(OR($Q265=Parametres!$G$2,$Q265=Parametres!$G$3),I265,C265)</f>
        <v>9371.2800000000007</v>
      </c>
      <c r="O265" s="659">
        <f>+IF(OR($Q265=Parametres!$G$2,$Q265=Parametres!$G$3),J265,D265)</f>
        <v>3826.7</v>
      </c>
      <c r="P265" s="655">
        <f>+IF(OR($Q265=Parametres!$G$2,$Q265=Parametres!$G$3),K265,E265)</f>
        <v>13197.98</v>
      </c>
      <c r="Q265" s="654" t="str">
        <f t="shared" si="178"/>
        <v>7-Dépenses</v>
      </c>
      <c r="R265" s="653" t="str">
        <f t="shared" si="179"/>
        <v>615</v>
      </c>
      <c r="S265" s="654" t="str">
        <f t="shared" si="180"/>
        <v>_</v>
      </c>
      <c r="T265" s="656" t="str">
        <f>+VLOOKUP($L265,Data_Validation!$A:$D,1,0)</f>
        <v>6157</v>
      </c>
      <c r="U265" s="656" t="str">
        <f>+VLOOKUP($L265,Data_Validation!$A:$D,3,0)</f>
        <v>Véhicules neufs</v>
      </c>
      <c r="V265" s="656" t="str">
        <f>+VLOOKUP($L265,Data_Validation!$A:$D,4,0)</f>
        <v>Frais bancaires</v>
      </c>
      <c r="W265" s="656" t="str">
        <f>+VLOOKUP($L265,Data_Validation!$A:$E,5,0)</f>
        <v>$</v>
      </c>
      <c r="X265" s="656">
        <f>+VLOOKUP($L265,Data_Validation!$A:$F,6,0)</f>
        <v>0</v>
      </c>
    </row>
    <row r="266" spans="1:24" ht="15" customHeight="1">
      <c r="A266" s="1332" t="s">
        <v>1209</v>
      </c>
      <c r="B266" s="1332" t="s">
        <v>1210</v>
      </c>
      <c r="C266" s="1334">
        <v>12824.99</v>
      </c>
      <c r="D266" s="1334">
        <v>2526.25</v>
      </c>
      <c r="E266" s="1334">
        <v>15351.24</v>
      </c>
      <c r="F266" s="1332" t="s">
        <v>1154</v>
      </c>
      <c r="G266" s="1332" t="s">
        <v>1210</v>
      </c>
      <c r="H266" s="1332" t="s">
        <v>3942</v>
      </c>
      <c r="I266" s="670"/>
      <c r="J266" s="651"/>
      <c r="K266" s="670"/>
      <c r="L266" s="653" t="str">
        <f t="shared" si="176"/>
        <v>6159</v>
      </c>
      <c r="M266" s="654" t="str">
        <f t="shared" si="177"/>
        <v>SERVICE EXTERIEUR</v>
      </c>
      <c r="N266" s="655">
        <f>+IF(OR($Q266=Parametres!$G$2,$Q266=Parametres!$G$3),I266,C266)</f>
        <v>12824.99</v>
      </c>
      <c r="O266" s="655">
        <f>+IF(OR($Q266=Parametres!$G$2,$Q266=Parametres!$G$3),J266,D266)</f>
        <v>2526.25</v>
      </c>
      <c r="P266" s="655">
        <f>+IF(OR($Q266=Parametres!$G$2,$Q266=Parametres!$G$3),K266,E266)</f>
        <v>15351.24</v>
      </c>
      <c r="Q266" s="654" t="str">
        <f t="shared" si="178"/>
        <v>7-Dépenses</v>
      </c>
      <c r="R266" s="653" t="str">
        <f t="shared" si="179"/>
        <v>6159</v>
      </c>
      <c r="S266" s="654" t="str">
        <f t="shared" si="180"/>
        <v>_</v>
      </c>
      <c r="T266" s="656" t="str">
        <f>+VLOOKUP($L266,Data_Validation!$A:$D,1,0)</f>
        <v>6159</v>
      </c>
      <c r="U266" s="656" t="str">
        <f>+VLOOKUP($L266,Data_Validation!$A:$D,3,0)</f>
        <v>Véhicules neufs</v>
      </c>
      <c r="V266" s="656" t="str">
        <f>+VLOOKUP($L266,Data_Validation!$A:$D,4,0)</f>
        <v>Services extérieurs</v>
      </c>
      <c r="W266" s="656" t="str">
        <f>+VLOOKUP($L266,Data_Validation!$A:$E,5,0)</f>
        <v>$</v>
      </c>
      <c r="X266" s="656">
        <f>+VLOOKUP($L266,Data_Validation!$A:$F,6,0)</f>
        <v>0</v>
      </c>
    </row>
    <row r="267" spans="1:24" ht="15" customHeight="1">
      <c r="A267" s="1332" t="s">
        <v>1211</v>
      </c>
      <c r="B267" s="1332" t="s">
        <v>1212</v>
      </c>
      <c r="C267" s="1334">
        <v>6090.88</v>
      </c>
      <c r="D267" s="1334">
        <v>3045.44</v>
      </c>
      <c r="E267" s="1334">
        <v>9136.32</v>
      </c>
      <c r="F267" s="1332" t="s">
        <v>1154</v>
      </c>
      <c r="G267" s="1332" t="s">
        <v>1212</v>
      </c>
      <c r="H267" s="1332" t="s">
        <v>3942</v>
      </c>
      <c r="I267" s="670"/>
      <c r="J267" s="651"/>
      <c r="K267" s="670"/>
      <c r="L267" s="653" t="str">
        <f t="shared" si="176"/>
        <v>6161</v>
      </c>
      <c r="M267" s="654" t="str">
        <f t="shared" si="177"/>
        <v>DEPRECIATION EQUIP. &amp; FIXTURES</v>
      </c>
      <c r="N267" s="655">
        <f>+IF(OR($Q267=Parametres!$G$2,$Q267=Parametres!$G$3),I267,C267)</f>
        <v>6090.88</v>
      </c>
      <c r="O267" s="655">
        <f>+IF(OR($Q267=Parametres!$G$2,$Q267=Parametres!$G$3),J267,D267)</f>
        <v>3045.44</v>
      </c>
      <c r="P267" s="655">
        <f>+IF(OR($Q267=Parametres!$G$2,$Q267=Parametres!$G$3),K267,E267)</f>
        <v>9136.32</v>
      </c>
      <c r="Q267" s="654" t="str">
        <f t="shared" si="178"/>
        <v>7-Dépenses</v>
      </c>
      <c r="R267" s="653" t="str">
        <f t="shared" si="179"/>
        <v>6161</v>
      </c>
      <c r="S267" s="654" t="str">
        <f t="shared" si="180"/>
        <v>_</v>
      </c>
      <c r="T267" s="656" t="str">
        <f>+VLOOKUP($L267,Data_Validation!$A:$D,1,0)</f>
        <v>6161</v>
      </c>
      <c r="U267" s="656" t="str">
        <f>+VLOOKUP($L267,Data_Validation!$A:$D,3,0)</f>
        <v>Véhicules neufs</v>
      </c>
      <c r="V267" s="656" t="str">
        <f>+VLOOKUP($L267,Data_Validation!$A:$D,4,0)</f>
        <v>Amortissement</v>
      </c>
      <c r="W267" s="656" t="str">
        <f>+VLOOKUP($L267,Data_Validation!$A:$E,5,0)</f>
        <v>$</v>
      </c>
      <c r="X267" s="656">
        <f>+VLOOKUP($L267,Data_Validation!$A:$F,6,0)</f>
        <v>0</v>
      </c>
    </row>
    <row r="268" spans="1:24" ht="15" customHeight="1">
      <c r="A268" s="1332" t="s">
        <v>1213</v>
      </c>
      <c r="B268" s="1332" t="s">
        <v>1214</v>
      </c>
      <c r="C268" s="1334">
        <v>6914.39</v>
      </c>
      <c r="D268" s="1334">
        <v>2609.92</v>
      </c>
      <c r="E268" s="1334">
        <v>9524.31</v>
      </c>
      <c r="F268" s="1332" t="s">
        <v>1154</v>
      </c>
      <c r="G268" s="1332" t="s">
        <v>1214</v>
      </c>
      <c r="H268" s="1332" t="s">
        <v>3942</v>
      </c>
      <c r="I268" s="670"/>
      <c r="J268" s="651"/>
      <c r="K268" s="670"/>
      <c r="L268" s="653" t="str">
        <f t="shared" si="176"/>
        <v>6181</v>
      </c>
      <c r="M268" s="654" t="str">
        <f t="shared" si="177"/>
        <v>ELECTRICITE CHAUFFAGE</v>
      </c>
      <c r="N268" s="655">
        <f>+IF(OR($Q268=Parametres!$G$2,$Q268=Parametres!$G$3),I268,C268)</f>
        <v>6914.39</v>
      </c>
      <c r="O268" s="655">
        <f>+IF(OR($Q268=Parametres!$G$2,$Q268=Parametres!$G$3),J268,D268)</f>
        <v>2609.92</v>
      </c>
      <c r="P268" s="655">
        <f>+IF(OR($Q268=Parametres!$G$2,$Q268=Parametres!$G$3),K268,E268)</f>
        <v>9524.31</v>
      </c>
      <c r="Q268" s="654" t="str">
        <f t="shared" si="178"/>
        <v>7-Dépenses</v>
      </c>
      <c r="R268" s="653" t="str">
        <f t="shared" si="179"/>
        <v>6181</v>
      </c>
      <c r="S268" s="654" t="str">
        <f t="shared" si="180"/>
        <v>_</v>
      </c>
      <c r="T268" s="656" t="str">
        <f>+VLOOKUP($L268,Data_Validation!$A:$D,1,0)</f>
        <v>6181</v>
      </c>
      <c r="U268" s="656" t="str">
        <f>+VLOOKUP($L268,Data_Validation!$A:$D,3,0)</f>
        <v>Véhicules neufs</v>
      </c>
      <c r="V268" s="656" t="str">
        <f>+VLOOKUP($L268,Data_Validation!$A:$D,4,0)</f>
        <v>Chauffage, éclairage</v>
      </c>
      <c r="W268" s="656" t="str">
        <f>+VLOOKUP($L268,Data_Validation!$A:$E,5,0)</f>
        <v>$</v>
      </c>
      <c r="X268" s="656">
        <f>+VLOOKUP($L268,Data_Validation!$A:$F,6,0)</f>
        <v>0</v>
      </c>
    </row>
    <row r="269" spans="1:24" ht="15" customHeight="1">
      <c r="A269" s="1332" t="s">
        <v>1215</v>
      </c>
      <c r="B269" s="1332" t="s">
        <v>1216</v>
      </c>
      <c r="C269" s="1334">
        <v>40160</v>
      </c>
      <c r="D269" s="1334">
        <v>25520</v>
      </c>
      <c r="E269" s="1334">
        <v>65680</v>
      </c>
      <c r="F269" s="1332" t="s">
        <v>1154</v>
      </c>
      <c r="G269" s="1332" t="s">
        <v>1216</v>
      </c>
      <c r="H269" s="1332" t="s">
        <v>3942</v>
      </c>
      <c r="I269" s="652"/>
      <c r="J269" s="652"/>
      <c r="K269" s="652"/>
      <c r="L269" s="653" t="str">
        <f t="shared" si="176"/>
        <v>6182</v>
      </c>
      <c r="M269" s="654" t="str">
        <f t="shared" si="177"/>
        <v>LOYER NEUFS</v>
      </c>
      <c r="N269" s="655">
        <f>+IF(OR($Q269=Parametres!$G$2,$Q269=Parametres!$G$3),I269,C269)</f>
        <v>40160</v>
      </c>
      <c r="O269" s="655">
        <f>+IF(OR($Q269=Parametres!$G$2,$Q269=Parametres!$G$3),J269,D269)</f>
        <v>25520</v>
      </c>
      <c r="P269" s="655">
        <f>+IF(OR($Q269=Parametres!$G$2,$Q269=Parametres!$G$3),K269,E269)</f>
        <v>65680</v>
      </c>
      <c r="Q269" s="654" t="str">
        <f t="shared" si="178"/>
        <v>7-Dépenses</v>
      </c>
      <c r="R269" s="653" t="str">
        <f t="shared" si="179"/>
        <v>6182</v>
      </c>
      <c r="S269" s="654" t="str">
        <f t="shared" si="180"/>
        <v>_</v>
      </c>
      <c r="T269" s="656" t="str">
        <f>+VLOOKUP($L269,Data_Validation!$A:$D,1,0)</f>
        <v>6182</v>
      </c>
      <c r="U269" s="656" t="str">
        <f>+VLOOKUP($L269,Data_Validation!$A:$D,3,0)</f>
        <v>Véhicules neufs</v>
      </c>
      <c r="V269" s="656" t="str">
        <f>+VLOOKUP($L269,Data_Validation!$A:$D,4,0)</f>
        <v>Loyer</v>
      </c>
      <c r="W269" s="656" t="str">
        <f>+VLOOKUP($L269,Data_Validation!$A:$E,5,0)</f>
        <v>$</v>
      </c>
      <c r="X269" s="656">
        <f>+VLOOKUP($L269,Data_Validation!$A:$F,6,0)</f>
        <v>0</v>
      </c>
    </row>
    <row r="270" spans="1:24" ht="15" customHeight="1">
      <c r="A270" s="1332" t="s">
        <v>1217</v>
      </c>
      <c r="B270" s="1332" t="s">
        <v>1218</v>
      </c>
      <c r="C270" s="1334">
        <v>2529.36</v>
      </c>
      <c r="D270" s="1334">
        <v>1280</v>
      </c>
      <c r="E270" s="1334">
        <v>3809.36</v>
      </c>
      <c r="F270" s="1332" t="s">
        <v>1154</v>
      </c>
      <c r="G270" s="1332" t="s">
        <v>1218</v>
      </c>
      <c r="H270" s="1332" t="s">
        <v>3942</v>
      </c>
      <c r="I270" s="652"/>
      <c r="J270" s="652"/>
      <c r="K270" s="652"/>
      <c r="L270" s="653" t="str">
        <f t="shared" si="176"/>
        <v>6186</v>
      </c>
      <c r="M270" s="654" t="str">
        <f t="shared" si="177"/>
        <v>ASSURANCE BATIMENT</v>
      </c>
      <c r="N270" s="655">
        <f>+IF(OR($Q270=Parametres!$G$2,$Q270=Parametres!$G$3),I270,C270)</f>
        <v>2529.36</v>
      </c>
      <c r="O270" s="655">
        <f>+IF(OR($Q270=Parametres!$G$2,$Q270=Parametres!$G$3),J270,D270)</f>
        <v>1280</v>
      </c>
      <c r="P270" s="655">
        <f>+IF(OR($Q270=Parametres!$G$2,$Q270=Parametres!$G$3),K270,E270)</f>
        <v>3809.36</v>
      </c>
      <c r="Q270" s="654" t="str">
        <f t="shared" si="178"/>
        <v>7-Dépenses</v>
      </c>
      <c r="R270" s="653" t="str">
        <f t="shared" si="179"/>
        <v>6186</v>
      </c>
      <c r="S270" s="654" t="str">
        <f t="shared" si="180"/>
        <v>_</v>
      </c>
      <c r="T270" s="656" t="str">
        <f>+VLOOKUP($L270,Data_Validation!$A:$D,1,0)</f>
        <v>6186</v>
      </c>
      <c r="U270" s="656" t="str">
        <f>+VLOOKUP($L270,Data_Validation!$A:$D,3,0)</f>
        <v>Véhicules neufs</v>
      </c>
      <c r="V270" s="656" t="str">
        <f>+VLOOKUP($L270,Data_Validation!$A:$D,4,0)</f>
        <v>Assurances</v>
      </c>
      <c r="W270" s="656" t="str">
        <f>+VLOOKUP($L270,Data_Validation!$A:$E,5,0)</f>
        <v>$</v>
      </c>
      <c r="X270" s="656">
        <f>+VLOOKUP($L270,Data_Validation!$A:$F,6,0)</f>
        <v>0</v>
      </c>
    </row>
    <row r="271" spans="1:24" ht="15" customHeight="1">
      <c r="A271" s="1332" t="s">
        <v>1219</v>
      </c>
      <c r="B271" s="1332" t="s">
        <v>1220</v>
      </c>
      <c r="C271" s="1334">
        <v>10560</v>
      </c>
      <c r="D271" s="1334">
        <v>5280</v>
      </c>
      <c r="E271" s="1334">
        <v>15840</v>
      </c>
      <c r="F271" s="1332" t="s">
        <v>1154</v>
      </c>
      <c r="G271" s="1332" t="s">
        <v>1220</v>
      </c>
      <c r="H271" s="1332" t="s">
        <v>3942</v>
      </c>
      <c r="I271" s="670"/>
      <c r="J271" s="651"/>
      <c r="K271" s="670"/>
      <c r="L271" s="653" t="str">
        <f t="shared" si="176"/>
        <v>6187</v>
      </c>
      <c r="M271" s="654" t="str">
        <f t="shared" si="177"/>
        <v>TAXE SUR PROPRIETE</v>
      </c>
      <c r="N271" s="655">
        <f>+IF(OR($Q271=Parametres!$G$2,$Q271=Parametres!$G$3),I271,C271)</f>
        <v>10560</v>
      </c>
      <c r="O271" s="655">
        <f>+IF(OR($Q271=Parametres!$G$2,$Q271=Parametres!$G$3),J271,D271)</f>
        <v>5280</v>
      </c>
      <c r="P271" s="655">
        <f>+IF(OR($Q271=Parametres!$G$2,$Q271=Parametres!$G$3),K271,E271)</f>
        <v>15840</v>
      </c>
      <c r="Q271" s="654" t="str">
        <f t="shared" si="178"/>
        <v>7-Dépenses</v>
      </c>
      <c r="R271" s="653" t="str">
        <f t="shared" si="179"/>
        <v>6187</v>
      </c>
      <c r="S271" s="654" t="str">
        <f t="shared" si="180"/>
        <v>_</v>
      </c>
      <c r="T271" s="656" t="str">
        <f>+VLOOKUP($L271,Data_Validation!$A:$D,1,0)</f>
        <v>6187</v>
      </c>
      <c r="U271" s="656" t="str">
        <f>+VLOOKUP($L271,Data_Validation!$A:$D,3,0)</f>
        <v>Véhicules neufs</v>
      </c>
      <c r="V271" s="656" t="str">
        <f>+VLOOKUP($L271,Data_Validation!$A:$D,4,0)</f>
        <v>Taxes foncières</v>
      </c>
      <c r="W271" s="656" t="str">
        <f>+VLOOKUP($L271,Data_Validation!$A:$E,5,0)</f>
        <v>$</v>
      </c>
      <c r="X271" s="656">
        <f>+VLOOKUP($L271,Data_Validation!$A:$F,6,0)</f>
        <v>0</v>
      </c>
    </row>
    <row r="272" spans="1:24" ht="15.75" customHeight="1">
      <c r="A272" s="1332" t="s">
        <v>1221</v>
      </c>
      <c r="B272" s="1332" t="s">
        <v>1222</v>
      </c>
      <c r="C272" s="1334">
        <v>960</v>
      </c>
      <c r="D272" s="1334">
        <v>480</v>
      </c>
      <c r="E272" s="1334">
        <v>1440</v>
      </c>
      <c r="F272" s="1332" t="s">
        <v>1154</v>
      </c>
      <c r="G272" s="1332" t="s">
        <v>1222</v>
      </c>
      <c r="H272" s="1332" t="s">
        <v>3942</v>
      </c>
      <c r="I272" s="672"/>
      <c r="J272" s="663"/>
      <c r="K272" s="672"/>
      <c r="L272" s="653" t="str">
        <f t="shared" si="176"/>
        <v>6193</v>
      </c>
      <c r="M272" s="654" t="str">
        <f t="shared" si="177"/>
        <v>TAXES AUTRES PERMIS LICENCE</v>
      </c>
      <c r="N272" s="655">
        <f>+IF(OR($Q272=Parametres!$G$2,$Q272=Parametres!$G$3),I272,C272)</f>
        <v>960</v>
      </c>
      <c r="O272" s="655">
        <f>+IF(OR($Q272=Parametres!$G$2,$Q272=Parametres!$G$3),J272,D272)</f>
        <v>480</v>
      </c>
      <c r="P272" s="655">
        <f>+IF(OR($Q272=Parametres!$G$2,$Q272=Parametres!$G$3),K272,E272)</f>
        <v>1440</v>
      </c>
      <c r="Q272" s="654" t="str">
        <f t="shared" si="178"/>
        <v>7-Dépenses</v>
      </c>
      <c r="R272" s="653" t="str">
        <f t="shared" si="179"/>
        <v>6193</v>
      </c>
      <c r="S272" s="654" t="str">
        <f t="shared" si="180"/>
        <v>_</v>
      </c>
      <c r="T272" s="656" t="str">
        <f>+VLOOKUP($L272,Data_Validation!$A:$D,1,0)</f>
        <v>6193</v>
      </c>
      <c r="U272" s="656" t="str">
        <f>+VLOOKUP($L272,Data_Validation!$A:$D,3,0)</f>
        <v>Véhicules neufs</v>
      </c>
      <c r="V272" s="656" t="str">
        <f>+VLOOKUP($L272,Data_Validation!$A:$D,4,0)</f>
        <v>Taxes d`affaires</v>
      </c>
      <c r="W272" s="656" t="str">
        <f>+VLOOKUP($L272,Data_Validation!$A:$E,5,0)</f>
        <v>$</v>
      </c>
      <c r="X272" s="656">
        <f>+VLOOKUP($L272,Data_Validation!$A:$F,6,0)</f>
        <v>0</v>
      </c>
    </row>
    <row r="273" spans="1:24" ht="15" customHeight="1">
      <c r="A273" s="1332" t="s">
        <v>1223</v>
      </c>
      <c r="B273" s="1332" t="s">
        <v>1224</v>
      </c>
      <c r="C273" s="1334">
        <v>14668.3</v>
      </c>
      <c r="D273" s="1334">
        <v>2255.87</v>
      </c>
      <c r="E273" s="1334">
        <v>16924.169999999998</v>
      </c>
      <c r="F273" s="1332" t="s">
        <v>1154</v>
      </c>
      <c r="G273" s="1332" t="s">
        <v>1224</v>
      </c>
      <c r="H273" s="1332" t="s">
        <v>3942</v>
      </c>
      <c r="I273" s="652"/>
      <c r="J273" s="652"/>
      <c r="K273" s="652"/>
      <c r="L273" s="653" t="str">
        <f t="shared" si="176"/>
        <v>6194</v>
      </c>
      <c r="M273" s="654" t="str">
        <f t="shared" si="177"/>
        <v>HONORAIRES PROFESSIONNELS</v>
      </c>
      <c r="N273" s="655">
        <f>+IF(OR($Q273=Parametres!$G$2,$Q273=Parametres!$G$3),I273,C273)</f>
        <v>14668.3</v>
      </c>
      <c r="O273" s="659">
        <f>+IF(OR($Q273=Parametres!$G$2,$Q273=Parametres!$G$3),J273,D273)</f>
        <v>2255.87</v>
      </c>
      <c r="P273" s="655">
        <f>+IF(OR($Q273=Parametres!$G$2,$Q273=Parametres!$G$3),K273,E273)</f>
        <v>16924.169999999998</v>
      </c>
      <c r="Q273" s="654" t="str">
        <f t="shared" si="178"/>
        <v>7-Dépenses</v>
      </c>
      <c r="R273" s="653" t="str">
        <f t="shared" si="179"/>
        <v>6194</v>
      </c>
      <c r="S273" s="654" t="str">
        <f t="shared" si="180"/>
        <v>_</v>
      </c>
      <c r="T273" s="656" t="str">
        <f>+VLOOKUP($L273,Data_Validation!$A:$D,1,0)</f>
        <v>6194</v>
      </c>
      <c r="U273" s="656" t="str">
        <f>+VLOOKUP($L273,Data_Validation!$A:$D,3,0)</f>
        <v>Véhicules neufs</v>
      </c>
      <c r="V273" s="656" t="str">
        <f>+VLOOKUP($L273,Data_Validation!$A:$D,4,0)</f>
        <v>Honoraires</v>
      </c>
      <c r="W273" s="656" t="str">
        <f>+VLOOKUP($L273,Data_Validation!$A:$E,5,0)</f>
        <v>$</v>
      </c>
      <c r="X273" s="656">
        <f>+VLOOKUP($L273,Data_Validation!$A:$F,6,0)</f>
        <v>0</v>
      </c>
    </row>
    <row r="274" spans="1:24" ht="15" customHeight="1">
      <c r="A274" s="1332" t="s">
        <v>1225</v>
      </c>
      <c r="B274" s="1332" t="s">
        <v>2319</v>
      </c>
      <c r="C274" s="1334">
        <v>19169.939999999999</v>
      </c>
      <c r="D274" s="1334">
        <v>10589.1</v>
      </c>
      <c r="E274" s="1334">
        <v>29759.040000000001</v>
      </c>
      <c r="F274" s="1332" t="s">
        <v>1154</v>
      </c>
      <c r="G274" s="1332" t="s">
        <v>1155</v>
      </c>
      <c r="H274" s="1332" t="s">
        <v>3942</v>
      </c>
      <c r="I274" s="670"/>
      <c r="J274" s="651"/>
      <c r="K274" s="670"/>
      <c r="L274" s="653" t="str">
        <f t="shared" si="176"/>
        <v>6201</v>
      </c>
      <c r="M274" s="654" t="str">
        <f t="shared" si="177"/>
        <v>COMMISSION USAGES</v>
      </c>
      <c r="N274" s="655">
        <f>+IF(OR($Q274=Parametres!$G$2,$Q274=Parametres!$G$3),I274,C274)</f>
        <v>19169.939999999999</v>
      </c>
      <c r="O274" s="655">
        <f>+IF(OR($Q274=Parametres!$G$2,$Q274=Parametres!$G$3),J274,D274)</f>
        <v>10589.1</v>
      </c>
      <c r="P274" s="655">
        <f>+IF(OR($Q274=Parametres!$G$2,$Q274=Parametres!$G$3),K274,E274)</f>
        <v>29759.040000000001</v>
      </c>
      <c r="Q274" s="654" t="str">
        <f t="shared" si="178"/>
        <v>7-Dépenses</v>
      </c>
      <c r="R274" s="653" t="str">
        <f t="shared" si="179"/>
        <v>6101</v>
      </c>
      <c r="S274" s="654" t="str">
        <f t="shared" si="180"/>
        <v>_</v>
      </c>
      <c r="T274" s="656" t="str">
        <f>+VLOOKUP($L274,Data_Validation!$A:$D,1,0)</f>
        <v>6201</v>
      </c>
      <c r="U274" s="656" t="str">
        <f>+VLOOKUP($L274,Data_Validation!$A:$D,3,0)</f>
        <v>Véhicules usagés</v>
      </c>
      <c r="V274" s="656" t="str">
        <f>+VLOOKUP($L274,Data_Validation!$A:$D,4,0)</f>
        <v>Comm. vendeurs</v>
      </c>
      <c r="W274" s="656" t="str">
        <f>+VLOOKUP($L274,Data_Validation!$A:$E,5,0)</f>
        <v>$</v>
      </c>
      <c r="X274" s="656">
        <f>+VLOOKUP($L274,Data_Validation!$A:$F,6,0)</f>
        <v>0</v>
      </c>
    </row>
    <row r="275" spans="1:24" ht="15" customHeight="1">
      <c r="A275" s="1332" t="s">
        <v>1156</v>
      </c>
      <c r="B275" s="1332" t="s">
        <v>2322</v>
      </c>
      <c r="C275" s="1334">
        <v>24034.63</v>
      </c>
      <c r="D275" s="1334">
        <v>5756.98</v>
      </c>
      <c r="E275" s="1334">
        <v>29791.61</v>
      </c>
      <c r="F275" s="1332" t="s">
        <v>1154</v>
      </c>
      <c r="G275" s="1332" t="s">
        <v>1157</v>
      </c>
      <c r="H275" s="1332" t="s">
        <v>3942</v>
      </c>
      <c r="I275" s="652"/>
      <c r="J275" s="652"/>
      <c r="K275" s="652"/>
      <c r="L275" s="653" t="str">
        <f t="shared" si="176"/>
        <v>6202</v>
      </c>
      <c r="M275" s="654" t="str">
        <f t="shared" si="177"/>
        <v>RENUMERATION F &amp; I</v>
      </c>
      <c r="N275" s="655">
        <f>+IF(OR($Q275=Parametres!$G$2,$Q275=Parametres!$G$3),I275,C275)</f>
        <v>24034.63</v>
      </c>
      <c r="O275" s="655">
        <f>+IF(OR($Q275=Parametres!$G$2,$Q275=Parametres!$G$3),J275,D275)</f>
        <v>5756.98</v>
      </c>
      <c r="P275" s="655">
        <f>+IF(OR($Q275=Parametres!$G$2,$Q275=Parametres!$G$3),K275,E275)</f>
        <v>29791.61</v>
      </c>
      <c r="Q275" s="654" t="str">
        <f t="shared" si="178"/>
        <v>7-Dépenses</v>
      </c>
      <c r="R275" s="653" t="str">
        <f t="shared" si="179"/>
        <v>6102</v>
      </c>
      <c r="S275" s="654" t="str">
        <f t="shared" si="180"/>
        <v>_</v>
      </c>
      <c r="T275" s="656" t="str">
        <f>+VLOOKUP($L275,Data_Validation!$A:$D,1,0)</f>
        <v>6202</v>
      </c>
      <c r="U275" s="656" t="str">
        <f>+VLOOKUP($L275,Data_Validation!$A:$D,3,0)</f>
        <v>Véhicules usagés</v>
      </c>
      <c r="V275" s="656" t="str">
        <f>+VLOOKUP($L275,Data_Validation!$A:$D,4,0)</f>
        <v>Comm. F&amp;I</v>
      </c>
      <c r="W275" s="656" t="str">
        <f>+VLOOKUP($L275,Data_Validation!$A:$E,5,0)</f>
        <v>$</v>
      </c>
      <c r="X275" s="656">
        <f>+VLOOKUP($L275,Data_Validation!$A:$F,6,0)</f>
        <v>0</v>
      </c>
    </row>
    <row r="276" spans="1:24" ht="15" customHeight="1">
      <c r="A276" s="1332" t="s">
        <v>1226</v>
      </c>
      <c r="B276" s="1332" t="s">
        <v>2325</v>
      </c>
      <c r="C276" s="1334">
        <v>3637.68</v>
      </c>
      <c r="D276" s="1334">
        <v>195.38</v>
      </c>
      <c r="E276" s="1334">
        <v>3833.06</v>
      </c>
      <c r="F276" s="1332" t="s">
        <v>1154</v>
      </c>
      <c r="G276" s="1332" t="s">
        <v>1159</v>
      </c>
      <c r="H276" s="1332" t="s">
        <v>3942</v>
      </c>
      <c r="I276" s="670"/>
      <c r="J276" s="651"/>
      <c r="K276" s="670"/>
      <c r="L276" s="653" t="str">
        <f t="shared" si="176"/>
        <v>6203</v>
      </c>
      <c r="M276" s="654" t="str">
        <f t="shared" si="177"/>
        <v>RELAT. A LA CLIENTELLE &amp; AJUST</v>
      </c>
      <c r="N276" s="655">
        <f>+IF(OR($Q276=Parametres!$G$2,$Q276=Parametres!$G$3),I276,C276)</f>
        <v>3637.68</v>
      </c>
      <c r="O276" s="655">
        <f>+IF(OR($Q276=Parametres!$G$2,$Q276=Parametres!$G$3),J276,D276)</f>
        <v>195.38</v>
      </c>
      <c r="P276" s="655">
        <f>+IF(OR($Q276=Parametres!$G$2,$Q276=Parametres!$G$3),K276,E276)</f>
        <v>3833.06</v>
      </c>
      <c r="Q276" s="654" t="str">
        <f t="shared" si="178"/>
        <v>7-Dépenses</v>
      </c>
      <c r="R276" s="653" t="str">
        <f t="shared" si="179"/>
        <v>6103</v>
      </c>
      <c r="S276" s="654" t="str">
        <f t="shared" si="180"/>
        <v>_</v>
      </c>
      <c r="T276" s="656" t="str">
        <f>+VLOOKUP($L276,Data_Validation!$A:$D,1,0)</f>
        <v>6203</v>
      </c>
      <c r="U276" s="656" t="str">
        <f>+VLOOKUP($L276,Data_Validation!$A:$D,3,0)</f>
        <v>Véhicules usagés</v>
      </c>
      <c r="V276" s="656" t="str">
        <f>+VLOOKUP($L276,Data_Validation!$A:$D,4,0)</f>
        <v>Service gratuit 1</v>
      </c>
      <c r="W276" s="656" t="str">
        <f>+VLOOKUP($L276,Data_Validation!$A:$E,5,0)</f>
        <v>$</v>
      </c>
      <c r="X276" s="656">
        <f>+VLOOKUP($L276,Data_Validation!$A:$F,6,0)</f>
        <v>0</v>
      </c>
    </row>
    <row r="277" spans="1:24" ht="15" customHeight="1">
      <c r="A277" s="1332" t="s">
        <v>1160</v>
      </c>
      <c r="B277" s="1332" t="s">
        <v>2328</v>
      </c>
      <c r="C277" s="1334">
        <v>12879.98</v>
      </c>
      <c r="D277" s="1334">
        <v>3600.9</v>
      </c>
      <c r="E277" s="1334">
        <v>16480.88</v>
      </c>
      <c r="F277" s="1332" t="s">
        <v>1154</v>
      </c>
      <c r="G277" s="1332" t="s">
        <v>1161</v>
      </c>
      <c r="H277" s="1332" t="s">
        <v>3942</v>
      </c>
      <c r="I277" s="652"/>
      <c r="J277" s="652"/>
      <c r="K277" s="652"/>
      <c r="L277" s="653" t="str">
        <f t="shared" si="176"/>
        <v>6206</v>
      </c>
      <c r="M277" s="654" t="str">
        <f t="shared" si="177"/>
        <v>ENTRETIEN DES STOCKS</v>
      </c>
      <c r="N277" s="655">
        <f>+IF(OR($Q277=Parametres!$G$2,$Q277=Parametres!$G$3),I277,C277)</f>
        <v>12879.98</v>
      </c>
      <c r="O277" s="655">
        <f>+IF(OR($Q277=Parametres!$G$2,$Q277=Parametres!$G$3),J277,D277)</f>
        <v>3600.9</v>
      </c>
      <c r="P277" s="655">
        <f>+IF(OR($Q277=Parametres!$G$2,$Q277=Parametres!$G$3),K277,E277)</f>
        <v>16480.88</v>
      </c>
      <c r="Q277" s="654" t="str">
        <f t="shared" si="178"/>
        <v>7-Dépenses</v>
      </c>
      <c r="R277" s="653" t="str">
        <f t="shared" si="179"/>
        <v>6106</v>
      </c>
      <c r="S277" s="654" t="str">
        <f t="shared" si="180"/>
        <v>_</v>
      </c>
      <c r="T277" s="656" t="str">
        <f>+VLOOKUP($L277,Data_Validation!$A:$D,1,0)</f>
        <v>6206</v>
      </c>
      <c r="U277" s="656" t="str">
        <f>+VLOOKUP($L277,Data_Validation!$A:$D,3,0)</f>
        <v>Véhicules usagés</v>
      </c>
      <c r="V277" s="656" t="str">
        <f>+VLOOKUP($L277,Data_Validation!$A:$D,4,0)</f>
        <v>Entretien stock</v>
      </c>
      <c r="W277" s="656" t="str">
        <f>+VLOOKUP($L277,Data_Validation!$A:$E,5,0)</f>
        <v>$</v>
      </c>
      <c r="X277" s="656">
        <f>+VLOOKUP($L277,Data_Validation!$A:$F,6,0)</f>
        <v>0</v>
      </c>
    </row>
    <row r="278" spans="1:24" ht="15" customHeight="1">
      <c r="A278" s="1332" t="s">
        <v>1162</v>
      </c>
      <c r="B278" s="1332" t="s">
        <v>2331</v>
      </c>
      <c r="C278" s="1334">
        <v>667.4</v>
      </c>
      <c r="D278" s="1334">
        <v>1401.15</v>
      </c>
      <c r="E278" s="1334">
        <v>2068.5500000000002</v>
      </c>
      <c r="F278" s="1332" t="s">
        <v>1154</v>
      </c>
      <c r="G278" s="1332" t="s">
        <v>1163</v>
      </c>
      <c r="H278" s="1332" t="s">
        <v>3942</v>
      </c>
      <c r="I278" s="670"/>
      <c r="J278" s="651"/>
      <c r="K278" s="670"/>
      <c r="L278" s="653" t="str">
        <f t="shared" si="176"/>
        <v>6207</v>
      </c>
      <c r="M278" s="654" t="str">
        <f t="shared" si="177"/>
        <v>INTERET-PLAN DE FINANCEMENT</v>
      </c>
      <c r="N278" s="655">
        <f>+IF(OR($Q278=Parametres!$G$2,$Q278=Parametres!$G$3),I278,C278)</f>
        <v>667.4</v>
      </c>
      <c r="O278" s="659">
        <f>+IF(OR($Q278=Parametres!$G$2,$Q278=Parametres!$G$3),J278,D278)</f>
        <v>1401.15</v>
      </c>
      <c r="P278" s="655">
        <f>+IF(OR($Q278=Parametres!$G$2,$Q278=Parametres!$G$3),K278,E278)</f>
        <v>2068.5500000000002</v>
      </c>
      <c r="Q278" s="654" t="str">
        <f t="shared" si="178"/>
        <v>7-Dépenses</v>
      </c>
      <c r="R278" s="653" t="str">
        <f t="shared" si="179"/>
        <v>6107</v>
      </c>
      <c r="S278" s="654" t="str">
        <f t="shared" si="180"/>
        <v>_</v>
      </c>
      <c r="T278" s="656" t="str">
        <f>+VLOOKUP($L278,Data_Validation!$A:$D,1,0)</f>
        <v>6207</v>
      </c>
      <c r="U278" s="656" t="str">
        <f>+VLOOKUP($L278,Data_Validation!$A:$D,3,0)</f>
        <v>Véhicules usagés</v>
      </c>
      <c r="V278" s="656" t="str">
        <f>+VLOOKUP($L278,Data_Validation!$A:$D,4,0)</f>
        <v>Intérêt de gros</v>
      </c>
      <c r="W278" s="656" t="str">
        <f>+VLOOKUP($L278,Data_Validation!$A:$E,5,0)</f>
        <v>$</v>
      </c>
      <c r="X278" s="656">
        <f>+VLOOKUP($L278,Data_Validation!$A:$F,6,0)</f>
        <v>0</v>
      </c>
    </row>
    <row r="279" spans="1:24" ht="15.75" customHeight="1">
      <c r="A279" s="1332" t="s">
        <v>1164</v>
      </c>
      <c r="B279" s="1332" t="s">
        <v>2334</v>
      </c>
      <c r="C279" s="1334">
        <v>-1619.11</v>
      </c>
      <c r="D279" s="1334">
        <v>-320.88</v>
      </c>
      <c r="E279" s="1334">
        <v>-1939.99</v>
      </c>
      <c r="F279" s="1332" t="s">
        <v>1154</v>
      </c>
      <c r="G279" s="1332" t="s">
        <v>1165</v>
      </c>
      <c r="H279" s="1332" t="s">
        <v>3942</v>
      </c>
      <c r="I279" s="652"/>
      <c r="J279" s="652"/>
      <c r="K279" s="652"/>
      <c r="L279" s="653" t="str">
        <f t="shared" si="176"/>
        <v>6208</v>
      </c>
      <c r="M279" s="654" t="str">
        <f t="shared" si="177"/>
        <v>FRAIS DE LIVRAISON</v>
      </c>
      <c r="N279" s="655">
        <f>+IF(OR($Q279=Parametres!$G$2,$Q279=Parametres!$G$3),I279,C279)</f>
        <v>-1619.11</v>
      </c>
      <c r="O279" s="659">
        <f>+IF(OR($Q279=Parametres!$G$2,$Q279=Parametres!$G$3),J279,D279)</f>
        <v>-320.88</v>
      </c>
      <c r="P279" s="655">
        <f>+IF(OR($Q279=Parametres!$G$2,$Q279=Parametres!$G$3),K279,E279)</f>
        <v>-1939.99</v>
      </c>
      <c r="Q279" s="654" t="str">
        <f t="shared" si="178"/>
        <v>7-Dépenses</v>
      </c>
      <c r="R279" s="653" t="str">
        <f t="shared" si="179"/>
        <v>6108</v>
      </c>
      <c r="S279" s="654" t="str">
        <f t="shared" si="180"/>
        <v>_</v>
      </c>
      <c r="T279" s="656" t="str">
        <f>+VLOOKUP($L279,Data_Validation!$A:$D,1,0)</f>
        <v>6208</v>
      </c>
      <c r="U279" s="656" t="str">
        <f>+VLOOKUP($L279,Data_Validation!$A:$D,3,0)</f>
        <v>Véhicules usagés</v>
      </c>
      <c r="V279" s="656" t="str">
        <f>+VLOOKUP($L279,Data_Validation!$A:$D,4,0)</f>
        <v>Frais de livraison</v>
      </c>
      <c r="W279" s="656" t="str">
        <f>+VLOOKUP($L279,Data_Validation!$A:$E,5,0)</f>
        <v>$</v>
      </c>
      <c r="X279" s="656">
        <f>+VLOOKUP($L279,Data_Validation!$A:$F,6,0)</f>
        <v>0</v>
      </c>
    </row>
    <row r="280" spans="1:24" ht="15" customHeight="1">
      <c r="A280" s="1332" t="s">
        <v>1166</v>
      </c>
      <c r="B280" s="1332" t="s">
        <v>2340</v>
      </c>
      <c r="C280" s="1334">
        <v>20996.78</v>
      </c>
      <c r="D280" s="1334">
        <v>9433.0300000000007</v>
      </c>
      <c r="E280" s="1334">
        <v>30429.81</v>
      </c>
      <c r="F280" s="1332" t="s">
        <v>1154</v>
      </c>
      <c r="G280" s="1332" t="s">
        <v>1167</v>
      </c>
      <c r="H280" s="1332" t="s">
        <v>3942</v>
      </c>
      <c r="I280" s="652"/>
      <c r="J280" s="652"/>
      <c r="K280" s="652"/>
      <c r="L280" s="653" t="str">
        <f t="shared" si="176"/>
        <v>6214</v>
      </c>
      <c r="M280" s="654" t="str">
        <f t="shared" si="177"/>
        <v>PUBLICITE</v>
      </c>
      <c r="N280" s="655">
        <f>+IF(OR($Q280=Parametres!$G$2,$Q280=Parametres!$G$3),I280,C280)</f>
        <v>20996.78</v>
      </c>
      <c r="O280" s="655">
        <f>+IF(OR($Q280=Parametres!$G$2,$Q280=Parametres!$G$3),J280,D280)</f>
        <v>9433.0300000000007</v>
      </c>
      <c r="P280" s="655">
        <f>+IF(OR($Q280=Parametres!$G$2,$Q280=Parametres!$G$3),K280,E280)</f>
        <v>30429.81</v>
      </c>
      <c r="Q280" s="654" t="str">
        <f t="shared" si="178"/>
        <v>7-Dépenses</v>
      </c>
      <c r="R280" s="653" t="str">
        <f t="shared" si="179"/>
        <v>6114</v>
      </c>
      <c r="S280" s="654" t="str">
        <f t="shared" si="180"/>
        <v>_</v>
      </c>
      <c r="T280" s="656" t="str">
        <f>+VLOOKUP($L280,Data_Validation!$A:$D,1,0)</f>
        <v>6214</v>
      </c>
      <c r="U280" s="656" t="str">
        <f>+VLOOKUP($L280,Data_Validation!$A:$D,3,0)</f>
        <v>Véhicules usagés</v>
      </c>
      <c r="V280" s="656" t="str">
        <f>+VLOOKUP($L280,Data_Validation!$A:$D,4,0)</f>
        <v>Publicité 1</v>
      </c>
      <c r="W280" s="656" t="str">
        <f>+VLOOKUP($L280,Data_Validation!$A:$E,5,0)</f>
        <v>$</v>
      </c>
      <c r="X280" s="656">
        <f>+VLOOKUP($L280,Data_Validation!$A:$F,6,0)</f>
        <v>0</v>
      </c>
    </row>
    <row r="281" spans="1:24" ht="15" customHeight="1">
      <c r="A281" s="1332" t="s">
        <v>1227</v>
      </c>
      <c r="B281" s="1332" t="s">
        <v>2343</v>
      </c>
      <c r="C281" s="1334">
        <v>-5300</v>
      </c>
      <c r="D281" s="1334">
        <v>-1800</v>
      </c>
      <c r="E281" s="1334">
        <v>-7100</v>
      </c>
      <c r="F281" s="1332" t="s">
        <v>1154</v>
      </c>
      <c r="G281" s="1332" t="s">
        <v>1167</v>
      </c>
      <c r="H281" s="1332" t="s">
        <v>3942</v>
      </c>
      <c r="I281" s="670"/>
      <c r="J281" s="660"/>
      <c r="K281" s="670"/>
      <c r="L281" s="653" t="str">
        <f t="shared" si="176"/>
        <v>6215</v>
      </c>
      <c r="M281" s="668" t="str">
        <f t="shared" si="177"/>
        <v>CREDIT PUBLICITE USAGES</v>
      </c>
      <c r="N281" s="655">
        <f>+IF(OR($Q281=Parametres!$G$2,$Q281=Parametres!$G$3),I281,C281)</f>
        <v>-5300</v>
      </c>
      <c r="O281" s="659">
        <f>+IF(OR($Q281=Parametres!$G$2,$Q281=Parametres!$G$3),J281,D281)</f>
        <v>-1800</v>
      </c>
      <c r="P281" s="669">
        <f>+IF(OR($Q281=Parametres!$G$2,$Q281=Parametres!$G$3),K281,E281)</f>
        <v>-7100</v>
      </c>
      <c r="Q281" s="654" t="str">
        <f t="shared" si="178"/>
        <v>7-Dépenses</v>
      </c>
      <c r="R281" s="653" t="str">
        <f t="shared" si="179"/>
        <v>6114</v>
      </c>
      <c r="S281" s="654" t="str">
        <f t="shared" si="180"/>
        <v>_</v>
      </c>
      <c r="T281" s="656" t="str">
        <f>+VLOOKUP($L281,Data_Validation!$A:$D,1,0)</f>
        <v>6215</v>
      </c>
      <c r="U281" s="656" t="str">
        <f>+VLOOKUP($L281,Data_Validation!$A:$D,3,0)</f>
        <v>Véhicules usagés</v>
      </c>
      <c r="V281" s="656" t="str">
        <f>+VLOOKUP($L281,Data_Validation!$A:$D,4,0)</f>
        <v>Publicité 1</v>
      </c>
      <c r="W281" s="656" t="str">
        <f>+VLOOKUP($L281,Data_Validation!$A:$E,5,0)</f>
        <v>$</v>
      </c>
      <c r="X281" s="656">
        <f>+VLOOKUP($L281,Data_Validation!$A:$F,6,0)</f>
        <v>0</v>
      </c>
    </row>
    <row r="282" spans="1:24" ht="15" customHeight="1">
      <c r="A282" s="1332" t="s">
        <v>3959</v>
      </c>
      <c r="B282" s="1332" t="s">
        <v>2349</v>
      </c>
      <c r="C282" s="1334">
        <v>2612.35</v>
      </c>
      <c r="D282" s="1334">
        <v>938.18</v>
      </c>
      <c r="E282" s="1334">
        <v>3550.53</v>
      </c>
      <c r="F282" s="1332" t="s">
        <v>1154</v>
      </c>
      <c r="G282" s="1332" t="s">
        <v>1170</v>
      </c>
      <c r="H282" s="1332" t="s">
        <v>3942</v>
      </c>
      <c r="I282" s="652"/>
      <c r="J282" s="652"/>
      <c r="K282" s="652"/>
      <c r="L282" s="653" t="str">
        <f t="shared" si="176"/>
        <v>6221</v>
      </c>
      <c r="M282" s="654" t="str">
        <f t="shared" si="177"/>
        <v>SALAIRES - DIRECTION GENERALE</v>
      </c>
      <c r="N282" s="655">
        <f>+IF(OR($Q282=Parametres!$G$2,$Q282=Parametres!$G$3),I282,C282)</f>
        <v>2612.35</v>
      </c>
      <c r="O282" s="655">
        <f>+IF(OR($Q282=Parametres!$G$2,$Q282=Parametres!$G$3),J282,D282)</f>
        <v>938.18</v>
      </c>
      <c r="P282" s="655">
        <f>+IF(OR($Q282=Parametres!$G$2,$Q282=Parametres!$G$3),K282,E282)</f>
        <v>3550.53</v>
      </c>
      <c r="Q282" s="654" t="str">
        <f t="shared" si="178"/>
        <v>7-Dépenses</v>
      </c>
      <c r="R282" s="653" t="str">
        <f t="shared" si="179"/>
        <v>6121</v>
      </c>
      <c r="S282" s="654" t="str">
        <f t="shared" si="180"/>
        <v>_</v>
      </c>
      <c r="T282" s="656" t="str">
        <f>+VLOOKUP($L282,Data_Validation!$A:$D,1,0)</f>
        <v>6221</v>
      </c>
      <c r="U282" s="656" t="str">
        <f>+VLOOKUP($L282,Data_Validation!$A:$D,3,0)</f>
        <v>Véhicules usagés</v>
      </c>
      <c r="V282" s="656" t="str">
        <f>+VLOOKUP($L282,Data_Validation!$A:$D,4,0)</f>
        <v>Salaires propriétaire</v>
      </c>
      <c r="W282" s="656" t="str">
        <f>+VLOOKUP($L282,Data_Validation!$A:$E,5,0)</f>
        <v>$</v>
      </c>
      <c r="X282" s="656">
        <f>+VLOOKUP($L282,Data_Validation!$A:$F,6,0)</f>
        <v>0</v>
      </c>
    </row>
    <row r="283" spans="1:24" ht="15.75" customHeight="1">
      <c r="A283" s="1332" t="s">
        <v>1171</v>
      </c>
      <c r="B283" s="1332" t="s">
        <v>2352</v>
      </c>
      <c r="C283" s="1334">
        <v>17529.7</v>
      </c>
      <c r="D283" s="1334">
        <v>7451.74</v>
      </c>
      <c r="E283" s="1334">
        <v>24981.439999999999</v>
      </c>
      <c r="F283" s="1332" t="s">
        <v>1154</v>
      </c>
      <c r="G283" s="1332" t="s">
        <v>1172</v>
      </c>
      <c r="H283" s="1332" t="s">
        <v>3942</v>
      </c>
      <c r="I283" s="663"/>
      <c r="J283" s="663"/>
      <c r="K283" s="663"/>
      <c r="L283" s="653" t="str">
        <f t="shared" si="176"/>
        <v>6222</v>
      </c>
      <c r="M283" s="654" t="str">
        <f t="shared" si="177"/>
        <v>SAL SUPERVISION / GERANT</v>
      </c>
      <c r="N283" s="655">
        <f>+IF(OR($Q283=Parametres!$G$2,$Q283=Parametres!$G$3),I283,C283)</f>
        <v>17529.7</v>
      </c>
      <c r="O283" s="655">
        <f>+IF(OR($Q283=Parametres!$G$2,$Q283=Parametres!$G$3),J283,D283)</f>
        <v>7451.74</v>
      </c>
      <c r="P283" s="655">
        <f>+IF(OR($Q283=Parametres!$G$2,$Q283=Parametres!$G$3),K283,E283)</f>
        <v>24981.439999999999</v>
      </c>
      <c r="Q283" s="654" t="str">
        <f t="shared" si="178"/>
        <v>7-Dépenses</v>
      </c>
      <c r="R283" s="653" t="str">
        <f t="shared" si="179"/>
        <v>6122</v>
      </c>
      <c r="S283" s="654" t="str">
        <f t="shared" si="180"/>
        <v>_</v>
      </c>
      <c r="T283" s="656" t="str">
        <f>+VLOOKUP($L283,Data_Validation!$A:$D,1,0)</f>
        <v>6222</v>
      </c>
      <c r="U283" s="656" t="str">
        <f>+VLOOKUP($L283,Data_Validation!$A:$D,3,0)</f>
        <v>Véhicules usagés</v>
      </c>
      <c r="V283" s="656" t="str">
        <f>+VLOOKUP($L283,Data_Validation!$A:$D,4,0)</f>
        <v>Salaires cadres</v>
      </c>
      <c r="W283" s="656" t="str">
        <f>+VLOOKUP($L283,Data_Validation!$A:$E,5,0)</f>
        <v>$</v>
      </c>
      <c r="X283" s="656">
        <f>+VLOOKUP($L283,Data_Validation!$A:$F,6,0)</f>
        <v>0</v>
      </c>
    </row>
    <row r="284" spans="1:24" ht="15" customHeight="1">
      <c r="A284" s="1332" t="s">
        <v>1173</v>
      </c>
      <c r="B284" s="1332" t="s">
        <v>2355</v>
      </c>
      <c r="C284" s="1334">
        <v>9614.6299999999992</v>
      </c>
      <c r="D284" s="1334">
        <v>2746.74</v>
      </c>
      <c r="E284" s="1334">
        <v>12361.37</v>
      </c>
      <c r="F284" s="1332" t="s">
        <v>1154</v>
      </c>
      <c r="G284" s="1332" t="s">
        <v>1174</v>
      </c>
      <c r="H284" s="1332" t="s">
        <v>3942</v>
      </c>
      <c r="I284" s="651"/>
      <c r="J284" s="651"/>
      <c r="K284" s="670"/>
      <c r="L284" s="653" t="str">
        <f t="shared" si="176"/>
        <v>6223</v>
      </c>
      <c r="M284" s="654" t="str">
        <f t="shared" si="177"/>
        <v>SAL. &amp; RENUM. - CLERICAL</v>
      </c>
      <c r="N284" s="655">
        <f>+IF(OR($Q284=Parametres!$G$2,$Q284=Parametres!$G$3),I284,C284)</f>
        <v>9614.6299999999992</v>
      </c>
      <c r="O284" s="659">
        <f>+IF(OR($Q284=Parametres!$G$2,$Q284=Parametres!$G$3),J284,D284)</f>
        <v>2746.74</v>
      </c>
      <c r="P284" s="655">
        <f>+IF(OR($Q284=Parametres!$G$2,$Q284=Parametres!$G$3),K284,E284)</f>
        <v>12361.37</v>
      </c>
      <c r="Q284" s="654" t="str">
        <f t="shared" si="178"/>
        <v>7-Dépenses</v>
      </c>
      <c r="R284" s="653" t="str">
        <f t="shared" si="179"/>
        <v>6123</v>
      </c>
      <c r="S284" s="654" t="str">
        <f t="shared" si="180"/>
        <v>_</v>
      </c>
      <c r="T284" s="656" t="str">
        <f>+VLOOKUP($L284,Data_Validation!$A:$D,1,0)</f>
        <v>6223</v>
      </c>
      <c r="U284" s="656" t="str">
        <f>+VLOOKUP($L284,Data_Validation!$A:$D,3,0)</f>
        <v>Véhicules usagés</v>
      </c>
      <c r="V284" s="656" t="str">
        <f>+VLOOKUP($L284,Data_Validation!$A:$D,4,0)</f>
        <v>Salaires commis</v>
      </c>
      <c r="W284" s="656" t="str">
        <f>+VLOOKUP($L284,Data_Validation!$A:$E,5,0)</f>
        <v>$</v>
      </c>
      <c r="X284" s="656">
        <f>+VLOOKUP($L284,Data_Validation!$A:$F,6,0)</f>
        <v>0</v>
      </c>
    </row>
    <row r="285" spans="1:24" ht="15" customHeight="1">
      <c r="A285" s="1332" t="s">
        <v>1228</v>
      </c>
      <c r="B285" s="1332" t="s">
        <v>2358</v>
      </c>
      <c r="C285" s="1334">
        <v>12980.68</v>
      </c>
      <c r="D285" s="1334">
        <v>7219.66</v>
      </c>
      <c r="E285" s="1334">
        <v>20200.34</v>
      </c>
      <c r="F285" s="1332" t="s">
        <v>1154</v>
      </c>
      <c r="G285" s="1332" t="s">
        <v>1176</v>
      </c>
      <c r="H285" s="1332" t="s">
        <v>3942</v>
      </c>
      <c r="I285" s="652"/>
      <c r="J285" s="652"/>
      <c r="K285" s="652"/>
      <c r="L285" s="653" t="str">
        <f t="shared" si="176"/>
        <v>6224</v>
      </c>
      <c r="M285" s="654" t="str">
        <f t="shared" si="177"/>
        <v>SALAIRE &amp; RENUM. - AUTRES</v>
      </c>
      <c r="N285" s="655">
        <f>+IF(OR($Q285=Parametres!$G$2,$Q285=Parametres!$G$3),I285,C285)</f>
        <v>12980.68</v>
      </c>
      <c r="O285" s="655">
        <f>+IF(OR($Q285=Parametres!$G$2,$Q285=Parametres!$G$3),J285,D285)</f>
        <v>7219.66</v>
      </c>
      <c r="P285" s="655">
        <f>+IF(OR($Q285=Parametres!$G$2,$Q285=Parametres!$G$3),K285,E285)</f>
        <v>20200.34</v>
      </c>
      <c r="Q285" s="654" t="str">
        <f t="shared" si="178"/>
        <v>7-Dépenses</v>
      </c>
      <c r="R285" s="653" t="str">
        <f t="shared" si="179"/>
        <v>6124</v>
      </c>
      <c r="S285" s="654" t="str">
        <f t="shared" si="180"/>
        <v>_</v>
      </c>
      <c r="T285" s="656" t="str">
        <f>+VLOOKUP($L285,Data_Validation!$A:$D,1,0)</f>
        <v>6224</v>
      </c>
      <c r="U285" s="656" t="str">
        <f>+VLOOKUP($L285,Data_Validation!$A:$D,3,0)</f>
        <v>Véhicules usagés</v>
      </c>
      <c r="V285" s="656" t="str">
        <f>+VLOOKUP($L285,Data_Validation!$A:$D,4,0)</f>
        <v>Salaires autres</v>
      </c>
      <c r="W285" s="656" t="str">
        <f>+VLOOKUP($L285,Data_Validation!$A:$E,5,0)</f>
        <v>$</v>
      </c>
      <c r="X285" s="656">
        <f>+VLOOKUP($L285,Data_Validation!$A:$F,6,0)</f>
        <v>0</v>
      </c>
    </row>
    <row r="286" spans="1:24" ht="15" customHeight="1">
      <c r="A286" s="1332" t="s">
        <v>1229</v>
      </c>
      <c r="B286" s="1332" t="s">
        <v>2359</v>
      </c>
      <c r="C286" s="1334">
        <v>13550.1</v>
      </c>
      <c r="D286" s="1334">
        <v>6771.26</v>
      </c>
      <c r="E286" s="1334">
        <v>20321.36</v>
      </c>
      <c r="F286" s="1332" t="s">
        <v>1154</v>
      </c>
      <c r="G286" s="1332" t="s">
        <v>1178</v>
      </c>
      <c r="H286" s="1332" t="s">
        <v>3942</v>
      </c>
      <c r="I286" s="652"/>
      <c r="J286" s="652"/>
      <c r="K286" s="652"/>
      <c r="L286" s="653" t="str">
        <f t="shared" si="176"/>
        <v>6229</v>
      </c>
      <c r="M286" s="654" t="str">
        <f t="shared" si="177"/>
        <v>ABS.,VACANCES &amp; SAL. JOURS FER</v>
      </c>
      <c r="N286" s="655">
        <f>+IF(OR($Q286=Parametres!$G$2,$Q286=Parametres!$G$3),I286,C286)</f>
        <v>13550.1</v>
      </c>
      <c r="O286" s="659">
        <f>+IF(OR($Q286=Parametres!$G$2,$Q286=Parametres!$G$3),J286,D286)</f>
        <v>6771.26</v>
      </c>
      <c r="P286" s="655">
        <f>+IF(OR($Q286=Parametres!$G$2,$Q286=Parametres!$G$3),K286,E286)</f>
        <v>20321.36</v>
      </c>
      <c r="Q286" s="654" t="str">
        <f t="shared" si="178"/>
        <v>7-Dépenses</v>
      </c>
      <c r="R286" s="653" t="str">
        <f t="shared" si="179"/>
        <v>6129</v>
      </c>
      <c r="S286" s="654" t="str">
        <f t="shared" si="180"/>
        <v>_</v>
      </c>
      <c r="T286" s="656" t="str">
        <f>+VLOOKUP($L286,Data_Validation!$A:$D,1,0)</f>
        <v>6229</v>
      </c>
      <c r="U286" s="656" t="str">
        <f>+VLOOKUP($L286,Data_Validation!$A:$D,3,0)</f>
        <v>Véhicules usagés</v>
      </c>
      <c r="V286" s="656" t="str">
        <f>+VLOOKUP($L286,Data_Validation!$A:$D,4,0)</f>
        <v>Salaires en absences</v>
      </c>
      <c r="W286" s="656" t="str">
        <f>+VLOOKUP($L286,Data_Validation!$A:$E,5,0)</f>
        <v>$</v>
      </c>
      <c r="X286" s="656">
        <f>+VLOOKUP($L286,Data_Validation!$A:$F,6,0)</f>
        <v>0</v>
      </c>
    </row>
    <row r="287" spans="1:24" ht="15.75" customHeight="1">
      <c r="A287" s="1332" t="s">
        <v>1179</v>
      </c>
      <c r="B287" s="1332" t="s">
        <v>2362</v>
      </c>
      <c r="C287" s="1334">
        <v>2612.6999999999998</v>
      </c>
      <c r="D287" s="1334">
        <v>653.87</v>
      </c>
      <c r="E287" s="1334">
        <v>3266.57</v>
      </c>
      <c r="F287" s="1332" t="s">
        <v>1154</v>
      </c>
      <c r="G287" s="1332" t="s">
        <v>1180</v>
      </c>
      <c r="H287" s="1332" t="s">
        <v>3942</v>
      </c>
      <c r="I287" s="652"/>
      <c r="J287" s="652"/>
      <c r="K287" s="652"/>
      <c r="L287" s="653" t="str">
        <f t="shared" si="176"/>
        <v>6231</v>
      </c>
      <c r="M287" s="654" t="str">
        <f t="shared" si="177"/>
        <v>CSST</v>
      </c>
      <c r="N287" s="655">
        <f>+IF(OR($Q287=Parametres!$G$2,$Q287=Parametres!$G$3),I287,C287)</f>
        <v>2612.6999999999998</v>
      </c>
      <c r="O287" s="655">
        <f>+IF(OR($Q287=Parametres!$G$2,$Q287=Parametres!$G$3),J287,D287)</f>
        <v>653.87</v>
      </c>
      <c r="P287" s="655">
        <f>+IF(OR($Q287=Parametres!$G$2,$Q287=Parametres!$G$3),K287,E287)</f>
        <v>3266.57</v>
      </c>
      <c r="Q287" s="654" t="str">
        <f t="shared" si="178"/>
        <v>7-Dépenses</v>
      </c>
      <c r="R287" s="653" t="str">
        <f t="shared" si="179"/>
        <v>6131</v>
      </c>
      <c r="S287" s="654" t="str">
        <f t="shared" si="180"/>
        <v>_</v>
      </c>
      <c r="T287" s="656" t="str">
        <f>+VLOOKUP($L287,Data_Validation!$A:$D,1,0)</f>
        <v>6231</v>
      </c>
      <c r="U287" s="656" t="str">
        <f>+VLOOKUP($L287,Data_Validation!$A:$D,3,0)</f>
        <v>Véhicules usagés</v>
      </c>
      <c r="V287" s="656" t="str">
        <f>+VLOOKUP($L287,Data_Validation!$A:$D,4,0)</f>
        <v>Csst</v>
      </c>
      <c r="W287" s="656" t="str">
        <f>+VLOOKUP($L287,Data_Validation!$A:$E,5,0)</f>
        <v>$</v>
      </c>
      <c r="X287" s="656">
        <f>+VLOOKUP($L287,Data_Validation!$A:$F,6,0)</f>
        <v>0</v>
      </c>
    </row>
    <row r="288" spans="1:24" ht="15" customHeight="1">
      <c r="A288" s="1332" t="s">
        <v>1181</v>
      </c>
      <c r="B288" s="1332" t="s">
        <v>2365</v>
      </c>
      <c r="C288" s="1334">
        <v>17832.37</v>
      </c>
      <c r="D288" s="1334">
        <v>7969.54</v>
      </c>
      <c r="E288" s="1334">
        <v>25801.91</v>
      </c>
      <c r="F288" s="1332" t="s">
        <v>1154</v>
      </c>
      <c r="G288" s="1332" t="s">
        <v>1182</v>
      </c>
      <c r="H288" s="1332" t="s">
        <v>3942</v>
      </c>
      <c r="I288" s="663"/>
      <c r="J288" s="663"/>
      <c r="K288" s="663"/>
      <c r="L288" s="653" t="str">
        <f t="shared" si="176"/>
        <v>6232</v>
      </c>
      <c r="M288" s="654" t="str">
        <f t="shared" si="177"/>
        <v>RRQ RAMQ AC</v>
      </c>
      <c r="N288" s="655">
        <f>+IF(OR($Q288=Parametres!$G$2,$Q288=Parametres!$G$3),I288,C288)</f>
        <v>17832.37</v>
      </c>
      <c r="O288" s="655">
        <f>+IF(OR($Q288=Parametres!$G$2,$Q288=Parametres!$G$3),J288,D288)</f>
        <v>7969.54</v>
      </c>
      <c r="P288" s="655">
        <f>+IF(OR($Q288=Parametres!$G$2,$Q288=Parametres!$G$3),K288,E288)</f>
        <v>25801.91</v>
      </c>
      <c r="Q288" s="654" t="str">
        <f t="shared" si="178"/>
        <v>7-Dépenses</v>
      </c>
      <c r="R288" s="653" t="str">
        <f t="shared" si="179"/>
        <v>6132</v>
      </c>
      <c r="S288" s="654" t="str">
        <f t="shared" si="180"/>
        <v>_</v>
      </c>
      <c r="T288" s="656" t="str">
        <f>+VLOOKUP($L288,Data_Validation!$A:$D,1,0)</f>
        <v>6232</v>
      </c>
      <c r="U288" s="656" t="str">
        <f>+VLOOKUP($L288,Data_Validation!$A:$D,3,0)</f>
        <v>Véhicules usagés</v>
      </c>
      <c r="V288" s="656" t="str">
        <f>+VLOOKUP($L288,Data_Validation!$A:$D,4,0)</f>
        <v>Déduction à la source</v>
      </c>
      <c r="W288" s="656" t="str">
        <f>+VLOOKUP($L288,Data_Validation!$A:$E,5,0)</f>
        <v>$</v>
      </c>
      <c r="X288" s="656">
        <f>+VLOOKUP($L288,Data_Validation!$A:$F,6,0)</f>
        <v>0</v>
      </c>
    </row>
    <row r="289" spans="1:24" ht="15" customHeight="1">
      <c r="A289" s="1332" t="s">
        <v>1230</v>
      </c>
      <c r="B289" s="1332" t="s">
        <v>3389</v>
      </c>
      <c r="C289" s="1334">
        <v>5780.75</v>
      </c>
      <c r="D289" s="1334">
        <v>2558.9499999999998</v>
      </c>
      <c r="E289" s="1334">
        <v>8339.7000000000007</v>
      </c>
      <c r="F289" s="1332" t="s">
        <v>1154</v>
      </c>
      <c r="G289" s="1332" t="s">
        <v>1184</v>
      </c>
      <c r="H289" s="1332" t="s">
        <v>3942</v>
      </c>
      <c r="I289" s="670"/>
      <c r="J289" s="651"/>
      <c r="K289" s="670"/>
      <c r="L289" s="653" t="str">
        <f t="shared" si="176"/>
        <v>6233</v>
      </c>
      <c r="M289" s="654" t="str">
        <f t="shared" si="177"/>
        <v>FOND PENSION - USAGE</v>
      </c>
      <c r="N289" s="655">
        <f>+IF(OR($Q289=Parametres!$G$2,$Q289=Parametres!$G$3),I289,C289)</f>
        <v>5780.75</v>
      </c>
      <c r="O289" s="655">
        <f>+IF(OR($Q289=Parametres!$G$2,$Q289=Parametres!$G$3),J289,D289)</f>
        <v>2558.9499999999998</v>
      </c>
      <c r="P289" s="655">
        <f>+IF(OR($Q289=Parametres!$G$2,$Q289=Parametres!$G$3),K289,E289)</f>
        <v>8339.7000000000007</v>
      </c>
      <c r="Q289" s="654" t="str">
        <f t="shared" si="178"/>
        <v>7-Dépenses</v>
      </c>
      <c r="R289" s="653" t="str">
        <f t="shared" si="179"/>
        <v>6133</v>
      </c>
      <c r="S289" s="654" t="str">
        <f t="shared" si="180"/>
        <v>_</v>
      </c>
      <c r="T289" s="656" t="str">
        <f>+VLOOKUP($L289,Data_Validation!$A:$D,1,0)</f>
        <v>6233</v>
      </c>
      <c r="U289" s="656" t="str">
        <f>+VLOOKUP($L289,Data_Validation!$A:$D,3,0)</f>
        <v>Véhicules usagés</v>
      </c>
      <c r="V289" s="656" t="str">
        <f>+VLOOKUP($L289,Data_Validation!$A:$D,4,0)</f>
        <v>Bénéfices marginaux</v>
      </c>
      <c r="W289" s="656" t="str">
        <f>+VLOOKUP($L289,Data_Validation!$A:$E,5,0)</f>
        <v>$</v>
      </c>
      <c r="X289" s="656">
        <f>+VLOOKUP($L289,Data_Validation!$A:$F,6,0)</f>
        <v>0</v>
      </c>
    </row>
    <row r="290" spans="1:24" ht="15" customHeight="1">
      <c r="A290" s="1332" t="s">
        <v>1231</v>
      </c>
      <c r="B290" s="1332" t="s">
        <v>2368</v>
      </c>
      <c r="C290" s="1334">
        <v>2629.49</v>
      </c>
      <c r="D290" s="1334">
        <v>1345.21</v>
      </c>
      <c r="E290" s="1334">
        <v>3974.7</v>
      </c>
      <c r="F290" s="1332" t="s">
        <v>1154</v>
      </c>
      <c r="G290" s="1332" t="s">
        <v>1186</v>
      </c>
      <c r="H290" s="1332" t="s">
        <v>3942</v>
      </c>
      <c r="I290" s="652"/>
      <c r="J290" s="652"/>
      <c r="K290" s="652"/>
      <c r="L290" s="653" t="str">
        <f t="shared" si="176"/>
        <v>6239</v>
      </c>
      <c r="M290" s="654" t="str">
        <f t="shared" si="177"/>
        <v>ASSURANCE GROUPE</v>
      </c>
      <c r="N290" s="655">
        <f>+IF(OR($Q290=Parametres!$G$2,$Q290=Parametres!$G$3),I290,C290)</f>
        <v>2629.49</v>
      </c>
      <c r="O290" s="655">
        <f>+IF(OR($Q290=Parametres!$G$2,$Q290=Parametres!$G$3),J290,D290)</f>
        <v>1345.21</v>
      </c>
      <c r="P290" s="655">
        <f>+IF(OR($Q290=Parametres!$G$2,$Q290=Parametres!$G$3),K290,E290)</f>
        <v>3974.7</v>
      </c>
      <c r="Q290" s="654" t="str">
        <f t="shared" si="178"/>
        <v>7-Dépenses</v>
      </c>
      <c r="R290" s="653" t="str">
        <f t="shared" si="179"/>
        <v>6139</v>
      </c>
      <c r="S290" s="654" t="str">
        <f t="shared" si="180"/>
        <v>_</v>
      </c>
      <c r="T290" s="656" t="str">
        <f>+VLOOKUP($L290,Data_Validation!$A:$D,1,0)</f>
        <v>6239</v>
      </c>
      <c r="U290" s="656" t="str">
        <f>+VLOOKUP($L290,Data_Validation!$A:$D,3,0)</f>
        <v>Véhicules usagés</v>
      </c>
      <c r="V290" s="656" t="str">
        <f>+VLOOKUP($L290,Data_Validation!$A:$D,4,0)</f>
        <v>Bénéfices marginaux</v>
      </c>
      <c r="W290" s="656" t="str">
        <f>+VLOOKUP($L290,Data_Validation!$A:$E,5,0)</f>
        <v>$</v>
      </c>
      <c r="X290" s="656">
        <f>+VLOOKUP($L290,Data_Validation!$A:$F,6,0)</f>
        <v>0</v>
      </c>
    </row>
    <row r="291" spans="1:24" ht="15.75" customHeight="1">
      <c r="A291" s="1332" t="s">
        <v>1191</v>
      </c>
      <c r="B291" s="1332" t="s">
        <v>2379</v>
      </c>
      <c r="C291" s="1334">
        <v>793.17</v>
      </c>
      <c r="D291" s="1334">
        <v>263.76</v>
      </c>
      <c r="E291" s="1334">
        <v>1056.93</v>
      </c>
      <c r="F291" s="1332" t="s">
        <v>1154</v>
      </c>
      <c r="G291" s="1332" t="s">
        <v>1192</v>
      </c>
      <c r="H291" s="1332" t="s">
        <v>3942</v>
      </c>
      <c r="I291" s="651"/>
      <c r="J291" s="651"/>
      <c r="K291" s="670"/>
      <c r="L291" s="653" t="str">
        <f t="shared" si="176"/>
        <v>6244</v>
      </c>
      <c r="M291" s="654" t="str">
        <f t="shared" si="177"/>
        <v>FORMATION</v>
      </c>
      <c r="N291" s="655">
        <f>+IF(OR($Q291=Parametres!$G$2,$Q291=Parametres!$G$3),I291,C291)</f>
        <v>793.17</v>
      </c>
      <c r="O291" s="659">
        <f>+IF(OR($Q291=Parametres!$G$2,$Q291=Parametres!$G$3),J291,D291)</f>
        <v>263.76</v>
      </c>
      <c r="P291" s="655">
        <f>+IF(OR($Q291=Parametres!$G$2,$Q291=Parametres!$G$3),K291,E291)</f>
        <v>1056.93</v>
      </c>
      <c r="Q291" s="654" t="str">
        <f t="shared" si="178"/>
        <v>7-Dépenses</v>
      </c>
      <c r="R291" s="653" t="str">
        <f t="shared" si="179"/>
        <v>6144</v>
      </c>
      <c r="S291" s="654" t="str">
        <f t="shared" si="180"/>
        <v>_</v>
      </c>
      <c r="T291" s="656" t="str">
        <f>+VLOOKUP($L291,Data_Validation!$A:$D,1,0)</f>
        <v>6244</v>
      </c>
      <c r="U291" s="656" t="str">
        <f>+VLOOKUP($L291,Data_Validation!$A:$D,3,0)</f>
        <v>Véhicules usagés</v>
      </c>
      <c r="V291" s="656" t="str">
        <f>+VLOOKUP($L291,Data_Validation!$A:$D,4,0)</f>
        <v>Formation</v>
      </c>
      <c r="W291" s="656" t="str">
        <f>+VLOOKUP($L291,Data_Validation!$A:$E,5,0)</f>
        <v>$</v>
      </c>
      <c r="X291" s="656">
        <f>+VLOOKUP($L291,Data_Validation!$A:$F,6,0)</f>
        <v>0</v>
      </c>
    </row>
    <row r="292" spans="1:24" ht="15" customHeight="1">
      <c r="A292" s="1332" t="s">
        <v>1193</v>
      </c>
      <c r="B292" s="1332" t="s">
        <v>2382</v>
      </c>
      <c r="C292" s="1334">
        <v>3426.4</v>
      </c>
      <c r="D292" s="1334">
        <v>2403.85</v>
      </c>
      <c r="E292" s="1334">
        <v>5830.25</v>
      </c>
      <c r="F292" s="1332" t="s">
        <v>1154</v>
      </c>
      <c r="G292" s="1332" t="s">
        <v>1194</v>
      </c>
      <c r="H292" s="1332" t="s">
        <v>3942</v>
      </c>
      <c r="I292" s="652"/>
      <c r="J292" s="652"/>
      <c r="K292" s="652"/>
      <c r="L292" s="653" t="str">
        <f t="shared" si="176"/>
        <v>6245</v>
      </c>
      <c r="M292" s="654" t="str">
        <f t="shared" si="177"/>
        <v>VEHICULE DE COMPAGNIE - DEPENS</v>
      </c>
      <c r="N292" s="655">
        <f>+IF(OR($Q292=Parametres!$G$2,$Q292=Parametres!$G$3),I292,C292)</f>
        <v>3426.4</v>
      </c>
      <c r="O292" s="655">
        <f>+IF(OR($Q292=Parametres!$G$2,$Q292=Parametres!$G$3),J292,D292)</f>
        <v>2403.85</v>
      </c>
      <c r="P292" s="655">
        <f>+IF(OR($Q292=Parametres!$G$2,$Q292=Parametres!$G$3),K292,E292)</f>
        <v>5830.25</v>
      </c>
      <c r="Q292" s="654" t="str">
        <f t="shared" si="178"/>
        <v>7-Dépenses</v>
      </c>
      <c r="R292" s="653" t="str">
        <f t="shared" si="179"/>
        <v>6145</v>
      </c>
      <c r="S292" s="654" t="str">
        <f t="shared" si="180"/>
        <v>_</v>
      </c>
      <c r="T292" s="656" t="str">
        <f>+VLOOKUP($L292,Data_Validation!$A:$D,1,0)</f>
        <v>6245</v>
      </c>
      <c r="U292" s="656" t="str">
        <f>+VLOOKUP($L292,Data_Validation!$A:$D,3,0)</f>
        <v>Véhicules usagés</v>
      </c>
      <c r="V292" s="656" t="str">
        <f>+VLOOKUP($L292,Data_Validation!$A:$D,4,0)</f>
        <v>Frais véhicules de cie</v>
      </c>
      <c r="W292" s="656" t="str">
        <f>+VLOOKUP($L292,Data_Validation!$A:$E,5,0)</f>
        <v>$</v>
      </c>
      <c r="X292" s="656">
        <f>+VLOOKUP($L292,Data_Validation!$A:$F,6,0)</f>
        <v>0</v>
      </c>
    </row>
    <row r="293" spans="1:24" ht="15" customHeight="1">
      <c r="A293" s="1332" t="s">
        <v>1195</v>
      </c>
      <c r="B293" s="1332" t="s">
        <v>2385</v>
      </c>
      <c r="C293" s="1334">
        <v>340.38</v>
      </c>
      <c r="D293" s="1334">
        <v>27.74</v>
      </c>
      <c r="E293" s="1334">
        <v>368.12</v>
      </c>
      <c r="F293" s="1332" t="s">
        <v>1154</v>
      </c>
      <c r="G293" s="1332" t="s">
        <v>1196</v>
      </c>
      <c r="H293" s="1332" t="s">
        <v>3942</v>
      </c>
      <c r="I293" s="651"/>
      <c r="J293" s="651"/>
      <c r="K293" s="651"/>
      <c r="L293" s="653" t="str">
        <f t="shared" si="176"/>
        <v>6247</v>
      </c>
      <c r="M293" s="654" t="str">
        <f t="shared" si="177"/>
        <v>FRET/EXPRESS/TRANS. PAR CAMION</v>
      </c>
      <c r="N293" s="655">
        <f>+IF(OR($Q293=Parametres!$G$2,$Q293=Parametres!$G$3),I293,C293)</f>
        <v>340.38</v>
      </c>
      <c r="O293" s="655">
        <f>+IF(OR($Q293=Parametres!$G$2,$Q293=Parametres!$G$3),J293,D293)</f>
        <v>27.74</v>
      </c>
      <c r="P293" s="655">
        <f>+IF(OR($Q293=Parametres!$G$2,$Q293=Parametres!$G$3),K293,E293)</f>
        <v>368.12</v>
      </c>
      <c r="Q293" s="654" t="str">
        <f t="shared" si="178"/>
        <v>7-Dépenses</v>
      </c>
      <c r="R293" s="653" t="str">
        <f t="shared" si="179"/>
        <v>6147</v>
      </c>
      <c r="S293" s="654" t="str">
        <f t="shared" si="180"/>
        <v>_</v>
      </c>
      <c r="T293" s="656" t="str">
        <f>+VLOOKUP($L293,Data_Validation!$A:$D,1,0)</f>
        <v>6247</v>
      </c>
      <c r="U293" s="656" t="str">
        <f>+VLOOKUP($L293,Data_Validation!$A:$D,3,0)</f>
        <v>Véhicules usagés</v>
      </c>
      <c r="V293" s="656" t="str">
        <f>+VLOOKUP($L293,Data_Validation!$A:$D,4,0)</f>
        <v>Frais postaux</v>
      </c>
      <c r="W293" s="656" t="str">
        <f>+VLOOKUP($L293,Data_Validation!$A:$E,5,0)</f>
        <v>$</v>
      </c>
      <c r="X293" s="656">
        <f>+VLOOKUP($L293,Data_Validation!$A:$F,6,0)</f>
        <v>0</v>
      </c>
    </row>
    <row r="294" spans="1:24" ht="15" customHeight="1">
      <c r="A294" s="1332" t="s">
        <v>1197</v>
      </c>
      <c r="B294" s="1332" t="s">
        <v>2388</v>
      </c>
      <c r="C294" s="1334">
        <v>8308.06</v>
      </c>
      <c r="D294" s="1334">
        <v>3228.42</v>
      </c>
      <c r="E294" s="1334">
        <v>11536.48</v>
      </c>
      <c r="F294" s="1332" t="s">
        <v>1154</v>
      </c>
      <c r="G294" s="1332" t="s">
        <v>1198</v>
      </c>
      <c r="H294" s="1332" t="s">
        <v>3942</v>
      </c>
      <c r="I294" s="651"/>
      <c r="J294" s="651"/>
      <c r="K294" s="651"/>
      <c r="L294" s="653" t="str">
        <f t="shared" si="176"/>
        <v>6251</v>
      </c>
      <c r="M294" s="654" t="str">
        <f t="shared" si="177"/>
        <v>DEP. DU TRAITEMENT DES DONNEES</v>
      </c>
      <c r="N294" s="655">
        <f>+IF(OR($Q294=Parametres!$G$2,$Q294=Parametres!$G$3),I294,C294)</f>
        <v>8308.06</v>
      </c>
      <c r="O294" s="655">
        <f>+IF(OR($Q294=Parametres!$G$2,$Q294=Parametres!$G$3),J294,D294)</f>
        <v>3228.42</v>
      </c>
      <c r="P294" s="655">
        <f>+IF(OR($Q294=Parametres!$G$2,$Q294=Parametres!$G$3),K294,E294)</f>
        <v>11536.48</v>
      </c>
      <c r="Q294" s="654" t="str">
        <f t="shared" si="178"/>
        <v>7-Dépenses</v>
      </c>
      <c r="R294" s="653" t="str">
        <f t="shared" si="179"/>
        <v>6151</v>
      </c>
      <c r="S294" s="654" t="str">
        <f t="shared" si="180"/>
        <v>_</v>
      </c>
      <c r="T294" s="656" t="str">
        <f>+VLOOKUP($L294,Data_Validation!$A:$D,1,0)</f>
        <v>6251</v>
      </c>
      <c r="U294" s="656" t="str">
        <f>+VLOOKUP($L294,Data_Validation!$A:$D,3,0)</f>
        <v>Véhicules usagés</v>
      </c>
      <c r="V294" s="656" t="str">
        <f>+VLOOKUP($L294,Data_Validation!$A:$D,4,0)</f>
        <v>Informatique</v>
      </c>
      <c r="W294" s="656" t="str">
        <f>+VLOOKUP($L294,Data_Validation!$A:$E,5,0)</f>
        <v>$</v>
      </c>
      <c r="X294" s="656">
        <f>+VLOOKUP($L294,Data_Validation!$A:$F,6,0)</f>
        <v>0</v>
      </c>
    </row>
    <row r="295" spans="1:24" ht="15" customHeight="1">
      <c r="A295" s="1332" t="s">
        <v>1199</v>
      </c>
      <c r="B295" s="1332" t="s">
        <v>2391</v>
      </c>
      <c r="C295" s="1334">
        <v>1457.51</v>
      </c>
      <c r="D295" s="1334">
        <v>789.93</v>
      </c>
      <c r="E295" s="1334">
        <v>2247.44</v>
      </c>
      <c r="F295" s="1332" t="s">
        <v>1154</v>
      </c>
      <c r="G295" s="1332" t="s">
        <v>1200</v>
      </c>
      <c r="H295" s="1332" t="s">
        <v>3942</v>
      </c>
      <c r="I295" s="663"/>
      <c r="J295" s="663"/>
      <c r="K295" s="663"/>
      <c r="L295" s="653" t="str">
        <f t="shared" si="176"/>
        <v>6252</v>
      </c>
      <c r="M295" s="654" t="str">
        <f t="shared" si="177"/>
        <v>PAPETERIE</v>
      </c>
      <c r="N295" s="655">
        <f>+IF(OR($Q295=Parametres!$G$2,$Q295=Parametres!$G$3),I295,C295)</f>
        <v>1457.51</v>
      </c>
      <c r="O295" s="655">
        <f>+IF(OR($Q295=Parametres!$G$2,$Q295=Parametres!$G$3),J295,D295)</f>
        <v>789.93</v>
      </c>
      <c r="P295" s="655">
        <f>+IF(OR($Q295=Parametres!$G$2,$Q295=Parametres!$G$3),K295,E295)</f>
        <v>2247.44</v>
      </c>
      <c r="Q295" s="654" t="str">
        <f t="shared" si="178"/>
        <v>7-Dépenses</v>
      </c>
      <c r="R295" s="653" t="str">
        <f t="shared" si="179"/>
        <v>6152</v>
      </c>
      <c r="S295" s="654" t="str">
        <f t="shared" si="180"/>
        <v>_</v>
      </c>
      <c r="T295" s="656" t="str">
        <f>+VLOOKUP($L295,Data_Validation!$A:$D,1,0)</f>
        <v>6252</v>
      </c>
      <c r="U295" s="656" t="str">
        <f>+VLOOKUP($L295,Data_Validation!$A:$D,3,0)</f>
        <v>Véhicules usagés</v>
      </c>
      <c r="V295" s="656" t="str">
        <f>+VLOOKUP($L295,Data_Validation!$A:$D,4,0)</f>
        <v>Papeterie</v>
      </c>
      <c r="W295" s="656" t="str">
        <f>+VLOOKUP($L295,Data_Validation!$A:$E,5,0)</f>
        <v>$</v>
      </c>
      <c r="X295" s="656">
        <f>+VLOOKUP($L295,Data_Validation!$A:$F,6,0)</f>
        <v>0</v>
      </c>
    </row>
    <row r="296" spans="1:24" ht="15" customHeight="1">
      <c r="A296" s="1332" t="s">
        <v>1201</v>
      </c>
      <c r="B296" s="1332" t="s">
        <v>2394</v>
      </c>
      <c r="C296" s="1334">
        <v>265.83</v>
      </c>
      <c r="D296" s="1334">
        <v>66.209999999999994</v>
      </c>
      <c r="E296" s="1334">
        <v>332.04</v>
      </c>
      <c r="F296" s="1332" t="s">
        <v>1154</v>
      </c>
      <c r="G296" s="1332" t="s">
        <v>1202</v>
      </c>
      <c r="H296" s="1332" t="s">
        <v>3942</v>
      </c>
      <c r="I296" s="652"/>
      <c r="J296" s="652"/>
      <c r="K296" s="652"/>
      <c r="L296" s="653" t="str">
        <f t="shared" si="176"/>
        <v>6253</v>
      </c>
      <c r="M296" s="654" t="str">
        <f t="shared" si="177"/>
        <v>TELEPHONE ET TELEX</v>
      </c>
      <c r="N296" s="655">
        <f>+IF(OR($Q296=Parametres!$G$2,$Q296=Parametres!$G$3),I296,C296)</f>
        <v>265.83</v>
      </c>
      <c r="O296" s="655">
        <f>+IF(OR($Q296=Parametres!$G$2,$Q296=Parametres!$G$3),J296,D296)</f>
        <v>66.209999999999994</v>
      </c>
      <c r="P296" s="655">
        <f>+IF(OR($Q296=Parametres!$G$2,$Q296=Parametres!$G$3),K296,E296)</f>
        <v>332.04</v>
      </c>
      <c r="Q296" s="654" t="str">
        <f t="shared" si="178"/>
        <v>7-Dépenses</v>
      </c>
      <c r="R296" s="653" t="str">
        <f t="shared" si="179"/>
        <v>6153</v>
      </c>
      <c r="S296" s="654" t="str">
        <f t="shared" si="180"/>
        <v>_</v>
      </c>
      <c r="T296" s="656" t="str">
        <f>+VLOOKUP($L296,Data_Validation!$A:$D,1,0)</f>
        <v>6253</v>
      </c>
      <c r="U296" s="656" t="str">
        <f>+VLOOKUP($L296,Data_Validation!$A:$D,3,0)</f>
        <v>Véhicules usagés</v>
      </c>
      <c r="V296" s="656" t="str">
        <f>+VLOOKUP($L296,Data_Validation!$A:$D,4,0)</f>
        <v>Téléphone</v>
      </c>
      <c r="W296" s="656" t="str">
        <f>+VLOOKUP($L296,Data_Validation!$A:$E,5,0)</f>
        <v>$</v>
      </c>
      <c r="X296" s="656">
        <f>+VLOOKUP($L296,Data_Validation!$A:$F,6,0)</f>
        <v>0</v>
      </c>
    </row>
    <row r="297" spans="1:24" ht="15.75" customHeight="1">
      <c r="A297" s="1332" t="s">
        <v>1203</v>
      </c>
      <c r="B297" s="1332" t="s">
        <v>2397</v>
      </c>
      <c r="C297" s="1334">
        <v>206.47</v>
      </c>
      <c r="D297" s="1334">
        <v>126.98</v>
      </c>
      <c r="E297" s="1334">
        <v>333.45</v>
      </c>
      <c r="F297" s="1332" t="s">
        <v>1154</v>
      </c>
      <c r="G297" s="1332" t="s">
        <v>1204</v>
      </c>
      <c r="H297" s="1332" t="s">
        <v>3942</v>
      </c>
      <c r="I297" s="663"/>
      <c r="J297" s="663"/>
      <c r="K297" s="663"/>
      <c r="L297" s="653" t="str">
        <f t="shared" si="176"/>
        <v>6255</v>
      </c>
      <c r="M297" s="654" t="str">
        <f t="shared" si="177"/>
        <v>DEPENSES DIVERS</v>
      </c>
      <c r="N297" s="655">
        <f>+IF(OR($Q297=Parametres!$G$2,$Q297=Parametres!$G$3),I297,C297)</f>
        <v>206.47</v>
      </c>
      <c r="O297" s="655">
        <f>+IF(OR($Q297=Parametres!$G$2,$Q297=Parametres!$G$3),J297,D297)</f>
        <v>126.98</v>
      </c>
      <c r="P297" s="655">
        <f>+IF(OR($Q297=Parametres!$G$2,$Q297=Parametres!$G$3),K297,E297)</f>
        <v>333.45</v>
      </c>
      <c r="Q297" s="654" t="str">
        <f t="shared" si="178"/>
        <v>7-Dépenses</v>
      </c>
      <c r="R297" s="653" t="str">
        <f t="shared" si="179"/>
        <v>6155</v>
      </c>
      <c r="S297" s="654" t="str">
        <f t="shared" si="180"/>
        <v>_</v>
      </c>
      <c r="T297" s="656" t="str">
        <f>+VLOOKUP($L297,Data_Validation!$A:$D,1,0)</f>
        <v>6255</v>
      </c>
      <c r="U297" s="656" t="str">
        <f>+VLOOKUP($L297,Data_Validation!$A:$D,3,0)</f>
        <v>Véhicules usagés</v>
      </c>
      <c r="V297" s="656" t="str">
        <f>+VLOOKUP($L297,Data_Validation!$A:$D,4,0)</f>
        <v>Divers</v>
      </c>
      <c r="W297" s="656" t="str">
        <f>+VLOOKUP($L297,Data_Validation!$A:$E,5,0)</f>
        <v>$</v>
      </c>
      <c r="X297" s="656">
        <f>+VLOOKUP($L297,Data_Validation!$A:$F,6,0)</f>
        <v>0</v>
      </c>
    </row>
    <row r="298" spans="1:24" ht="15" customHeight="1">
      <c r="A298" s="1332" t="s">
        <v>1232</v>
      </c>
      <c r="B298" s="1332" t="s">
        <v>2400</v>
      </c>
      <c r="C298" s="1334">
        <v>391.05</v>
      </c>
      <c r="D298" s="1334">
        <v>747.18</v>
      </c>
      <c r="E298" s="1334">
        <v>1138.23</v>
      </c>
      <c r="F298" s="1332" t="s">
        <v>1154</v>
      </c>
      <c r="G298" s="1332" t="s">
        <v>1206</v>
      </c>
      <c r="H298" s="1332" t="s">
        <v>3942</v>
      </c>
      <c r="I298" s="651"/>
      <c r="J298" s="651"/>
      <c r="K298" s="651"/>
      <c r="L298" s="653" t="str">
        <f t="shared" si="176"/>
        <v>6256</v>
      </c>
      <c r="M298" s="654" t="str">
        <f t="shared" si="177"/>
        <v>FRAIS REPRESENTATION - USAGE</v>
      </c>
      <c r="N298" s="655">
        <f>+IF(OR($Q298=Parametres!$G$2,$Q298=Parametres!$G$3),I298,C298)</f>
        <v>391.05</v>
      </c>
      <c r="O298" s="655">
        <f>+IF(OR($Q298=Parametres!$G$2,$Q298=Parametres!$G$3),J298,D298)</f>
        <v>747.18</v>
      </c>
      <c r="P298" s="655">
        <f>+IF(OR($Q298=Parametres!$G$2,$Q298=Parametres!$G$3),K298,E298)</f>
        <v>1138.23</v>
      </c>
      <c r="Q298" s="654" t="str">
        <f t="shared" si="178"/>
        <v>7-Dépenses</v>
      </c>
      <c r="R298" s="653" t="str">
        <f t="shared" si="179"/>
        <v>6156</v>
      </c>
      <c r="S298" s="654" t="str">
        <f t="shared" si="180"/>
        <v>_</v>
      </c>
      <c r="T298" s="656" t="str">
        <f>+VLOOKUP($L298,Data_Validation!$A:$D,1,0)</f>
        <v>6256</v>
      </c>
      <c r="U298" s="656" t="str">
        <f>+VLOOKUP($L298,Data_Validation!$A:$D,3,0)</f>
        <v>Véhicules usagés</v>
      </c>
      <c r="V298" s="656" t="str">
        <f>+VLOOKUP($L298,Data_Validation!$A:$D,4,0)</f>
        <v>Frais de déplacement</v>
      </c>
      <c r="W298" s="656" t="str">
        <f>+VLOOKUP($L298,Data_Validation!$A:$E,5,0)</f>
        <v>$</v>
      </c>
      <c r="X298" s="656">
        <f>+VLOOKUP($L298,Data_Validation!$A:$F,6,0)</f>
        <v>0</v>
      </c>
    </row>
    <row r="299" spans="1:24" ht="15" customHeight="1">
      <c r="A299" s="1332" t="s">
        <v>1233</v>
      </c>
      <c r="B299" s="1332" t="s">
        <v>3390</v>
      </c>
      <c r="C299" s="1334">
        <v>2082.5</v>
      </c>
      <c r="D299" s="1334">
        <v>867.88</v>
      </c>
      <c r="E299" s="1334">
        <v>2950.38</v>
      </c>
      <c r="F299" s="1332" t="s">
        <v>1154</v>
      </c>
      <c r="G299" s="1332" t="s">
        <v>1234</v>
      </c>
      <c r="H299" s="1332" t="s">
        <v>3942</v>
      </c>
      <c r="I299" s="651"/>
      <c r="J299" s="651"/>
      <c r="K299" s="651"/>
      <c r="L299" s="653" t="str">
        <f t="shared" si="176"/>
        <v>6257</v>
      </c>
      <c r="M299" s="654" t="str">
        <f t="shared" si="177"/>
        <v>FRAIS BANCAIRES - USAGE</v>
      </c>
      <c r="N299" s="655">
        <f>+IF(OR($Q299=Parametres!$G$2,$Q299=Parametres!$G$3),I299,C299)</f>
        <v>2082.5</v>
      </c>
      <c r="O299" s="655">
        <f>+IF(OR($Q299=Parametres!$G$2,$Q299=Parametres!$G$3),J299,D299)</f>
        <v>867.88</v>
      </c>
      <c r="P299" s="655">
        <f>+IF(OR($Q299=Parametres!$G$2,$Q299=Parametres!$G$3),K299,E299)</f>
        <v>2950.38</v>
      </c>
      <c r="Q299" s="654" t="str">
        <f t="shared" si="178"/>
        <v>7-Dépenses</v>
      </c>
      <c r="R299" s="653" t="str">
        <f t="shared" si="179"/>
        <v>625</v>
      </c>
      <c r="S299" s="654" t="str">
        <f t="shared" si="180"/>
        <v>_</v>
      </c>
      <c r="T299" s="656" t="str">
        <f>+VLOOKUP($L299,Data_Validation!$A:$D,1,0)</f>
        <v>6257</v>
      </c>
      <c r="U299" s="656" t="str">
        <f>+VLOOKUP($L299,Data_Validation!$A:$D,3,0)</f>
        <v>Véhicules usagés</v>
      </c>
      <c r="V299" s="656" t="str">
        <f>+VLOOKUP($L299,Data_Validation!$A:$D,4,0)</f>
        <v>Frais bancaires</v>
      </c>
      <c r="W299" s="656" t="str">
        <f>+VLOOKUP($L299,Data_Validation!$A:$E,5,0)</f>
        <v>$</v>
      </c>
      <c r="X299" s="656">
        <f>+VLOOKUP($L299,Data_Validation!$A:$F,6,0)</f>
        <v>0</v>
      </c>
    </row>
    <row r="300" spans="1:24" ht="15" customHeight="1">
      <c r="A300" s="1332" t="s">
        <v>1209</v>
      </c>
      <c r="B300" s="1332" t="s">
        <v>2403</v>
      </c>
      <c r="C300" s="1334">
        <v>3603.24</v>
      </c>
      <c r="D300" s="1334">
        <v>2337.7600000000002</v>
      </c>
      <c r="E300" s="1334">
        <v>5941</v>
      </c>
      <c r="F300" s="1332" t="s">
        <v>1154</v>
      </c>
      <c r="G300" s="1332" t="s">
        <v>1210</v>
      </c>
      <c r="H300" s="1332" t="s">
        <v>3942</v>
      </c>
      <c r="I300" s="651"/>
      <c r="J300" s="651"/>
      <c r="K300" s="670"/>
      <c r="L300" s="653" t="str">
        <f t="shared" si="176"/>
        <v>6259</v>
      </c>
      <c r="M300" s="654" t="str">
        <f t="shared" si="177"/>
        <v>SERVICE EXTERIEUR</v>
      </c>
      <c r="N300" s="655">
        <f>+IF(OR($Q300=Parametres!$G$2,$Q300=Parametres!$G$3),I300,C300)</f>
        <v>3603.24</v>
      </c>
      <c r="O300" s="655">
        <f>+IF(OR($Q300=Parametres!$G$2,$Q300=Parametres!$G$3),J300,D300)</f>
        <v>2337.7600000000002</v>
      </c>
      <c r="P300" s="655">
        <f>+IF(OR($Q300=Parametres!$G$2,$Q300=Parametres!$G$3),K300,E300)</f>
        <v>5941</v>
      </c>
      <c r="Q300" s="654" t="str">
        <f t="shared" si="178"/>
        <v>7-Dépenses</v>
      </c>
      <c r="R300" s="653" t="str">
        <f t="shared" si="179"/>
        <v>6159</v>
      </c>
      <c r="S300" s="654" t="str">
        <f t="shared" si="180"/>
        <v>_</v>
      </c>
      <c r="T300" s="656" t="str">
        <f>+VLOOKUP($L300,Data_Validation!$A:$D,1,0)</f>
        <v>6259</v>
      </c>
      <c r="U300" s="656" t="str">
        <f>+VLOOKUP($L300,Data_Validation!$A:$D,3,0)</f>
        <v>Véhicules usagés</v>
      </c>
      <c r="V300" s="656" t="str">
        <f>+VLOOKUP($L300,Data_Validation!$A:$D,4,0)</f>
        <v>Services extérieurs</v>
      </c>
      <c r="W300" s="656" t="str">
        <f>+VLOOKUP($L300,Data_Validation!$A:$E,5,0)</f>
        <v>$</v>
      </c>
      <c r="X300" s="656">
        <f>+VLOOKUP($L300,Data_Validation!$A:$F,6,0)</f>
        <v>0</v>
      </c>
    </row>
    <row r="301" spans="1:24" ht="15.75" customHeight="1">
      <c r="A301" s="1332" t="s">
        <v>1211</v>
      </c>
      <c r="B301" s="1332" t="s">
        <v>2406</v>
      </c>
      <c r="C301" s="1334">
        <v>2284.08</v>
      </c>
      <c r="D301" s="1334">
        <v>1142.04</v>
      </c>
      <c r="E301" s="1334">
        <v>3426.12</v>
      </c>
      <c r="F301" s="1332" t="s">
        <v>1154</v>
      </c>
      <c r="G301" s="1332" t="s">
        <v>1212</v>
      </c>
      <c r="H301" s="1332" t="s">
        <v>3942</v>
      </c>
      <c r="I301" s="652"/>
      <c r="J301" s="652"/>
      <c r="K301" s="652"/>
      <c r="L301" s="653" t="str">
        <f t="shared" si="176"/>
        <v>6261</v>
      </c>
      <c r="M301" s="654" t="str">
        <f t="shared" si="177"/>
        <v>DEPRECIATION EQUIP. &amp; FIXTURES</v>
      </c>
      <c r="N301" s="655">
        <f>+IF(OR($Q301=Parametres!$G$2,$Q301=Parametres!$G$3),I301,C301)</f>
        <v>2284.08</v>
      </c>
      <c r="O301" s="655">
        <f>+IF(OR($Q301=Parametres!$G$2,$Q301=Parametres!$G$3),J301,D301)</f>
        <v>1142.04</v>
      </c>
      <c r="P301" s="655">
        <f>+IF(OR($Q301=Parametres!$G$2,$Q301=Parametres!$G$3),K301,E301)</f>
        <v>3426.12</v>
      </c>
      <c r="Q301" s="654" t="str">
        <f t="shared" si="178"/>
        <v>7-Dépenses</v>
      </c>
      <c r="R301" s="653" t="str">
        <f t="shared" si="179"/>
        <v>6161</v>
      </c>
      <c r="S301" s="654" t="str">
        <f t="shared" si="180"/>
        <v>_</v>
      </c>
      <c r="T301" s="656" t="str">
        <f>+VLOOKUP($L301,Data_Validation!$A:$D,1,0)</f>
        <v>6261</v>
      </c>
      <c r="U301" s="656" t="str">
        <f>+VLOOKUP($L301,Data_Validation!$A:$D,3,0)</f>
        <v>Véhicules usagés</v>
      </c>
      <c r="V301" s="656" t="str">
        <f>+VLOOKUP($L301,Data_Validation!$A:$D,4,0)</f>
        <v>Amortissement</v>
      </c>
      <c r="W301" s="656" t="str">
        <f>+VLOOKUP($L301,Data_Validation!$A:$E,5,0)</f>
        <v>$</v>
      </c>
      <c r="X301" s="656">
        <f>+VLOOKUP($L301,Data_Validation!$A:$F,6,0)</f>
        <v>0</v>
      </c>
    </row>
    <row r="302" spans="1:24" ht="15" customHeight="1">
      <c r="A302" s="1332" t="s">
        <v>1235</v>
      </c>
      <c r="B302" s="1332" t="s">
        <v>2412</v>
      </c>
      <c r="C302" s="1334">
        <v>8049.08</v>
      </c>
      <c r="D302" s="1334">
        <v>978.72</v>
      </c>
      <c r="E302" s="1334">
        <v>9027.7999999999993</v>
      </c>
      <c r="F302" s="1332" t="s">
        <v>1154</v>
      </c>
      <c r="G302" s="1332" t="s">
        <v>1214</v>
      </c>
      <c r="H302" s="1332" t="s">
        <v>3942</v>
      </c>
      <c r="I302" s="663"/>
      <c r="J302" s="663"/>
      <c r="K302" s="663"/>
      <c r="L302" s="653" t="str">
        <f t="shared" si="176"/>
        <v>6281</v>
      </c>
      <c r="M302" s="654" t="str">
        <f t="shared" si="177"/>
        <v>CHAUFFAGE,ELECTRICITE,EAU-USAGE</v>
      </c>
      <c r="N302" s="655">
        <f>+IF(OR($Q302=Parametres!$G$2,$Q302=Parametres!$G$3),I302,C302)</f>
        <v>8049.08</v>
      </c>
      <c r="O302" s="655">
        <f>+IF(OR($Q302=Parametres!$G$2,$Q302=Parametres!$G$3),J302,D302)</f>
        <v>978.72</v>
      </c>
      <c r="P302" s="655">
        <f>+IF(OR($Q302=Parametres!$G$2,$Q302=Parametres!$G$3),K302,E302)</f>
        <v>9027.7999999999993</v>
      </c>
      <c r="Q302" s="654" t="str">
        <f t="shared" si="178"/>
        <v>7-Dépenses</v>
      </c>
      <c r="R302" s="653" t="str">
        <f t="shared" si="179"/>
        <v>6181</v>
      </c>
      <c r="S302" s="654" t="str">
        <f t="shared" si="180"/>
        <v>_</v>
      </c>
      <c r="T302" s="656" t="str">
        <f>+VLOOKUP($L302,Data_Validation!$A:$D,1,0)</f>
        <v>6281</v>
      </c>
      <c r="U302" s="656" t="str">
        <f>+VLOOKUP($L302,Data_Validation!$A:$D,3,0)</f>
        <v>Véhicules usagés</v>
      </c>
      <c r="V302" s="656" t="str">
        <f>+VLOOKUP($L302,Data_Validation!$A:$D,4,0)</f>
        <v>Chauffage, éclairage</v>
      </c>
      <c r="W302" s="656" t="str">
        <f>+VLOOKUP($L302,Data_Validation!$A:$E,5,0)</f>
        <v>$</v>
      </c>
      <c r="X302" s="656">
        <f>+VLOOKUP($L302,Data_Validation!$A:$F,6,0)</f>
        <v>0</v>
      </c>
    </row>
    <row r="303" spans="1:24" ht="15" customHeight="1">
      <c r="A303" s="1332" t="s">
        <v>1236</v>
      </c>
      <c r="B303" s="1332" t="s">
        <v>2415</v>
      </c>
      <c r="C303" s="1334">
        <v>15060</v>
      </c>
      <c r="D303" s="1334">
        <v>9570</v>
      </c>
      <c r="E303" s="1334">
        <v>24630</v>
      </c>
      <c r="F303" s="1332" t="s">
        <v>1154</v>
      </c>
      <c r="G303" s="1332" t="s">
        <v>1216</v>
      </c>
      <c r="H303" s="1332" t="s">
        <v>3942</v>
      </c>
      <c r="I303" s="652"/>
      <c r="J303" s="652"/>
      <c r="K303" s="652"/>
      <c r="L303" s="653" t="str">
        <f t="shared" si="176"/>
        <v>6282</v>
      </c>
      <c r="M303" s="654" t="str">
        <f t="shared" si="177"/>
        <v>LOYER - USAGE</v>
      </c>
      <c r="N303" s="655">
        <f>+IF(OR($Q303=Parametres!$G$2,$Q303=Parametres!$G$3),I303,C303)</f>
        <v>15060</v>
      </c>
      <c r="O303" s="655">
        <f>+IF(OR($Q303=Parametres!$G$2,$Q303=Parametres!$G$3),J303,D303)</f>
        <v>9570</v>
      </c>
      <c r="P303" s="655">
        <f>+IF(OR($Q303=Parametres!$G$2,$Q303=Parametres!$G$3),K303,E303)</f>
        <v>24630</v>
      </c>
      <c r="Q303" s="654" t="str">
        <f t="shared" si="178"/>
        <v>7-Dépenses</v>
      </c>
      <c r="R303" s="653" t="str">
        <f t="shared" si="179"/>
        <v>6182</v>
      </c>
      <c r="S303" s="654" t="str">
        <f t="shared" si="180"/>
        <v>_</v>
      </c>
      <c r="T303" s="656" t="str">
        <f>+VLOOKUP($L303,Data_Validation!$A:$D,1,0)</f>
        <v>6282</v>
      </c>
      <c r="U303" s="656" t="str">
        <f>+VLOOKUP($L303,Data_Validation!$A:$D,3,0)</f>
        <v>Véhicules usagés</v>
      </c>
      <c r="V303" s="656" t="str">
        <f>+VLOOKUP($L303,Data_Validation!$A:$D,4,0)</f>
        <v>Loyer</v>
      </c>
      <c r="W303" s="656" t="str">
        <f>+VLOOKUP($L303,Data_Validation!$A:$E,5,0)</f>
        <v>$</v>
      </c>
      <c r="X303" s="656">
        <f>+VLOOKUP($L303,Data_Validation!$A:$F,6,0)</f>
        <v>0</v>
      </c>
    </row>
    <row r="304" spans="1:24" ht="15" customHeight="1">
      <c r="A304" s="1332" t="s">
        <v>1237</v>
      </c>
      <c r="B304" s="1332" t="s">
        <v>2418</v>
      </c>
      <c r="C304" s="1334">
        <v>948.51</v>
      </c>
      <c r="D304" s="1334">
        <v>480</v>
      </c>
      <c r="E304" s="1334">
        <v>1428.51</v>
      </c>
      <c r="F304" s="1332" t="s">
        <v>1154</v>
      </c>
      <c r="G304" s="1332" t="s">
        <v>1218</v>
      </c>
      <c r="H304" s="1332" t="s">
        <v>3942</v>
      </c>
      <c r="I304" s="652"/>
      <c r="J304" s="652"/>
      <c r="K304" s="652"/>
      <c r="L304" s="653" t="str">
        <f t="shared" si="176"/>
        <v>6286</v>
      </c>
      <c r="M304" s="654" t="str">
        <f t="shared" si="177"/>
        <v>ASSURANCE BATISSE &amp; AMEL.-USAGE</v>
      </c>
      <c r="N304" s="655">
        <f>+IF(OR($Q304=Parametres!$G$2,$Q304=Parametres!$G$3),I304,C304)</f>
        <v>948.51</v>
      </c>
      <c r="O304" s="655">
        <f>+IF(OR($Q304=Parametres!$G$2,$Q304=Parametres!$G$3),J304,D304)</f>
        <v>480</v>
      </c>
      <c r="P304" s="655">
        <f>+IF(OR($Q304=Parametres!$G$2,$Q304=Parametres!$G$3),K304,E304)</f>
        <v>1428.51</v>
      </c>
      <c r="Q304" s="654" t="str">
        <f t="shared" si="178"/>
        <v>7-Dépenses</v>
      </c>
      <c r="R304" s="653" t="str">
        <f t="shared" si="179"/>
        <v>6186</v>
      </c>
      <c r="S304" s="654" t="str">
        <f t="shared" si="180"/>
        <v>_</v>
      </c>
      <c r="T304" s="656" t="str">
        <f>+VLOOKUP($L304,Data_Validation!$A:$D,1,0)</f>
        <v>6286</v>
      </c>
      <c r="U304" s="656" t="str">
        <f>+VLOOKUP($L304,Data_Validation!$A:$D,3,0)</f>
        <v>Véhicules usagés</v>
      </c>
      <c r="V304" s="656" t="str">
        <f>+VLOOKUP($L304,Data_Validation!$A:$D,4,0)</f>
        <v>Assurances</v>
      </c>
      <c r="W304" s="656" t="str">
        <f>+VLOOKUP($L304,Data_Validation!$A:$E,5,0)</f>
        <v>$</v>
      </c>
      <c r="X304" s="656">
        <f>+VLOOKUP($L304,Data_Validation!$A:$F,6,0)</f>
        <v>0</v>
      </c>
    </row>
    <row r="305" spans="1:24" ht="15.75" customHeight="1">
      <c r="A305" s="1332" t="s">
        <v>1238</v>
      </c>
      <c r="B305" s="1332" t="s">
        <v>2421</v>
      </c>
      <c r="C305" s="1334">
        <v>3960</v>
      </c>
      <c r="D305" s="1334">
        <v>1980</v>
      </c>
      <c r="E305" s="1334">
        <v>5940</v>
      </c>
      <c r="F305" s="1332" t="s">
        <v>1154</v>
      </c>
      <c r="G305" s="1332" t="s">
        <v>1220</v>
      </c>
      <c r="H305" s="1332" t="s">
        <v>3942</v>
      </c>
      <c r="I305" s="663"/>
      <c r="J305" s="663"/>
      <c r="K305" s="663"/>
      <c r="L305" s="653" t="str">
        <f t="shared" si="176"/>
        <v>6287</v>
      </c>
      <c r="M305" s="654" t="str">
        <f t="shared" si="177"/>
        <v>TAXES FONCIERES - USAGE</v>
      </c>
      <c r="N305" s="655">
        <f>+IF(OR($Q305=Parametres!$G$2,$Q305=Parametres!$G$3),I305,C305)</f>
        <v>3960</v>
      </c>
      <c r="O305" s="655">
        <f>+IF(OR($Q305=Parametres!$G$2,$Q305=Parametres!$G$3),J305,D305)</f>
        <v>1980</v>
      </c>
      <c r="P305" s="655">
        <f>+IF(OR($Q305=Parametres!$G$2,$Q305=Parametres!$G$3),K305,E305)</f>
        <v>5940</v>
      </c>
      <c r="Q305" s="654" t="str">
        <f t="shared" si="178"/>
        <v>7-Dépenses</v>
      </c>
      <c r="R305" s="653" t="str">
        <f t="shared" si="179"/>
        <v>6187</v>
      </c>
      <c r="S305" s="654" t="str">
        <f t="shared" si="180"/>
        <v>_</v>
      </c>
      <c r="T305" s="656" t="str">
        <f>+VLOOKUP($L305,Data_Validation!$A:$D,1,0)</f>
        <v>6287</v>
      </c>
      <c r="U305" s="656" t="str">
        <f>+VLOOKUP($L305,Data_Validation!$A:$D,3,0)</f>
        <v>Véhicules usagés</v>
      </c>
      <c r="V305" s="656" t="str">
        <f>+VLOOKUP($L305,Data_Validation!$A:$D,4,0)</f>
        <v>Taxes foncières</v>
      </c>
      <c r="W305" s="656" t="str">
        <f>+VLOOKUP($L305,Data_Validation!$A:$E,5,0)</f>
        <v>$</v>
      </c>
      <c r="X305" s="656">
        <f>+VLOOKUP($L305,Data_Validation!$A:$F,6,0)</f>
        <v>0</v>
      </c>
    </row>
    <row r="306" spans="1:24" ht="15" customHeight="1">
      <c r="A306" s="1332" t="s">
        <v>1239</v>
      </c>
      <c r="B306" s="1332" t="s">
        <v>2424</v>
      </c>
      <c r="C306" s="1334">
        <v>360</v>
      </c>
      <c r="D306" s="1334">
        <v>180</v>
      </c>
      <c r="E306" s="1334">
        <v>540</v>
      </c>
      <c r="F306" s="1332" t="s">
        <v>1154</v>
      </c>
      <c r="G306" s="1332" t="s">
        <v>1222</v>
      </c>
      <c r="H306" s="1332" t="s">
        <v>3942</v>
      </c>
      <c r="I306" s="670"/>
      <c r="J306" s="651"/>
      <c r="K306" s="670"/>
      <c r="L306" s="653" t="str">
        <f t="shared" si="176"/>
        <v>6293</v>
      </c>
      <c r="M306" s="654" t="str">
        <f t="shared" si="177"/>
        <v>AUTRE TAXES - USAGES</v>
      </c>
      <c r="N306" s="655">
        <f>+IF(OR($Q306=Parametres!$G$2,$Q306=Parametres!$G$3),I306,C306)</f>
        <v>360</v>
      </c>
      <c r="O306" s="659">
        <f>+IF(OR($Q306=Parametres!$G$2,$Q306=Parametres!$G$3),J306,D306)</f>
        <v>180</v>
      </c>
      <c r="P306" s="655">
        <f>+IF(OR($Q306=Parametres!$G$2,$Q306=Parametres!$G$3),K306,E306)</f>
        <v>540</v>
      </c>
      <c r="Q306" s="654" t="str">
        <f t="shared" si="178"/>
        <v>7-Dépenses</v>
      </c>
      <c r="R306" s="653" t="str">
        <f t="shared" si="179"/>
        <v>6193</v>
      </c>
      <c r="S306" s="654" t="str">
        <f t="shared" si="180"/>
        <v>_</v>
      </c>
      <c r="T306" s="656" t="str">
        <f>+VLOOKUP($L306,Data_Validation!$A:$D,1,0)</f>
        <v>6293</v>
      </c>
      <c r="U306" s="656" t="str">
        <f>+VLOOKUP($L306,Data_Validation!$A:$D,3,0)</f>
        <v>Véhicules usagés</v>
      </c>
      <c r="V306" s="656" t="str">
        <f>+VLOOKUP($L306,Data_Validation!$A:$D,4,0)</f>
        <v>Taxes d`affaires</v>
      </c>
      <c r="W306" s="656" t="str">
        <f>+VLOOKUP($L306,Data_Validation!$A:$E,5,0)</f>
        <v>$</v>
      </c>
      <c r="X306" s="656">
        <f>+VLOOKUP($L306,Data_Validation!$A:$F,6,0)</f>
        <v>0</v>
      </c>
    </row>
    <row r="307" spans="1:24" ht="15" customHeight="1">
      <c r="A307" s="1332" t="s">
        <v>1240</v>
      </c>
      <c r="B307" s="1332" t="s">
        <v>2427</v>
      </c>
      <c r="C307" s="1334">
        <v>5500.61</v>
      </c>
      <c r="D307" s="1334">
        <v>845.95</v>
      </c>
      <c r="E307" s="1334">
        <v>6346.56</v>
      </c>
      <c r="F307" s="1332" t="s">
        <v>1154</v>
      </c>
      <c r="G307" s="1332" t="s">
        <v>1224</v>
      </c>
      <c r="H307" s="1332" t="s">
        <v>3942</v>
      </c>
      <c r="I307" s="651"/>
      <c r="J307" s="651"/>
      <c r="K307" s="651"/>
      <c r="L307" s="653" t="str">
        <f t="shared" si="176"/>
        <v>6294</v>
      </c>
      <c r="M307" s="654" t="str">
        <f t="shared" si="177"/>
        <v>FRAIS PROFESSIONNEL-USAGE</v>
      </c>
      <c r="N307" s="655">
        <f>+IF(OR($Q307=Parametres!$G$2,$Q307=Parametres!$G$3),I307,C307)</f>
        <v>5500.61</v>
      </c>
      <c r="O307" s="659">
        <f>+IF(OR($Q307=Parametres!$G$2,$Q307=Parametres!$G$3),J307,D307)</f>
        <v>845.95</v>
      </c>
      <c r="P307" s="655">
        <f>+IF(OR($Q307=Parametres!$G$2,$Q307=Parametres!$G$3),K307,E307)</f>
        <v>6346.56</v>
      </c>
      <c r="Q307" s="654" t="str">
        <f t="shared" si="178"/>
        <v>7-Dépenses</v>
      </c>
      <c r="R307" s="653" t="str">
        <f t="shared" si="179"/>
        <v>6194</v>
      </c>
      <c r="S307" s="654" t="str">
        <f t="shared" si="180"/>
        <v>_</v>
      </c>
      <c r="T307" s="656" t="str">
        <f>+VLOOKUP($L307,Data_Validation!$A:$D,1,0)</f>
        <v>6294</v>
      </c>
      <c r="U307" s="656" t="str">
        <f>+VLOOKUP($L307,Data_Validation!$A:$D,3,0)</f>
        <v>Véhicules usagés</v>
      </c>
      <c r="V307" s="656" t="str">
        <f>+VLOOKUP($L307,Data_Validation!$A:$D,4,0)</f>
        <v>Honoraires</v>
      </c>
      <c r="W307" s="656" t="str">
        <f>+VLOOKUP($L307,Data_Validation!$A:$E,5,0)</f>
        <v>$</v>
      </c>
      <c r="X307" s="656">
        <f>+VLOOKUP($L307,Data_Validation!$A:$F,6,0)</f>
        <v>0</v>
      </c>
    </row>
    <row r="308" spans="1:24" ht="15" customHeight="1">
      <c r="A308" s="1332" t="s">
        <v>1241</v>
      </c>
      <c r="B308" s="1332" t="s">
        <v>2430</v>
      </c>
      <c r="C308" s="1334">
        <v>4489.93</v>
      </c>
      <c r="D308" s="1334">
        <v>1750.38</v>
      </c>
      <c r="E308" s="1334">
        <v>6240.31</v>
      </c>
      <c r="F308" s="1332" t="s">
        <v>1154</v>
      </c>
      <c r="G308" s="1332" t="s">
        <v>1242</v>
      </c>
      <c r="H308" s="1332" t="s">
        <v>3942</v>
      </c>
      <c r="I308" s="652"/>
      <c r="J308" s="652"/>
      <c r="K308" s="652"/>
      <c r="L308" s="653" t="str">
        <f t="shared" ref="L308:L364" si="181">TEXT(B308,0)</f>
        <v>6403</v>
      </c>
      <c r="M308" s="654" t="str">
        <f t="shared" ref="M308:M364" si="182">+A308</f>
        <v>RELAT. A LA CLIENTELE &amp; AJUST</v>
      </c>
      <c r="N308" s="655">
        <f>+IF(OR($Q308=Parametres!$G$2,$Q308=Parametres!$G$3),I308,C308)</f>
        <v>4489.93</v>
      </c>
      <c r="O308" s="655">
        <f>+IF(OR($Q308=Parametres!$G$2,$Q308=Parametres!$G$3),J308,D308)</f>
        <v>1750.38</v>
      </c>
      <c r="P308" s="655">
        <f>+IF(OR($Q308=Parametres!$G$2,$Q308=Parametres!$G$3),K308,E308)</f>
        <v>6240.31</v>
      </c>
      <c r="Q308" s="654" t="str">
        <f t="shared" ref="Q308:Q364" si="183">+F308</f>
        <v>7-Dépenses</v>
      </c>
      <c r="R308" s="653" t="str">
        <f t="shared" ref="R308:R364" si="184">+G308</f>
        <v>6112</v>
      </c>
      <c r="S308" s="654" t="str">
        <f t="shared" ref="S308:S364" si="185">+H308</f>
        <v>_</v>
      </c>
      <c r="T308" s="656" t="str">
        <f>+VLOOKUP($L308,Data_Validation!$A:$D,1,0)</f>
        <v>6403</v>
      </c>
      <c r="U308" s="656" t="str">
        <f>+VLOOKUP($L308,Data_Validation!$A:$D,3,0)</f>
        <v>Service</v>
      </c>
      <c r="V308" s="656" t="str">
        <f>+VLOOKUP($L308,Data_Validation!$A:$D,4,0)</f>
        <v>Service gratuit 2</v>
      </c>
      <c r="W308" s="656" t="str">
        <f>+VLOOKUP($L308,Data_Validation!$A:$E,5,0)</f>
        <v>$</v>
      </c>
      <c r="X308" s="656">
        <f>+VLOOKUP($L308,Data_Validation!$A:$F,6,0)</f>
        <v>0</v>
      </c>
    </row>
    <row r="309" spans="1:24" ht="15.75" customHeight="1">
      <c r="A309" s="1332" t="s">
        <v>1243</v>
      </c>
      <c r="B309" s="1332" t="s">
        <v>2433</v>
      </c>
      <c r="C309" s="1334">
        <v>253.95</v>
      </c>
      <c r="D309" s="1334">
        <v>0.96</v>
      </c>
      <c r="E309" s="1334">
        <v>254.91</v>
      </c>
      <c r="F309" s="1332" t="s">
        <v>1154</v>
      </c>
      <c r="G309" s="1332" t="s">
        <v>1242</v>
      </c>
      <c r="H309" s="1332" t="s">
        <v>3942</v>
      </c>
      <c r="I309" s="663"/>
      <c r="J309" s="663"/>
      <c r="K309" s="663"/>
      <c r="L309" s="653" t="str">
        <f t="shared" si="181"/>
        <v>6412</v>
      </c>
      <c r="M309" s="654" t="str">
        <f t="shared" si="182"/>
        <v>AUTORISATION &amp; GAR./VEH. USA</v>
      </c>
      <c r="N309" s="655">
        <f>+IF(OR($Q309=Parametres!$G$2,$Q309=Parametres!$G$3),I309,C309)</f>
        <v>253.95</v>
      </c>
      <c r="O309" s="655">
        <f>+IF(OR($Q309=Parametres!$G$2,$Q309=Parametres!$G$3),J309,D309)</f>
        <v>0.96</v>
      </c>
      <c r="P309" s="655">
        <f>+IF(OR($Q309=Parametres!$G$2,$Q309=Parametres!$G$3),K309,E309)</f>
        <v>254.91</v>
      </c>
      <c r="Q309" s="654" t="str">
        <f t="shared" si="183"/>
        <v>7-Dépenses</v>
      </c>
      <c r="R309" s="653" t="str">
        <f t="shared" si="184"/>
        <v>6112</v>
      </c>
      <c r="S309" s="654" t="str">
        <f t="shared" si="185"/>
        <v>_</v>
      </c>
      <c r="T309" s="656" t="str">
        <f>+VLOOKUP($L309,Data_Validation!$A:$D,1,0)</f>
        <v>6412</v>
      </c>
      <c r="U309" s="656" t="str">
        <f>+VLOOKUP($L309,Data_Validation!$A:$D,3,0)</f>
        <v>Service</v>
      </c>
      <c r="V309" s="656" t="str">
        <f>+VLOOKUP($L309,Data_Validation!$A:$D,4,0)</f>
        <v>Service gratuit 2</v>
      </c>
      <c r="W309" s="656" t="str">
        <f>+VLOOKUP($L309,Data_Validation!$A:$E,5,0)</f>
        <v>$</v>
      </c>
      <c r="X309" s="656">
        <f>+VLOOKUP($L309,Data_Validation!$A:$F,6,0)</f>
        <v>0</v>
      </c>
    </row>
    <row r="310" spans="1:24" ht="15" customHeight="1">
      <c r="A310" s="1332" t="s">
        <v>1166</v>
      </c>
      <c r="B310" s="1332" t="s">
        <v>2436</v>
      </c>
      <c r="C310" s="1334">
        <v>14074.03</v>
      </c>
      <c r="D310" s="1334">
        <v>2756.43</v>
      </c>
      <c r="E310" s="1334">
        <v>16830.46</v>
      </c>
      <c r="F310" s="1332" t="s">
        <v>1154</v>
      </c>
      <c r="G310" s="1332" t="s">
        <v>1167</v>
      </c>
      <c r="H310" s="1332" t="s">
        <v>3942</v>
      </c>
      <c r="I310" s="663"/>
      <c r="J310" s="663"/>
      <c r="K310" s="663"/>
      <c r="L310" s="653" t="str">
        <f t="shared" si="181"/>
        <v>6414</v>
      </c>
      <c r="M310" s="654" t="str">
        <f t="shared" si="182"/>
        <v>PUBLICITE</v>
      </c>
      <c r="N310" s="655">
        <f>+IF(OR($Q310=Parametres!$G$2,$Q310=Parametres!$G$3),I310,C310)</f>
        <v>14074.03</v>
      </c>
      <c r="O310" s="655">
        <f>+IF(OR($Q310=Parametres!$G$2,$Q310=Parametres!$G$3),J310,D310)</f>
        <v>2756.43</v>
      </c>
      <c r="P310" s="655">
        <f>+IF(OR($Q310=Parametres!$G$2,$Q310=Parametres!$G$3),K310,E310)</f>
        <v>16830.46</v>
      </c>
      <c r="Q310" s="654" t="str">
        <f t="shared" si="183"/>
        <v>7-Dépenses</v>
      </c>
      <c r="R310" s="653" t="str">
        <f t="shared" si="184"/>
        <v>6114</v>
      </c>
      <c r="S310" s="654" t="str">
        <f t="shared" si="185"/>
        <v>_</v>
      </c>
      <c r="T310" s="656" t="str">
        <f>+VLOOKUP($L310,Data_Validation!$A:$D,1,0)</f>
        <v>6414</v>
      </c>
      <c r="U310" s="656" t="str">
        <f>+VLOOKUP($L310,Data_Validation!$A:$D,3,0)</f>
        <v>Service</v>
      </c>
      <c r="V310" s="656" t="str">
        <f>+VLOOKUP($L310,Data_Validation!$A:$D,4,0)</f>
        <v>Publicité 2</v>
      </c>
      <c r="W310" s="656" t="str">
        <f>+VLOOKUP($L310,Data_Validation!$A:$E,5,0)</f>
        <v>$</v>
      </c>
      <c r="X310" s="656">
        <f>+VLOOKUP($L310,Data_Validation!$A:$F,6,0)</f>
        <v>0</v>
      </c>
    </row>
    <row r="311" spans="1:24" ht="15" customHeight="1">
      <c r="A311" s="1332" t="s">
        <v>3959</v>
      </c>
      <c r="B311" s="1332" t="s">
        <v>2439</v>
      </c>
      <c r="C311" s="1334">
        <v>5877.78</v>
      </c>
      <c r="D311" s="1334">
        <v>2110.91</v>
      </c>
      <c r="E311" s="1334">
        <v>7988.69</v>
      </c>
      <c r="F311" s="1332" t="s">
        <v>1154</v>
      </c>
      <c r="G311" s="1332" t="s">
        <v>1170</v>
      </c>
      <c r="H311" s="1332" t="s">
        <v>3942</v>
      </c>
      <c r="I311" s="663"/>
      <c r="J311" s="663"/>
      <c r="K311" s="663"/>
      <c r="L311" s="653" t="str">
        <f t="shared" si="181"/>
        <v>6421</v>
      </c>
      <c r="M311" s="654" t="str">
        <f t="shared" si="182"/>
        <v>SALAIRES - DIRECTION GENERALE</v>
      </c>
      <c r="N311" s="655">
        <f>+IF(OR($Q311=Parametres!$G$2,$Q311=Parametres!$G$3),I311,C311)</f>
        <v>5877.78</v>
      </c>
      <c r="O311" s="655">
        <f>+IF(OR($Q311=Parametres!$G$2,$Q311=Parametres!$G$3),J311,D311)</f>
        <v>2110.91</v>
      </c>
      <c r="P311" s="655">
        <f>+IF(OR($Q311=Parametres!$G$2,$Q311=Parametres!$G$3),K311,E311)</f>
        <v>7988.69</v>
      </c>
      <c r="Q311" s="654" t="str">
        <f t="shared" si="183"/>
        <v>7-Dépenses</v>
      </c>
      <c r="R311" s="653" t="str">
        <f t="shared" si="184"/>
        <v>6121</v>
      </c>
      <c r="S311" s="654" t="str">
        <f t="shared" si="185"/>
        <v>_</v>
      </c>
      <c r="T311" s="656" t="str">
        <f>+VLOOKUP($L311,Data_Validation!$A:$D,1,0)</f>
        <v>6421</v>
      </c>
      <c r="U311" s="656" t="str">
        <f>+VLOOKUP($L311,Data_Validation!$A:$D,3,0)</f>
        <v>Service</v>
      </c>
      <c r="V311" s="656" t="str">
        <f>+VLOOKUP($L311,Data_Validation!$A:$D,4,0)</f>
        <v>Salaires propriétaire</v>
      </c>
      <c r="W311" s="656" t="str">
        <f>+VLOOKUP($L311,Data_Validation!$A:$E,5,0)</f>
        <v>$</v>
      </c>
      <c r="X311" s="656">
        <f>+VLOOKUP($L311,Data_Validation!$A:$F,6,0)</f>
        <v>0</v>
      </c>
    </row>
    <row r="312" spans="1:24" ht="15" customHeight="1">
      <c r="A312" s="1332" t="s">
        <v>1171</v>
      </c>
      <c r="B312" s="1332" t="s">
        <v>2442</v>
      </c>
      <c r="C312" s="1334">
        <v>28956.57</v>
      </c>
      <c r="D312" s="1334">
        <v>10006.58</v>
      </c>
      <c r="E312" s="1334">
        <v>38963.15</v>
      </c>
      <c r="F312" s="1332" t="s">
        <v>1154</v>
      </c>
      <c r="G312" s="1332" t="s">
        <v>1172</v>
      </c>
      <c r="H312" s="1332" t="s">
        <v>3942</v>
      </c>
      <c r="I312" s="651"/>
      <c r="J312" s="651"/>
      <c r="K312" s="651"/>
      <c r="L312" s="653" t="str">
        <f t="shared" si="181"/>
        <v>6422</v>
      </c>
      <c r="M312" s="654" t="str">
        <f t="shared" si="182"/>
        <v>SAL SUPERVISION / GERANT</v>
      </c>
      <c r="N312" s="655">
        <f>+IF(OR($Q312=Parametres!$G$2,$Q312=Parametres!$G$3),I312,C312)</f>
        <v>28956.57</v>
      </c>
      <c r="O312" s="655">
        <f>+IF(OR($Q312=Parametres!$G$2,$Q312=Parametres!$G$3),J312,D312)</f>
        <v>10006.58</v>
      </c>
      <c r="P312" s="655">
        <f>+IF(OR($Q312=Parametres!$G$2,$Q312=Parametres!$G$3),K312,E312)</f>
        <v>38963.15</v>
      </c>
      <c r="Q312" s="654" t="str">
        <f t="shared" si="183"/>
        <v>7-Dépenses</v>
      </c>
      <c r="R312" s="653" t="str">
        <f t="shared" si="184"/>
        <v>6122</v>
      </c>
      <c r="S312" s="654" t="str">
        <f t="shared" si="185"/>
        <v>_</v>
      </c>
      <c r="T312" s="656" t="str">
        <f>+VLOOKUP($L312,Data_Validation!$A:$D,1,0)</f>
        <v>6422</v>
      </c>
      <c r="U312" s="656" t="str">
        <f>+VLOOKUP($L312,Data_Validation!$A:$D,3,0)</f>
        <v>Service</v>
      </c>
      <c r="V312" s="656" t="str">
        <f>+VLOOKUP($L312,Data_Validation!$A:$D,4,0)</f>
        <v>Salaires cadres</v>
      </c>
      <c r="W312" s="656" t="str">
        <f>+VLOOKUP($L312,Data_Validation!$A:$E,5,0)</f>
        <v>$</v>
      </c>
      <c r="X312" s="656">
        <f>+VLOOKUP($L312,Data_Validation!$A:$F,6,0)</f>
        <v>0</v>
      </c>
    </row>
    <row r="313" spans="1:24" ht="15" customHeight="1">
      <c r="A313" s="1332" t="s">
        <v>1244</v>
      </c>
      <c r="B313" s="1332" t="s">
        <v>2445</v>
      </c>
      <c r="C313" s="1334">
        <v>29763.439999999999</v>
      </c>
      <c r="D313" s="1334">
        <v>17220.8</v>
      </c>
      <c r="E313" s="1334">
        <v>46984.24</v>
      </c>
      <c r="F313" s="1332" t="s">
        <v>1154</v>
      </c>
      <c r="G313" s="1332" t="s">
        <v>1174</v>
      </c>
      <c r="H313" s="1332" t="s">
        <v>3942</v>
      </c>
      <c r="I313" s="652"/>
      <c r="J313" s="652"/>
      <c r="K313" s="652"/>
      <c r="L313" s="653" t="str">
        <f t="shared" si="181"/>
        <v>6423</v>
      </c>
      <c r="M313" s="654" t="str">
        <f t="shared" si="182"/>
        <v>SAL. &amp; RENUM. CLERICAL</v>
      </c>
      <c r="N313" s="655">
        <f>+IF(OR($Q313=Parametres!$G$2,$Q313=Parametres!$G$3),I313,C313)</f>
        <v>29763.439999999999</v>
      </c>
      <c r="O313" s="655">
        <f>+IF(OR($Q313=Parametres!$G$2,$Q313=Parametres!$G$3),J313,D313)</f>
        <v>17220.8</v>
      </c>
      <c r="P313" s="655">
        <f>+IF(OR($Q313=Parametres!$G$2,$Q313=Parametres!$G$3),K313,E313)</f>
        <v>46984.24</v>
      </c>
      <c r="Q313" s="654" t="str">
        <f t="shared" si="183"/>
        <v>7-Dépenses</v>
      </c>
      <c r="R313" s="653" t="str">
        <f t="shared" si="184"/>
        <v>6123</v>
      </c>
      <c r="S313" s="654" t="str">
        <f t="shared" si="185"/>
        <v>_</v>
      </c>
      <c r="T313" s="656" t="str">
        <f>+VLOOKUP($L313,Data_Validation!$A:$D,1,0)</f>
        <v>6423</v>
      </c>
      <c r="U313" s="656" t="str">
        <f>+VLOOKUP($L313,Data_Validation!$A:$D,3,0)</f>
        <v>Service</v>
      </c>
      <c r="V313" s="656" t="str">
        <f>+VLOOKUP($L313,Data_Validation!$A:$D,4,0)</f>
        <v>Salaires commis</v>
      </c>
      <c r="W313" s="656" t="str">
        <f>+VLOOKUP($L313,Data_Validation!$A:$E,5,0)</f>
        <v>$</v>
      </c>
      <c r="X313" s="656">
        <f>+VLOOKUP($L313,Data_Validation!$A:$F,6,0)</f>
        <v>0</v>
      </c>
    </row>
    <row r="314" spans="1:24" ht="15" customHeight="1">
      <c r="A314" s="1332" t="s">
        <v>1175</v>
      </c>
      <c r="B314" s="1332" t="s">
        <v>2448</v>
      </c>
      <c r="C314" s="1334">
        <v>33345.730000000003</v>
      </c>
      <c r="D314" s="1334">
        <v>15297.39</v>
      </c>
      <c r="E314" s="1334">
        <v>48643.12</v>
      </c>
      <c r="F314" s="1332" t="s">
        <v>1154</v>
      </c>
      <c r="G314" s="1332" t="s">
        <v>1176</v>
      </c>
      <c r="H314" s="1332" t="s">
        <v>3942</v>
      </c>
      <c r="I314" s="651"/>
      <c r="J314" s="651"/>
      <c r="K314" s="651"/>
      <c r="L314" s="653" t="str">
        <f t="shared" si="181"/>
        <v>6424</v>
      </c>
      <c r="M314" s="654" t="str">
        <f t="shared" si="182"/>
        <v>SALAIRES &amp; RENUM. - AUTRES</v>
      </c>
      <c r="N314" s="655">
        <f>+IF(OR($Q314=Parametres!$G$2,$Q314=Parametres!$G$3),I314,C314)</f>
        <v>33345.730000000003</v>
      </c>
      <c r="O314" s="659">
        <f>+IF(OR($Q314=Parametres!$G$2,$Q314=Parametres!$G$3),J314,D314)</f>
        <v>15297.39</v>
      </c>
      <c r="P314" s="655">
        <f>+IF(OR($Q314=Parametres!$G$2,$Q314=Parametres!$G$3),K314,E314)</f>
        <v>48643.12</v>
      </c>
      <c r="Q314" s="654" t="str">
        <f t="shared" si="183"/>
        <v>7-Dépenses</v>
      </c>
      <c r="R314" s="653" t="str">
        <f t="shared" si="184"/>
        <v>6124</v>
      </c>
      <c r="S314" s="654" t="str">
        <f t="shared" si="185"/>
        <v>_</v>
      </c>
      <c r="T314" s="656" t="str">
        <f>+VLOOKUP($L314,Data_Validation!$A:$D,1,0)</f>
        <v>6424</v>
      </c>
      <c r="U314" s="656" t="str">
        <f>+VLOOKUP($L314,Data_Validation!$A:$D,3,0)</f>
        <v>Service</v>
      </c>
      <c r="V314" s="656" t="str">
        <f>+VLOOKUP($L314,Data_Validation!$A:$D,4,0)</f>
        <v>Salaires autres</v>
      </c>
      <c r="W314" s="656" t="str">
        <f>+VLOOKUP($L314,Data_Validation!$A:$E,5,0)</f>
        <v>$</v>
      </c>
      <c r="X314" s="656">
        <f>+VLOOKUP($L314,Data_Validation!$A:$F,6,0)</f>
        <v>0</v>
      </c>
    </row>
    <row r="315" spans="1:24" ht="15" customHeight="1">
      <c r="A315" s="1332" t="s">
        <v>1245</v>
      </c>
      <c r="B315" s="1332" t="s">
        <v>2451</v>
      </c>
      <c r="C315" s="1334">
        <v>34909.11</v>
      </c>
      <c r="D315" s="1334">
        <v>20059.900000000001</v>
      </c>
      <c r="E315" s="1334">
        <v>54969.01</v>
      </c>
      <c r="F315" s="1332" t="s">
        <v>1154</v>
      </c>
      <c r="G315" s="1332" t="s">
        <v>1246</v>
      </c>
      <c r="H315" s="1332" t="s">
        <v>3942</v>
      </c>
      <c r="I315" s="652"/>
      <c r="J315" s="652"/>
      <c r="K315" s="652"/>
      <c r="L315" s="653" t="str">
        <f t="shared" si="181"/>
        <v>6425</v>
      </c>
      <c r="M315" s="654" t="str">
        <f t="shared" si="182"/>
        <v>SALAIRE SPECIALISTES</v>
      </c>
      <c r="N315" s="655">
        <f>+IF(OR($Q315=Parametres!$G$2,$Q315=Parametres!$G$3),I315,C315)</f>
        <v>34909.11</v>
      </c>
      <c r="O315" s="655">
        <f>+IF(OR($Q315=Parametres!$G$2,$Q315=Parametres!$G$3),J315,D315)</f>
        <v>20059.900000000001</v>
      </c>
      <c r="P315" s="655">
        <f>+IF(OR($Q315=Parametres!$G$2,$Q315=Parametres!$G$3),K315,E315)</f>
        <v>54969.01</v>
      </c>
      <c r="Q315" s="654" t="str">
        <f t="shared" si="183"/>
        <v>7-Dépenses</v>
      </c>
      <c r="R315" s="653" t="str">
        <f t="shared" si="184"/>
        <v>6125</v>
      </c>
      <c r="S315" s="654" t="str">
        <f t="shared" si="185"/>
        <v>_</v>
      </c>
      <c r="T315" s="656" t="str">
        <f>+VLOOKUP($L315,Data_Validation!$A:$D,1,0)</f>
        <v>6425</v>
      </c>
      <c r="U315" s="656" t="str">
        <f>+VLOOKUP($L315,Data_Validation!$A:$D,3,0)</f>
        <v>Service</v>
      </c>
      <c r="V315" s="656" t="str">
        <f>+VLOOKUP($L315,Data_Validation!$A:$D,4,0)</f>
        <v>Salaires spécialistes</v>
      </c>
      <c r="W315" s="656" t="str">
        <f>+VLOOKUP($L315,Data_Validation!$A:$E,5,0)</f>
        <v>$</v>
      </c>
      <c r="X315" s="656">
        <f>+VLOOKUP($L315,Data_Validation!$A:$F,6,0)</f>
        <v>0</v>
      </c>
    </row>
    <row r="316" spans="1:24" ht="15" customHeight="1">
      <c r="A316" s="1332" t="s">
        <v>1247</v>
      </c>
      <c r="B316" s="1332" t="s">
        <v>2454</v>
      </c>
      <c r="C316" s="1334">
        <v>52904.639999999999</v>
      </c>
      <c r="D316" s="1334">
        <v>17791.38</v>
      </c>
      <c r="E316" s="1334">
        <v>70696.02</v>
      </c>
      <c r="F316" s="1332" t="s">
        <v>1154</v>
      </c>
      <c r="G316" s="1332" t="s">
        <v>1178</v>
      </c>
      <c r="H316" s="1332" t="s">
        <v>3942</v>
      </c>
      <c r="I316" s="651"/>
      <c r="J316" s="651"/>
      <c r="K316" s="651"/>
      <c r="L316" s="653" t="str">
        <f t="shared" si="181"/>
        <v>6429</v>
      </c>
      <c r="M316" s="654" t="str">
        <f t="shared" si="182"/>
        <v>SAL.,VACANCE, &amp; SAL. JOURS FER</v>
      </c>
      <c r="N316" s="655">
        <f>+IF(OR($Q316=Parametres!$G$2,$Q316=Parametres!$G$3),I316,C316)</f>
        <v>52904.639999999999</v>
      </c>
      <c r="O316" s="655">
        <f>+IF(OR($Q316=Parametres!$G$2,$Q316=Parametres!$G$3),J316,D316)</f>
        <v>17791.38</v>
      </c>
      <c r="P316" s="655">
        <f>+IF(OR($Q316=Parametres!$G$2,$Q316=Parametres!$G$3),K316,E316)</f>
        <v>70696.02</v>
      </c>
      <c r="Q316" s="654" t="str">
        <f t="shared" si="183"/>
        <v>7-Dépenses</v>
      </c>
      <c r="R316" s="653" t="str">
        <f t="shared" si="184"/>
        <v>6129</v>
      </c>
      <c r="S316" s="654" t="str">
        <f t="shared" si="185"/>
        <v>_</v>
      </c>
      <c r="T316" s="656" t="str">
        <f>+VLOOKUP($L316,Data_Validation!$A:$D,1,0)</f>
        <v>6429</v>
      </c>
      <c r="U316" s="656" t="str">
        <f>+VLOOKUP($L316,Data_Validation!$A:$D,3,0)</f>
        <v>Service</v>
      </c>
      <c r="V316" s="656" t="str">
        <f>+VLOOKUP($L316,Data_Validation!$A:$D,4,0)</f>
        <v>Salaires en absences</v>
      </c>
      <c r="W316" s="656" t="str">
        <f>+VLOOKUP($L316,Data_Validation!$A:$E,5,0)</f>
        <v>$</v>
      </c>
      <c r="X316" s="656">
        <f>+VLOOKUP($L316,Data_Validation!$A:$F,6,0)</f>
        <v>0</v>
      </c>
    </row>
    <row r="317" spans="1:24" ht="15" customHeight="1">
      <c r="A317" s="1332" t="s">
        <v>1179</v>
      </c>
      <c r="B317" s="1332" t="s">
        <v>2457</v>
      </c>
      <c r="C317" s="1334">
        <v>7379.92</v>
      </c>
      <c r="D317" s="1334">
        <v>3029.01</v>
      </c>
      <c r="E317" s="1334">
        <v>10408.93</v>
      </c>
      <c r="F317" s="1332" t="s">
        <v>1154</v>
      </c>
      <c r="G317" s="1332" t="s">
        <v>1180</v>
      </c>
      <c r="H317" s="1332" t="s">
        <v>3942</v>
      </c>
      <c r="I317" s="652"/>
      <c r="J317" s="652"/>
      <c r="K317" s="652"/>
      <c r="L317" s="653" t="str">
        <f t="shared" si="181"/>
        <v>6431</v>
      </c>
      <c r="M317" s="654" t="str">
        <f t="shared" si="182"/>
        <v>CSST</v>
      </c>
      <c r="N317" s="655">
        <f>+IF(OR($Q317=Parametres!$G$2,$Q317=Parametres!$G$3),I317,C317)</f>
        <v>7379.92</v>
      </c>
      <c r="O317" s="659">
        <f>+IF(OR($Q317=Parametres!$G$2,$Q317=Parametres!$G$3),J317,D317)</f>
        <v>3029.01</v>
      </c>
      <c r="P317" s="655">
        <f>+IF(OR($Q317=Parametres!$G$2,$Q317=Parametres!$G$3),K317,E317)</f>
        <v>10408.93</v>
      </c>
      <c r="Q317" s="654" t="str">
        <f t="shared" si="183"/>
        <v>7-Dépenses</v>
      </c>
      <c r="R317" s="653" t="str">
        <f t="shared" si="184"/>
        <v>6131</v>
      </c>
      <c r="S317" s="654" t="str">
        <f t="shared" si="185"/>
        <v>_</v>
      </c>
      <c r="T317" s="656" t="str">
        <f>+VLOOKUP($L317,Data_Validation!$A:$D,1,0)</f>
        <v>6431</v>
      </c>
      <c r="U317" s="656" t="str">
        <f>+VLOOKUP($L317,Data_Validation!$A:$D,3,0)</f>
        <v>Service</v>
      </c>
      <c r="V317" s="656" t="str">
        <f>+VLOOKUP($L317,Data_Validation!$A:$D,4,0)</f>
        <v>Csst</v>
      </c>
      <c r="W317" s="656" t="str">
        <f>+VLOOKUP($L317,Data_Validation!$A:$E,5,0)</f>
        <v>$</v>
      </c>
      <c r="X317" s="656">
        <f>+VLOOKUP($L317,Data_Validation!$A:$F,6,0)</f>
        <v>0</v>
      </c>
    </row>
    <row r="318" spans="1:24" ht="15.75" customHeight="1">
      <c r="A318" s="1332" t="s">
        <v>1181</v>
      </c>
      <c r="B318" s="1332" t="s">
        <v>2460</v>
      </c>
      <c r="C318" s="1334">
        <v>43153.66</v>
      </c>
      <c r="D318" s="1334">
        <v>21631.11</v>
      </c>
      <c r="E318" s="1334">
        <v>64784.77</v>
      </c>
      <c r="F318" s="1332" t="s">
        <v>1154</v>
      </c>
      <c r="G318" s="1332" t="s">
        <v>1182</v>
      </c>
      <c r="H318" s="1332" t="s">
        <v>3942</v>
      </c>
      <c r="I318" s="651"/>
      <c r="J318" s="651"/>
      <c r="K318" s="651"/>
      <c r="L318" s="653" t="str">
        <f t="shared" si="181"/>
        <v>6432</v>
      </c>
      <c r="M318" s="654" t="str">
        <f t="shared" si="182"/>
        <v>RRQ RAMQ AC</v>
      </c>
      <c r="N318" s="655">
        <f>+IF(OR($Q318=Parametres!$G$2,$Q318=Parametres!$G$3),I318,C318)</f>
        <v>43153.66</v>
      </c>
      <c r="O318" s="655">
        <f>+IF(OR($Q318=Parametres!$G$2,$Q318=Parametres!$G$3),J318,D318)</f>
        <v>21631.11</v>
      </c>
      <c r="P318" s="655">
        <f>+IF(OR($Q318=Parametres!$G$2,$Q318=Parametres!$G$3),K318,E318)</f>
        <v>64784.77</v>
      </c>
      <c r="Q318" s="654" t="str">
        <f t="shared" si="183"/>
        <v>7-Dépenses</v>
      </c>
      <c r="R318" s="653" t="str">
        <f t="shared" si="184"/>
        <v>6132</v>
      </c>
      <c r="S318" s="654" t="str">
        <f t="shared" si="185"/>
        <v>_</v>
      </c>
      <c r="T318" s="656" t="str">
        <f>+VLOOKUP($L318,Data_Validation!$A:$D,1,0)</f>
        <v>6432</v>
      </c>
      <c r="U318" s="656" t="str">
        <f>+VLOOKUP($L318,Data_Validation!$A:$D,3,0)</f>
        <v>Service</v>
      </c>
      <c r="V318" s="656" t="str">
        <f>+VLOOKUP($L318,Data_Validation!$A:$D,4,0)</f>
        <v>Déduction à la source</v>
      </c>
      <c r="W318" s="656" t="str">
        <f>+VLOOKUP($L318,Data_Validation!$A:$E,5,0)</f>
        <v>$</v>
      </c>
      <c r="X318" s="656">
        <f>+VLOOKUP($L318,Data_Validation!$A:$F,6,0)</f>
        <v>0</v>
      </c>
    </row>
    <row r="319" spans="1:24" ht="15" customHeight="1">
      <c r="A319" s="1332" t="s">
        <v>1248</v>
      </c>
      <c r="B319" s="1332" t="s">
        <v>2463</v>
      </c>
      <c r="C319" s="1334">
        <v>11034.16</v>
      </c>
      <c r="D319" s="1334">
        <v>3261.77</v>
      </c>
      <c r="E319" s="1334">
        <v>14295.93</v>
      </c>
      <c r="F319" s="1332" t="s">
        <v>1154</v>
      </c>
      <c r="G319" s="1332" t="s">
        <v>1184</v>
      </c>
      <c r="H319" s="1332" t="s">
        <v>3942</v>
      </c>
      <c r="I319" s="652"/>
      <c r="J319" s="652"/>
      <c r="K319" s="652"/>
      <c r="L319" s="653" t="str">
        <f t="shared" si="181"/>
        <v>6433</v>
      </c>
      <c r="M319" s="654" t="str">
        <f t="shared" si="182"/>
        <v>FOND PENSION - SERVICE</v>
      </c>
      <c r="N319" s="655">
        <f>+IF(OR($Q319=Parametres!$G$2,$Q319=Parametres!$G$3),I319,C319)</f>
        <v>11034.16</v>
      </c>
      <c r="O319" s="659">
        <f>+IF(OR($Q319=Parametres!$G$2,$Q319=Parametres!$G$3),J319,D319)</f>
        <v>3261.77</v>
      </c>
      <c r="P319" s="655">
        <f>+IF(OR($Q319=Parametres!$G$2,$Q319=Parametres!$G$3),K319,E319)</f>
        <v>14295.93</v>
      </c>
      <c r="Q319" s="654" t="str">
        <f t="shared" si="183"/>
        <v>7-Dépenses</v>
      </c>
      <c r="R319" s="653" t="str">
        <f t="shared" si="184"/>
        <v>6133</v>
      </c>
      <c r="S319" s="654" t="str">
        <f t="shared" si="185"/>
        <v>_</v>
      </c>
      <c r="T319" s="656" t="str">
        <f>+VLOOKUP($L319,Data_Validation!$A:$D,1,0)</f>
        <v>6433</v>
      </c>
      <c r="U319" s="656" t="str">
        <f>+VLOOKUP($L319,Data_Validation!$A:$D,3,0)</f>
        <v>Service</v>
      </c>
      <c r="V319" s="656" t="str">
        <f>+VLOOKUP($L319,Data_Validation!$A:$D,4,0)</f>
        <v>Bénéfices marginaux</v>
      </c>
      <c r="W319" s="656" t="str">
        <f>+VLOOKUP($L319,Data_Validation!$A:$E,5,0)</f>
        <v>$</v>
      </c>
      <c r="X319" s="656">
        <f>+VLOOKUP($L319,Data_Validation!$A:$F,6,0)</f>
        <v>0</v>
      </c>
    </row>
    <row r="320" spans="1:24" ht="15" customHeight="1">
      <c r="A320" s="1332" t="s">
        <v>1231</v>
      </c>
      <c r="B320" s="1332" t="s">
        <v>2466</v>
      </c>
      <c r="C320" s="1334">
        <v>13719.33</v>
      </c>
      <c r="D320" s="1334">
        <v>6924.47</v>
      </c>
      <c r="E320" s="1334">
        <v>20643.8</v>
      </c>
      <c r="F320" s="1332" t="s">
        <v>1154</v>
      </c>
      <c r="G320" s="1332" t="s">
        <v>1186</v>
      </c>
      <c r="H320" s="1332" t="s">
        <v>3942</v>
      </c>
      <c r="I320" s="663"/>
      <c r="J320" s="663"/>
      <c r="K320" s="663"/>
      <c r="L320" s="653" t="str">
        <f t="shared" si="181"/>
        <v>6439</v>
      </c>
      <c r="M320" s="654" t="str">
        <f t="shared" si="182"/>
        <v>ASSURANCE GROUPE</v>
      </c>
      <c r="N320" s="655">
        <f>+IF(OR($Q320=Parametres!$G$2,$Q320=Parametres!$G$3),I320,C320)</f>
        <v>13719.33</v>
      </c>
      <c r="O320" s="655">
        <f>+IF(OR($Q320=Parametres!$G$2,$Q320=Parametres!$G$3),J320,D320)</f>
        <v>6924.47</v>
      </c>
      <c r="P320" s="655">
        <f>+IF(OR($Q320=Parametres!$G$2,$Q320=Parametres!$G$3),K320,E320)</f>
        <v>20643.8</v>
      </c>
      <c r="Q320" s="654" t="str">
        <f t="shared" si="183"/>
        <v>7-Dépenses</v>
      </c>
      <c r="R320" s="653" t="str">
        <f t="shared" si="184"/>
        <v>6139</v>
      </c>
      <c r="S320" s="654" t="str">
        <f t="shared" si="185"/>
        <v>_</v>
      </c>
      <c r="T320" s="656" t="str">
        <f>+VLOOKUP($L320,Data_Validation!$A:$D,1,0)</f>
        <v>6439</v>
      </c>
      <c r="U320" s="656" t="str">
        <f>+VLOOKUP($L320,Data_Validation!$A:$D,3,0)</f>
        <v>Service</v>
      </c>
      <c r="V320" s="656" t="str">
        <f>+VLOOKUP($L320,Data_Validation!$A:$D,4,0)</f>
        <v>Bénéfices marginaux</v>
      </c>
      <c r="W320" s="656" t="str">
        <f>+VLOOKUP($L320,Data_Validation!$A:$E,5,0)</f>
        <v>$</v>
      </c>
      <c r="X320" s="656">
        <f>+VLOOKUP($L320,Data_Validation!$A:$F,6,0)</f>
        <v>0</v>
      </c>
    </row>
    <row r="321" spans="1:24" ht="15" customHeight="1">
      <c r="A321" s="1332" t="s">
        <v>1249</v>
      </c>
      <c r="B321" s="1332" t="s">
        <v>2472</v>
      </c>
      <c r="C321" s="1334">
        <v>404.04</v>
      </c>
      <c r="D321" s="1334">
        <v>271.67</v>
      </c>
      <c r="E321" s="1334">
        <v>675.71</v>
      </c>
      <c r="F321" s="1332" t="s">
        <v>1154</v>
      </c>
      <c r="G321" s="1332" t="s">
        <v>1242</v>
      </c>
      <c r="H321" s="1332" t="s">
        <v>3942</v>
      </c>
      <c r="I321" s="1282"/>
      <c r="J321" s="1282"/>
      <c r="K321" s="1282"/>
      <c r="L321" s="653" t="str">
        <f t="shared" si="181"/>
        <v>6441</v>
      </c>
      <c r="M321" s="654" t="str">
        <f t="shared" si="182"/>
        <v>RETOURS</v>
      </c>
      <c r="N321" s="655">
        <f>+IF(OR($Q321=Parametres!$G$2,$Q321=Parametres!$G$3),I321,C321)</f>
        <v>404.04</v>
      </c>
      <c r="O321" s="655">
        <f>+IF(OR($Q321=Parametres!$G$2,$Q321=Parametres!$G$3),J321,D321)</f>
        <v>271.67</v>
      </c>
      <c r="P321" s="655">
        <f>+IF(OR($Q321=Parametres!$G$2,$Q321=Parametres!$G$3),K321,E321)</f>
        <v>675.71</v>
      </c>
      <c r="Q321" s="654" t="str">
        <f t="shared" si="183"/>
        <v>7-Dépenses</v>
      </c>
      <c r="R321" s="653" t="str">
        <f t="shared" si="184"/>
        <v>6112</v>
      </c>
      <c r="S321" s="654" t="str">
        <f t="shared" si="185"/>
        <v>_</v>
      </c>
      <c r="T321" s="656" t="str">
        <f>+VLOOKUP($L321,Data_Validation!$A:$D,1,0)</f>
        <v>6441</v>
      </c>
      <c r="U321" s="656" t="str">
        <f>+VLOOKUP($L321,Data_Validation!$A:$D,3,0)</f>
        <v>Service</v>
      </c>
      <c r="V321" s="656" t="str">
        <f>+VLOOKUP($L321,Data_Validation!$A:$D,4,0)</f>
        <v>Service gratuit 2</v>
      </c>
      <c r="W321" s="656" t="str">
        <f>+VLOOKUP($L321,Data_Validation!$A:$E,5,0)</f>
        <v>$</v>
      </c>
      <c r="X321" s="656">
        <f>+VLOOKUP($L321,Data_Validation!$A:$F,6,0)</f>
        <v>0</v>
      </c>
    </row>
    <row r="322" spans="1:24" ht="15.75" customHeight="1">
      <c r="A322" s="1332" t="s">
        <v>1187</v>
      </c>
      <c r="B322" s="1332" t="s">
        <v>2475</v>
      </c>
      <c r="C322" s="1334">
        <v>21523.69</v>
      </c>
      <c r="D322" s="1334">
        <v>6976.85</v>
      </c>
      <c r="E322" s="1334">
        <v>28500.54</v>
      </c>
      <c r="F322" s="1332" t="s">
        <v>1154</v>
      </c>
      <c r="G322" s="1332" t="s">
        <v>1188</v>
      </c>
      <c r="H322" s="1332" t="s">
        <v>3942</v>
      </c>
      <c r="I322" s="1282"/>
      <c r="J322" s="1282"/>
      <c r="K322" s="1282"/>
      <c r="L322" s="653" t="str">
        <f t="shared" si="181"/>
        <v>6442</v>
      </c>
      <c r="M322" s="654" t="str">
        <f t="shared" si="182"/>
        <v>FOURNITURES &amp; PETITS OUTILS</v>
      </c>
      <c r="N322" s="655">
        <f>+IF(OR($Q322=Parametres!$G$2,$Q322=Parametres!$G$3),I322,C322)</f>
        <v>21523.69</v>
      </c>
      <c r="O322" s="659">
        <f>+IF(OR($Q322=Parametres!$G$2,$Q322=Parametres!$G$3),J322,D322)</f>
        <v>6976.85</v>
      </c>
      <c r="P322" s="655">
        <f>+IF(OR($Q322=Parametres!$G$2,$Q322=Parametres!$G$3),K322,E322)</f>
        <v>28500.54</v>
      </c>
      <c r="Q322" s="654" t="str">
        <f t="shared" si="183"/>
        <v>7-Dépenses</v>
      </c>
      <c r="R322" s="653" t="str">
        <f t="shared" si="184"/>
        <v>6142</v>
      </c>
      <c r="S322" s="654" t="str">
        <f t="shared" si="185"/>
        <v>_</v>
      </c>
      <c r="T322" s="656" t="str">
        <f>+VLOOKUP($L322,Data_Validation!$A:$D,1,0)</f>
        <v>6442</v>
      </c>
      <c r="U322" s="656" t="str">
        <f>+VLOOKUP($L322,Data_Validation!$A:$D,3,0)</f>
        <v>Service</v>
      </c>
      <c r="V322" s="656" t="str">
        <f>+VLOOKUP($L322,Data_Validation!$A:$D,4,0)</f>
        <v>Fournitures autres</v>
      </c>
      <c r="W322" s="656" t="str">
        <f>+VLOOKUP($L322,Data_Validation!$A:$E,5,0)</f>
        <v>$</v>
      </c>
      <c r="X322" s="656">
        <f>+VLOOKUP($L322,Data_Validation!$A:$F,6,0)</f>
        <v>0</v>
      </c>
    </row>
    <row r="323" spans="1:24" ht="15" customHeight="1">
      <c r="A323" s="1332" t="s">
        <v>1189</v>
      </c>
      <c r="B323" s="1332" t="s">
        <v>2478</v>
      </c>
      <c r="C323" s="1334">
        <v>1566.27</v>
      </c>
      <c r="D323" s="1334">
        <v>1063.3900000000001</v>
      </c>
      <c r="E323" s="1334">
        <v>2629.66</v>
      </c>
      <c r="F323" s="1332" t="s">
        <v>1154</v>
      </c>
      <c r="G323" s="1332" t="s">
        <v>1190</v>
      </c>
      <c r="H323" s="1332" t="s">
        <v>3942</v>
      </c>
      <c r="I323" s="1282"/>
      <c r="J323" s="1282"/>
      <c r="K323" s="1282"/>
      <c r="L323" s="653" t="str">
        <f t="shared" si="181"/>
        <v>6443</v>
      </c>
      <c r="M323" s="654" t="str">
        <f t="shared" si="182"/>
        <v>UNIFORMES &amp; LESSIVE</v>
      </c>
      <c r="N323" s="655">
        <f>+IF(OR($Q323=Parametres!$G$2,$Q323=Parametres!$G$3),I323,C323)</f>
        <v>1566.27</v>
      </c>
      <c r="O323" s="659">
        <f>+IF(OR($Q323=Parametres!$G$2,$Q323=Parametres!$G$3),J323,D323)</f>
        <v>1063.3900000000001</v>
      </c>
      <c r="P323" s="655">
        <f>+IF(OR($Q323=Parametres!$G$2,$Q323=Parametres!$G$3),K323,E323)</f>
        <v>2629.66</v>
      </c>
      <c r="Q323" s="654" t="str">
        <f t="shared" si="183"/>
        <v>7-Dépenses</v>
      </c>
      <c r="R323" s="653" t="str">
        <f t="shared" si="184"/>
        <v>6143</v>
      </c>
      <c r="S323" s="654" t="str">
        <f t="shared" si="185"/>
        <v>_</v>
      </c>
      <c r="T323" s="656" t="str">
        <f>+VLOOKUP($L323,Data_Validation!$A:$D,1,0)</f>
        <v>6443</v>
      </c>
      <c r="U323" s="656" t="str">
        <f>+VLOOKUP($L323,Data_Validation!$A:$D,3,0)</f>
        <v>Service</v>
      </c>
      <c r="V323" s="656" t="str">
        <f>+VLOOKUP($L323,Data_Validation!$A:$D,4,0)</f>
        <v>Uniformes</v>
      </c>
      <c r="W323" s="656" t="str">
        <f>+VLOOKUP($L323,Data_Validation!$A:$E,5,0)</f>
        <v>$</v>
      </c>
      <c r="X323" s="656">
        <f>+VLOOKUP($L323,Data_Validation!$A:$F,6,0)</f>
        <v>0</v>
      </c>
    </row>
    <row r="324" spans="1:24" ht="15" customHeight="1">
      <c r="A324" s="1332" t="s">
        <v>1191</v>
      </c>
      <c r="B324" s="1332" t="s">
        <v>2481</v>
      </c>
      <c r="C324" s="1334">
        <v>1259.74</v>
      </c>
      <c r="D324" s="1334">
        <v>1078.8699999999999</v>
      </c>
      <c r="E324" s="1334">
        <v>2338.61</v>
      </c>
      <c r="F324" s="1332" t="s">
        <v>1154</v>
      </c>
      <c r="G324" s="1332" t="s">
        <v>1192</v>
      </c>
      <c r="H324" s="1332" t="s">
        <v>3942</v>
      </c>
      <c r="I324" s="1282"/>
      <c r="J324" s="1282"/>
      <c r="K324" s="1282"/>
      <c r="L324" s="653" t="str">
        <f t="shared" si="181"/>
        <v>6444</v>
      </c>
      <c r="M324" s="654" t="str">
        <f t="shared" si="182"/>
        <v>FORMATION</v>
      </c>
      <c r="N324" s="655">
        <f>+IF(OR($Q324=Parametres!$G$2,$Q324=Parametres!$G$3),I324,C324)</f>
        <v>1259.74</v>
      </c>
      <c r="O324" s="655">
        <f>+IF(OR($Q324=Parametres!$G$2,$Q324=Parametres!$G$3),J324,D324)</f>
        <v>1078.8699999999999</v>
      </c>
      <c r="P324" s="655">
        <f>+IF(OR($Q324=Parametres!$G$2,$Q324=Parametres!$G$3),K324,E324)</f>
        <v>2338.61</v>
      </c>
      <c r="Q324" s="654" t="str">
        <f t="shared" si="183"/>
        <v>7-Dépenses</v>
      </c>
      <c r="R324" s="653" t="str">
        <f t="shared" si="184"/>
        <v>6144</v>
      </c>
      <c r="S324" s="654" t="str">
        <f t="shared" si="185"/>
        <v>_</v>
      </c>
      <c r="T324" s="656" t="str">
        <f>+VLOOKUP($L324,Data_Validation!$A:$D,1,0)</f>
        <v>6444</v>
      </c>
      <c r="U324" s="656" t="str">
        <f>+VLOOKUP($L324,Data_Validation!$A:$D,3,0)</f>
        <v>Service</v>
      </c>
      <c r="V324" s="656" t="str">
        <f>+VLOOKUP($L324,Data_Validation!$A:$D,4,0)</f>
        <v>Formation</v>
      </c>
      <c r="W324" s="656" t="str">
        <f>+VLOOKUP($L324,Data_Validation!$A:$E,5,0)</f>
        <v>$</v>
      </c>
      <c r="X324" s="656">
        <f>+VLOOKUP($L324,Data_Validation!$A:$F,6,0)</f>
        <v>0</v>
      </c>
    </row>
    <row r="325" spans="1:24" ht="15" customHeight="1">
      <c r="A325" s="1332" t="s">
        <v>1250</v>
      </c>
      <c r="B325" s="1332" t="s">
        <v>2484</v>
      </c>
      <c r="C325" s="1334">
        <v>28105.89</v>
      </c>
      <c r="D325" s="1334">
        <v>9445.2999999999993</v>
      </c>
      <c r="E325" s="1334">
        <v>37551.19</v>
      </c>
      <c r="F325" s="1332" t="s">
        <v>1154</v>
      </c>
      <c r="G325" s="1332" t="s">
        <v>1194</v>
      </c>
      <c r="H325" s="1332" t="s">
        <v>3942</v>
      </c>
      <c r="I325" s="1282"/>
      <c r="J325" s="1282"/>
      <c r="K325" s="1282"/>
      <c r="L325" s="653" t="str">
        <f t="shared" si="181"/>
        <v>6445</v>
      </c>
      <c r="M325" s="654" t="str">
        <f t="shared" si="182"/>
        <v>LOCATION COURTOISIE</v>
      </c>
      <c r="N325" s="655">
        <f>+IF(OR($Q325=Parametres!$G$2,$Q325=Parametres!$G$3),I325,C325)</f>
        <v>28105.89</v>
      </c>
      <c r="O325" s="659">
        <f>+IF(OR($Q325=Parametres!$G$2,$Q325=Parametres!$G$3),J325,D325)</f>
        <v>9445.2999999999993</v>
      </c>
      <c r="P325" s="655">
        <f>+IF(OR($Q325=Parametres!$G$2,$Q325=Parametres!$G$3),K325,E325)</f>
        <v>37551.19</v>
      </c>
      <c r="Q325" s="654" t="str">
        <f t="shared" si="183"/>
        <v>7-Dépenses</v>
      </c>
      <c r="R325" s="653" t="str">
        <f t="shared" si="184"/>
        <v>6145</v>
      </c>
      <c r="S325" s="654" t="str">
        <f t="shared" si="185"/>
        <v>_</v>
      </c>
      <c r="T325" s="656" t="str">
        <f>+VLOOKUP($L325,Data_Validation!$A:$D,1,0)</f>
        <v>6445</v>
      </c>
      <c r="U325" s="656" t="str">
        <f>+VLOOKUP($L325,Data_Validation!$A:$D,3,0)</f>
        <v>Service</v>
      </c>
      <c r="V325" s="656" t="str">
        <f>+VLOOKUP($L325,Data_Validation!$A:$D,4,0)</f>
        <v>Frais véhicules de cie</v>
      </c>
      <c r="W325" s="656" t="str">
        <f>+VLOOKUP($L325,Data_Validation!$A:$E,5,0)</f>
        <v>$</v>
      </c>
      <c r="X325" s="656">
        <f>+VLOOKUP($L325,Data_Validation!$A:$F,6,0)</f>
        <v>0</v>
      </c>
    </row>
    <row r="326" spans="1:24" ht="15" customHeight="1">
      <c r="A326" s="1332" t="s">
        <v>1195</v>
      </c>
      <c r="B326" s="1332" t="s">
        <v>2487</v>
      </c>
      <c r="C326" s="1334">
        <v>598.66999999999996</v>
      </c>
      <c r="D326" s="1334">
        <v>125.82</v>
      </c>
      <c r="E326" s="1334">
        <v>724.49</v>
      </c>
      <c r="F326" s="1332" t="s">
        <v>1154</v>
      </c>
      <c r="G326" s="1332" t="s">
        <v>1196</v>
      </c>
      <c r="H326" s="1332" t="s">
        <v>3942</v>
      </c>
      <c r="I326" s="1282"/>
      <c r="J326" s="1282"/>
      <c r="K326" s="1282"/>
      <c r="L326" s="653" t="str">
        <f t="shared" si="181"/>
        <v>6447</v>
      </c>
      <c r="M326" s="654" t="str">
        <f t="shared" si="182"/>
        <v>FRET/EXPRESS/TRANS. PAR CAMION</v>
      </c>
      <c r="N326" s="655">
        <f>+IF(OR($Q326=Parametres!$G$2,$Q326=Parametres!$G$3),I326,C326)</f>
        <v>598.66999999999996</v>
      </c>
      <c r="O326" s="659">
        <f>+IF(OR($Q326=Parametres!$G$2,$Q326=Parametres!$G$3),J326,D326)</f>
        <v>125.82</v>
      </c>
      <c r="P326" s="655">
        <f>+IF(OR($Q326=Parametres!$G$2,$Q326=Parametres!$G$3),K326,E326)</f>
        <v>724.49</v>
      </c>
      <c r="Q326" s="654" t="str">
        <f t="shared" si="183"/>
        <v>7-Dépenses</v>
      </c>
      <c r="R326" s="653" t="str">
        <f t="shared" si="184"/>
        <v>6147</v>
      </c>
      <c r="S326" s="654" t="str">
        <f t="shared" si="185"/>
        <v>_</v>
      </c>
      <c r="T326" s="656" t="str">
        <f>+VLOOKUP($L326,Data_Validation!$A:$D,1,0)</f>
        <v>6447</v>
      </c>
      <c r="U326" s="656" t="str">
        <f>+VLOOKUP($L326,Data_Validation!$A:$D,3,0)</f>
        <v>Service</v>
      </c>
      <c r="V326" s="656" t="str">
        <f>+VLOOKUP($L326,Data_Validation!$A:$D,4,0)</f>
        <v>Frais postaux</v>
      </c>
      <c r="W326" s="656" t="str">
        <f>+VLOOKUP($L326,Data_Validation!$A:$E,5,0)</f>
        <v>$</v>
      </c>
      <c r="X326" s="656">
        <f>+VLOOKUP($L326,Data_Validation!$A:$F,6,0)</f>
        <v>0</v>
      </c>
    </row>
    <row r="327" spans="1:24" ht="15.75" customHeight="1">
      <c r="A327" s="1332" t="s">
        <v>1197</v>
      </c>
      <c r="B327" s="1332" t="s">
        <v>2490</v>
      </c>
      <c r="C327" s="1334">
        <v>9523.68</v>
      </c>
      <c r="D327" s="1334">
        <v>4437.25</v>
      </c>
      <c r="E327" s="1334">
        <v>13960.93</v>
      </c>
      <c r="F327" s="1332" t="s">
        <v>1154</v>
      </c>
      <c r="G327" s="1332" t="s">
        <v>1198</v>
      </c>
      <c r="H327" s="1332" t="s">
        <v>3942</v>
      </c>
      <c r="I327" s="1282"/>
      <c r="J327" s="1282"/>
      <c r="K327" s="1282"/>
      <c r="L327" s="653" t="str">
        <f t="shared" si="181"/>
        <v>6451</v>
      </c>
      <c r="M327" s="654" t="str">
        <f t="shared" si="182"/>
        <v>DEP. DU TRAITEMENT DES DONNEES</v>
      </c>
      <c r="N327" s="655">
        <f>+IF(OR($Q327=Parametres!$G$2,$Q327=Parametres!$G$3),I327,C327)</f>
        <v>9523.68</v>
      </c>
      <c r="O327" s="655">
        <f>+IF(OR($Q327=Parametres!$G$2,$Q327=Parametres!$G$3),J327,D327)</f>
        <v>4437.25</v>
      </c>
      <c r="P327" s="655">
        <f>+IF(OR($Q327=Parametres!$G$2,$Q327=Parametres!$G$3),K327,E327)</f>
        <v>13960.93</v>
      </c>
      <c r="Q327" s="654" t="str">
        <f t="shared" si="183"/>
        <v>7-Dépenses</v>
      </c>
      <c r="R327" s="653" t="str">
        <f t="shared" si="184"/>
        <v>6151</v>
      </c>
      <c r="S327" s="654" t="str">
        <f t="shared" si="185"/>
        <v>_</v>
      </c>
      <c r="T327" s="656" t="str">
        <f>+VLOOKUP($L327,Data_Validation!$A:$D,1,0)</f>
        <v>6451</v>
      </c>
      <c r="U327" s="656" t="str">
        <f>+VLOOKUP($L327,Data_Validation!$A:$D,3,0)</f>
        <v>Service</v>
      </c>
      <c r="V327" s="656" t="str">
        <f>+VLOOKUP($L327,Data_Validation!$A:$D,4,0)</f>
        <v>Informatique</v>
      </c>
      <c r="W327" s="656" t="str">
        <f>+VLOOKUP($L327,Data_Validation!$A:$E,5,0)</f>
        <v>$</v>
      </c>
      <c r="X327" s="656">
        <f>+VLOOKUP($L327,Data_Validation!$A:$F,6,0)</f>
        <v>0</v>
      </c>
    </row>
    <row r="328" spans="1:24" ht="15" customHeight="1">
      <c r="A328" s="1332" t="s">
        <v>1199</v>
      </c>
      <c r="B328" s="1332" t="s">
        <v>2493</v>
      </c>
      <c r="C328" s="1334">
        <v>1344.02</v>
      </c>
      <c r="D328" s="1334">
        <v>514.86</v>
      </c>
      <c r="E328" s="1334">
        <v>1858.88</v>
      </c>
      <c r="F328" s="1332" t="s">
        <v>1154</v>
      </c>
      <c r="G328" s="1332" t="s">
        <v>1200</v>
      </c>
      <c r="H328" s="1332" t="s">
        <v>3942</v>
      </c>
      <c r="I328" s="1282"/>
      <c r="J328" s="1282"/>
      <c r="K328" s="1282"/>
      <c r="L328" s="653" t="str">
        <f t="shared" si="181"/>
        <v>6452</v>
      </c>
      <c r="M328" s="654" t="str">
        <f t="shared" si="182"/>
        <v>PAPETERIE</v>
      </c>
      <c r="N328" s="655">
        <f>+IF(OR($Q328=Parametres!$G$2,$Q328=Parametres!$G$3),I328,C328)</f>
        <v>1344.02</v>
      </c>
      <c r="O328" s="655">
        <f>+IF(OR($Q328=Parametres!$G$2,$Q328=Parametres!$G$3),J328,D328)</f>
        <v>514.86</v>
      </c>
      <c r="P328" s="655">
        <f>+IF(OR($Q328=Parametres!$G$2,$Q328=Parametres!$G$3),K328,E328)</f>
        <v>1858.88</v>
      </c>
      <c r="Q328" s="654" t="str">
        <f t="shared" si="183"/>
        <v>7-Dépenses</v>
      </c>
      <c r="R328" s="653" t="str">
        <f t="shared" si="184"/>
        <v>6152</v>
      </c>
      <c r="S328" s="654" t="str">
        <f t="shared" si="185"/>
        <v>_</v>
      </c>
      <c r="T328" s="656" t="str">
        <f>+VLOOKUP($L328,Data_Validation!$A:$D,1,0)</f>
        <v>6452</v>
      </c>
      <c r="U328" s="656" t="str">
        <f>+VLOOKUP($L328,Data_Validation!$A:$D,3,0)</f>
        <v>Service</v>
      </c>
      <c r="V328" s="656" t="str">
        <f>+VLOOKUP($L328,Data_Validation!$A:$D,4,0)</f>
        <v>Papeterie</v>
      </c>
      <c r="W328" s="656" t="str">
        <f>+VLOOKUP($L328,Data_Validation!$A:$E,5,0)</f>
        <v>$</v>
      </c>
      <c r="X328" s="656">
        <f>+VLOOKUP($L328,Data_Validation!$A:$F,6,0)</f>
        <v>0</v>
      </c>
    </row>
    <row r="329" spans="1:24" ht="15" customHeight="1">
      <c r="A329" s="1332" t="s">
        <v>1201</v>
      </c>
      <c r="B329" s="1332" t="s">
        <v>2496</v>
      </c>
      <c r="C329" s="1334">
        <v>651.59</v>
      </c>
      <c r="D329" s="1334">
        <v>197.03</v>
      </c>
      <c r="E329" s="1334">
        <v>848.62</v>
      </c>
      <c r="F329" s="1332" t="s">
        <v>1154</v>
      </c>
      <c r="G329" s="1332" t="s">
        <v>1202</v>
      </c>
      <c r="H329" s="1332" t="s">
        <v>3942</v>
      </c>
      <c r="I329" s="1282"/>
      <c r="J329" s="1282"/>
      <c r="K329" s="1282"/>
      <c r="L329" s="653" t="str">
        <f t="shared" si="181"/>
        <v>6453</v>
      </c>
      <c r="M329" s="654" t="str">
        <f t="shared" si="182"/>
        <v>TELEPHONE ET TELEX</v>
      </c>
      <c r="N329" s="655">
        <f>+IF(OR($Q329=Parametres!$G$2,$Q329=Parametres!$G$3),I329,C329)</f>
        <v>651.59</v>
      </c>
      <c r="O329" s="655">
        <f>+IF(OR($Q329=Parametres!$G$2,$Q329=Parametres!$G$3),J329,D329)</f>
        <v>197.03</v>
      </c>
      <c r="P329" s="655">
        <f>+IF(OR($Q329=Parametres!$G$2,$Q329=Parametres!$G$3),K329,E329)</f>
        <v>848.62</v>
      </c>
      <c r="Q329" s="654" t="str">
        <f t="shared" si="183"/>
        <v>7-Dépenses</v>
      </c>
      <c r="R329" s="653" t="str">
        <f t="shared" si="184"/>
        <v>6153</v>
      </c>
      <c r="S329" s="654" t="str">
        <f t="shared" si="185"/>
        <v>_</v>
      </c>
      <c r="T329" s="656" t="str">
        <f>+VLOOKUP($L329,Data_Validation!$A:$D,1,0)</f>
        <v>6453</v>
      </c>
      <c r="U329" s="656" t="str">
        <f>+VLOOKUP($L329,Data_Validation!$A:$D,3,0)</f>
        <v>Service</v>
      </c>
      <c r="V329" s="656" t="str">
        <f>+VLOOKUP($L329,Data_Validation!$A:$D,4,0)</f>
        <v>Téléphone</v>
      </c>
      <c r="W329" s="656" t="str">
        <f>+VLOOKUP($L329,Data_Validation!$A:$E,5,0)</f>
        <v>$</v>
      </c>
      <c r="X329" s="656">
        <f>+VLOOKUP($L329,Data_Validation!$A:$F,6,0)</f>
        <v>0</v>
      </c>
    </row>
    <row r="330" spans="1:24" ht="15" customHeight="1">
      <c r="A330" s="1332" t="s">
        <v>1203</v>
      </c>
      <c r="B330" s="1332" t="s">
        <v>2499</v>
      </c>
      <c r="C330" s="1334">
        <v>412.95</v>
      </c>
      <c r="D330" s="1334">
        <v>253.98</v>
      </c>
      <c r="E330" s="1334">
        <v>666.93</v>
      </c>
      <c r="F330" s="1332" t="s">
        <v>1154</v>
      </c>
      <c r="G330" s="1332" t="s">
        <v>1204</v>
      </c>
      <c r="H330" s="1332" t="s">
        <v>3942</v>
      </c>
      <c r="I330" s="1282"/>
      <c r="J330" s="1282"/>
      <c r="K330" s="1282"/>
      <c r="L330" s="653" t="str">
        <f t="shared" si="181"/>
        <v>6455</v>
      </c>
      <c r="M330" s="654" t="str">
        <f t="shared" si="182"/>
        <v>DEPENSES DIVERS</v>
      </c>
      <c r="N330" s="655">
        <f>+IF(OR($Q330=Parametres!$G$2,$Q330=Parametres!$G$3),I330,C330)</f>
        <v>412.95</v>
      </c>
      <c r="O330" s="655">
        <f>+IF(OR($Q330=Parametres!$G$2,$Q330=Parametres!$G$3),J330,D330)</f>
        <v>253.98</v>
      </c>
      <c r="P330" s="655">
        <f>+IF(OR($Q330=Parametres!$G$2,$Q330=Parametres!$G$3),K330,E330)</f>
        <v>666.93</v>
      </c>
      <c r="Q330" s="654" t="str">
        <f t="shared" si="183"/>
        <v>7-Dépenses</v>
      </c>
      <c r="R330" s="653" t="str">
        <f t="shared" si="184"/>
        <v>6155</v>
      </c>
      <c r="S330" s="654" t="str">
        <f t="shared" si="185"/>
        <v>_</v>
      </c>
      <c r="T330" s="656" t="str">
        <f>+VLOOKUP($L330,Data_Validation!$A:$D,1,0)</f>
        <v>6455</v>
      </c>
      <c r="U330" s="656" t="str">
        <f>+VLOOKUP($L330,Data_Validation!$A:$D,3,0)</f>
        <v>Service</v>
      </c>
      <c r="V330" s="656" t="str">
        <f>+VLOOKUP($L330,Data_Validation!$A:$D,4,0)</f>
        <v>Divers</v>
      </c>
      <c r="W330" s="656" t="str">
        <f>+VLOOKUP($L330,Data_Validation!$A:$E,5,0)</f>
        <v>$</v>
      </c>
      <c r="X330" s="656">
        <f>+VLOOKUP($L330,Data_Validation!$A:$F,6,0)</f>
        <v>0</v>
      </c>
    </row>
    <row r="331" spans="1:24" ht="15" customHeight="1">
      <c r="A331" s="1332" t="s">
        <v>1251</v>
      </c>
      <c r="B331" s="1332" t="s">
        <v>2502</v>
      </c>
      <c r="C331" s="1334">
        <v>782.05</v>
      </c>
      <c r="D331" s="1334">
        <v>1494.34</v>
      </c>
      <c r="E331" s="1334">
        <v>2276.39</v>
      </c>
      <c r="F331" s="1332" t="s">
        <v>1154</v>
      </c>
      <c r="G331" s="1332" t="s">
        <v>1206</v>
      </c>
      <c r="H331" s="1332" t="s">
        <v>3942</v>
      </c>
      <c r="I331" s="1282"/>
      <c r="J331" s="1282"/>
      <c r="K331" s="1282"/>
      <c r="L331" s="653" t="str">
        <f t="shared" si="181"/>
        <v>6456</v>
      </c>
      <c r="M331" s="654" t="str">
        <f t="shared" si="182"/>
        <v>FRAIS REPRESENTATION - SERVICE</v>
      </c>
      <c r="N331" s="655">
        <f>+IF(OR($Q331=Parametres!$G$2,$Q331=Parametres!$G$3),I331,C331)</f>
        <v>782.05</v>
      </c>
      <c r="O331" s="655">
        <f>+IF(OR($Q331=Parametres!$G$2,$Q331=Parametres!$G$3),J331,D331)</f>
        <v>1494.34</v>
      </c>
      <c r="P331" s="655">
        <f>+IF(OR($Q331=Parametres!$G$2,$Q331=Parametres!$G$3),K331,E331)</f>
        <v>2276.39</v>
      </c>
      <c r="Q331" s="654" t="str">
        <f t="shared" si="183"/>
        <v>7-Dépenses</v>
      </c>
      <c r="R331" s="653" t="str">
        <f t="shared" si="184"/>
        <v>6156</v>
      </c>
      <c r="S331" s="654" t="str">
        <f t="shared" si="185"/>
        <v>_</v>
      </c>
      <c r="T331" s="656" t="str">
        <f>+VLOOKUP($L331,Data_Validation!$A:$D,1,0)</f>
        <v>6456</v>
      </c>
      <c r="U331" s="656" t="str">
        <f>+VLOOKUP($L331,Data_Validation!$A:$D,3,0)</f>
        <v>Service</v>
      </c>
      <c r="V331" s="656" t="str">
        <f>+VLOOKUP($L331,Data_Validation!$A:$D,4,0)</f>
        <v>Frais de déplacement</v>
      </c>
      <c r="W331" s="656" t="str">
        <f>+VLOOKUP($L331,Data_Validation!$A:$E,5,0)</f>
        <v>$</v>
      </c>
      <c r="X331" s="656">
        <f>+VLOOKUP($L331,Data_Validation!$A:$F,6,0)</f>
        <v>0</v>
      </c>
    </row>
    <row r="332" spans="1:24" ht="15" customHeight="1">
      <c r="A332" s="1332" t="s">
        <v>1252</v>
      </c>
      <c r="B332" s="1332" t="s">
        <v>3393</v>
      </c>
      <c r="C332" s="1334">
        <v>4685.6499999999996</v>
      </c>
      <c r="D332" s="1334">
        <v>1913.34</v>
      </c>
      <c r="E332" s="1334">
        <v>6598.99</v>
      </c>
      <c r="F332" s="1332" t="s">
        <v>1154</v>
      </c>
      <c r="G332" s="1332" t="s">
        <v>1253</v>
      </c>
      <c r="H332" s="1332" t="s">
        <v>3942</v>
      </c>
      <c r="I332" s="1282"/>
      <c r="J332" s="1282"/>
      <c r="K332" s="1282"/>
      <c r="L332" s="653" t="str">
        <f t="shared" si="181"/>
        <v>6457</v>
      </c>
      <c r="M332" s="654" t="str">
        <f t="shared" si="182"/>
        <v>FRAIS BANCAIRES - SERVICE</v>
      </c>
      <c r="N332" s="655">
        <f>+IF(OR($Q332=Parametres!$G$2,$Q332=Parametres!$G$3),I332,C332)</f>
        <v>4685.6499999999996</v>
      </c>
      <c r="O332" s="655">
        <f>+IF(OR($Q332=Parametres!$G$2,$Q332=Parametres!$G$3),J332,D332)</f>
        <v>1913.34</v>
      </c>
      <c r="P332" s="655">
        <f>+IF(OR($Q332=Parametres!$G$2,$Q332=Parametres!$G$3),K332,E332)</f>
        <v>6598.99</v>
      </c>
      <c r="Q332" s="654" t="str">
        <f t="shared" si="183"/>
        <v>7-Dépenses</v>
      </c>
      <c r="R332" s="653" t="str">
        <f t="shared" si="184"/>
        <v>645</v>
      </c>
      <c r="S332" s="654" t="str">
        <f t="shared" si="185"/>
        <v>_</v>
      </c>
      <c r="T332" s="656" t="str">
        <f>+VLOOKUP($L332,Data_Validation!$A:$D,1,0)</f>
        <v>6457</v>
      </c>
      <c r="U332" s="656" t="str">
        <f>+VLOOKUP($L332,Data_Validation!$A:$D,3,0)</f>
        <v>Service</v>
      </c>
      <c r="V332" s="656" t="str">
        <f>+VLOOKUP($L332,Data_Validation!$A:$D,4,0)</f>
        <v>Frais bancaires</v>
      </c>
      <c r="W332" s="656" t="str">
        <f>+VLOOKUP($L332,Data_Validation!$A:$E,5,0)</f>
        <v>$</v>
      </c>
      <c r="X332" s="656">
        <f>+VLOOKUP($L332,Data_Validation!$A:$F,6,0)</f>
        <v>0</v>
      </c>
    </row>
    <row r="333" spans="1:24" ht="15.75" customHeight="1">
      <c r="A333" s="1332" t="s">
        <v>1209</v>
      </c>
      <c r="B333" s="1332" t="s">
        <v>2505</v>
      </c>
      <c r="C333" s="1334">
        <v>30889.8</v>
      </c>
      <c r="D333" s="1334">
        <v>20975.82</v>
      </c>
      <c r="E333" s="1334">
        <v>51865.62</v>
      </c>
      <c r="F333" s="1332" t="s">
        <v>1154</v>
      </c>
      <c r="G333" s="1332" t="s">
        <v>1210</v>
      </c>
      <c r="H333" s="1332" t="s">
        <v>3942</v>
      </c>
      <c r="I333" s="1282"/>
      <c r="J333" s="1282"/>
      <c r="K333" s="1282"/>
      <c r="L333" s="653" t="str">
        <f t="shared" si="181"/>
        <v>6459</v>
      </c>
      <c r="M333" s="654" t="str">
        <f t="shared" si="182"/>
        <v>SERVICE EXTERIEUR</v>
      </c>
      <c r="N333" s="655">
        <f>+IF(OR($Q333=Parametres!$G$2,$Q333=Parametres!$G$3),I333,C333)</f>
        <v>30889.8</v>
      </c>
      <c r="O333" s="655">
        <f>+IF(OR($Q333=Parametres!$G$2,$Q333=Parametres!$G$3),J333,D333)</f>
        <v>20975.82</v>
      </c>
      <c r="P333" s="655">
        <f>+IF(OR($Q333=Parametres!$G$2,$Q333=Parametres!$G$3),K333,E333)</f>
        <v>51865.62</v>
      </c>
      <c r="Q333" s="654" t="str">
        <f t="shared" si="183"/>
        <v>7-Dépenses</v>
      </c>
      <c r="R333" s="653" t="str">
        <f t="shared" si="184"/>
        <v>6159</v>
      </c>
      <c r="S333" s="654" t="str">
        <f t="shared" si="185"/>
        <v>_</v>
      </c>
      <c r="T333" s="656" t="str">
        <f>+VLOOKUP($L333,Data_Validation!$A:$D,1,0)</f>
        <v>6459</v>
      </c>
      <c r="U333" s="656" t="str">
        <f>+VLOOKUP($L333,Data_Validation!$A:$D,3,0)</f>
        <v>Service</v>
      </c>
      <c r="V333" s="656" t="str">
        <f>+VLOOKUP($L333,Data_Validation!$A:$D,4,0)</f>
        <v>Services extérieurs</v>
      </c>
      <c r="W333" s="656" t="str">
        <f>+VLOOKUP($L333,Data_Validation!$A:$E,5,0)</f>
        <v>$</v>
      </c>
      <c r="X333" s="656">
        <f>+VLOOKUP($L333,Data_Validation!$A:$F,6,0)</f>
        <v>0</v>
      </c>
    </row>
    <row r="334" spans="1:24" ht="15.75" customHeight="1">
      <c r="A334" s="1332" t="s">
        <v>1211</v>
      </c>
      <c r="B334" s="1332" t="s">
        <v>2508</v>
      </c>
      <c r="C334" s="1334">
        <v>4568.16</v>
      </c>
      <c r="D334" s="1334">
        <v>2284.08</v>
      </c>
      <c r="E334" s="1334">
        <v>6852.24</v>
      </c>
      <c r="F334" s="1332" t="s">
        <v>1154</v>
      </c>
      <c r="G334" s="1332" t="s">
        <v>1212</v>
      </c>
      <c r="H334" s="1332" t="s">
        <v>3942</v>
      </c>
      <c r="I334" s="1281"/>
      <c r="J334" s="1281"/>
      <c r="K334" s="1281"/>
      <c r="L334" s="653" t="str">
        <f t="shared" si="181"/>
        <v>6461</v>
      </c>
      <c r="M334" s="654" t="str">
        <f t="shared" si="182"/>
        <v>DEPRECIATION EQUIP. &amp; FIXTURES</v>
      </c>
      <c r="N334" s="655">
        <f>+IF(OR($Q334=Parametres!$G$2,$Q334=Parametres!$G$3),I334,C334)</f>
        <v>4568.16</v>
      </c>
      <c r="O334" s="655">
        <f>+IF(OR($Q334=Parametres!$G$2,$Q334=Parametres!$G$3),J334,D334)</f>
        <v>2284.08</v>
      </c>
      <c r="P334" s="655">
        <f>+IF(OR($Q334=Parametres!$G$2,$Q334=Parametres!$G$3),K334,E334)</f>
        <v>6852.24</v>
      </c>
      <c r="Q334" s="654" t="str">
        <f t="shared" si="183"/>
        <v>7-Dépenses</v>
      </c>
      <c r="R334" s="653" t="str">
        <f t="shared" si="184"/>
        <v>6161</v>
      </c>
      <c r="S334" s="654" t="str">
        <f t="shared" si="185"/>
        <v>_</v>
      </c>
      <c r="T334" s="656" t="str">
        <f>+VLOOKUP($L334,Data_Validation!$A:$D,1,0)</f>
        <v>6461</v>
      </c>
      <c r="U334" s="656" t="str">
        <f>+VLOOKUP($L334,Data_Validation!$A:$D,3,0)</f>
        <v>Service</v>
      </c>
      <c r="V334" s="656" t="str">
        <f>+VLOOKUP($L334,Data_Validation!$A:$D,4,0)</f>
        <v>Amortissement</v>
      </c>
      <c r="W334" s="656" t="str">
        <f>+VLOOKUP($L334,Data_Validation!$A:$E,5,0)</f>
        <v>$</v>
      </c>
      <c r="X334" s="656">
        <f>+VLOOKUP($L334,Data_Validation!$A:$F,6,0)</f>
        <v>0</v>
      </c>
    </row>
    <row r="335" spans="1:24" ht="15" customHeight="1">
      <c r="A335" s="1332" t="s">
        <v>1389</v>
      </c>
      <c r="B335" s="1332" t="s">
        <v>2511</v>
      </c>
      <c r="C335" s="1334">
        <v>991.4</v>
      </c>
      <c r="D335" s="1334">
        <v>0</v>
      </c>
      <c r="E335" s="1334">
        <v>991.4</v>
      </c>
      <c r="F335" s="1332" t="s">
        <v>1154</v>
      </c>
      <c r="G335" s="1332" t="s">
        <v>2304</v>
      </c>
      <c r="H335" s="1332" t="s">
        <v>3942</v>
      </c>
      <c r="I335" s="1281"/>
      <c r="J335" s="1281"/>
      <c r="K335" s="1281"/>
      <c r="L335" s="653" t="str">
        <f t="shared" si="181"/>
        <v>6462</v>
      </c>
      <c r="M335" s="654" t="str">
        <f t="shared" si="182"/>
        <v>LOCATION D'EQUIPEMENTS</v>
      </c>
      <c r="N335" s="655">
        <f>+IF(OR($Q335=Parametres!$G$2,$Q335=Parametres!$G$3),I335,C335)</f>
        <v>991.4</v>
      </c>
      <c r="O335" s="655">
        <f>+IF(OR($Q335=Parametres!$G$2,$Q335=Parametres!$G$3),J335,D335)</f>
        <v>0</v>
      </c>
      <c r="P335" s="655">
        <f>+IF(OR($Q335=Parametres!$G$2,$Q335=Parametres!$G$3),K335,E335)</f>
        <v>991.4</v>
      </c>
      <c r="Q335" s="654" t="str">
        <f t="shared" si="183"/>
        <v>7-Dépenses</v>
      </c>
      <c r="R335" s="653" t="str">
        <f t="shared" si="184"/>
        <v>6162</v>
      </c>
      <c r="S335" s="654" t="str">
        <f t="shared" si="185"/>
        <v>_</v>
      </c>
      <c r="T335" s="656" t="str">
        <f>+VLOOKUP($L335,Data_Validation!$A:$D,1,0)</f>
        <v>6462</v>
      </c>
      <c r="U335" s="656" t="str">
        <f>+VLOOKUP($L335,Data_Validation!$A:$D,3,0)</f>
        <v>Service</v>
      </c>
      <c r="V335" s="656" t="str">
        <f>+VLOOKUP($L335,Data_Validation!$A:$D,4,0)</f>
        <v>Location équipement</v>
      </c>
      <c r="W335" s="656" t="str">
        <f>+VLOOKUP($L335,Data_Validation!$A:$E,5,0)</f>
        <v>$</v>
      </c>
      <c r="X335" s="656">
        <f>+VLOOKUP($L335,Data_Validation!$A:$F,6,0)</f>
        <v>0</v>
      </c>
    </row>
    <row r="336" spans="1:24" ht="15" customHeight="1">
      <c r="A336" s="1332" t="s">
        <v>1254</v>
      </c>
      <c r="B336" s="1332" t="s">
        <v>2514</v>
      </c>
      <c r="C336" s="1334">
        <v>186.06</v>
      </c>
      <c r="D336" s="1334">
        <v>88</v>
      </c>
      <c r="E336" s="1334">
        <v>274.06</v>
      </c>
      <c r="F336" s="1332" t="s">
        <v>1154</v>
      </c>
      <c r="G336" s="1332" t="s">
        <v>1255</v>
      </c>
      <c r="H336" s="1332" t="s">
        <v>3942</v>
      </c>
      <c r="I336" s="1281"/>
      <c r="J336" s="1281"/>
      <c r="K336" s="1281"/>
      <c r="L336" s="653" t="str">
        <f t="shared" si="181"/>
        <v>6463</v>
      </c>
      <c r="M336" s="654" t="str">
        <f t="shared" si="182"/>
        <v>REPARATION &amp; ENT. - EQUIP.</v>
      </c>
      <c r="N336" s="655">
        <f>+IF(OR($Q336=Parametres!$G$2,$Q336=Parametres!$G$3),I336,C336)</f>
        <v>186.06</v>
      </c>
      <c r="O336" s="655">
        <f>+IF(OR($Q336=Parametres!$G$2,$Q336=Parametres!$G$3),J336,D336)</f>
        <v>88</v>
      </c>
      <c r="P336" s="655">
        <f>+IF(OR($Q336=Parametres!$G$2,$Q336=Parametres!$G$3),K336,E336)</f>
        <v>274.06</v>
      </c>
      <c r="Q336" s="654" t="str">
        <f t="shared" si="183"/>
        <v>7-Dépenses</v>
      </c>
      <c r="R336" s="653" t="str">
        <f t="shared" si="184"/>
        <v>6163</v>
      </c>
      <c r="S336" s="654" t="str">
        <f t="shared" si="185"/>
        <v>_</v>
      </c>
      <c r="T336" s="656" t="str">
        <f>+VLOOKUP($L336,Data_Validation!$A:$D,1,0)</f>
        <v>6463</v>
      </c>
      <c r="U336" s="656" t="str">
        <f>+VLOOKUP($L336,Data_Validation!$A:$D,3,0)</f>
        <v>Service</v>
      </c>
      <c r="V336" s="656" t="str">
        <f>+VLOOKUP($L336,Data_Validation!$A:$D,4,0)</f>
        <v>Réparation équipement</v>
      </c>
      <c r="W336" s="656" t="str">
        <f>+VLOOKUP($L336,Data_Validation!$A:$E,5,0)</f>
        <v>$</v>
      </c>
      <c r="X336" s="656">
        <f>+VLOOKUP($L336,Data_Validation!$A:$F,6,0)</f>
        <v>0</v>
      </c>
    </row>
    <row r="337" spans="1:24" ht="15" customHeight="1">
      <c r="A337" s="1332" t="s">
        <v>1256</v>
      </c>
      <c r="B337" s="1332" t="s">
        <v>2517</v>
      </c>
      <c r="C337" s="1334">
        <v>5185.8</v>
      </c>
      <c r="D337" s="1334">
        <v>1957.45</v>
      </c>
      <c r="E337" s="1334">
        <v>7143.25</v>
      </c>
      <c r="F337" s="1332" t="s">
        <v>1154</v>
      </c>
      <c r="G337" s="1332" t="s">
        <v>1214</v>
      </c>
      <c r="H337" s="1332" t="s">
        <v>3942</v>
      </c>
      <c r="I337" s="1281"/>
      <c r="J337" s="1281"/>
      <c r="K337" s="1281"/>
      <c r="L337" s="653" t="str">
        <f t="shared" si="181"/>
        <v>6481</v>
      </c>
      <c r="M337" s="654" t="str">
        <f t="shared" si="182"/>
        <v>CHAUFFAGE,ELECTRICITE,EAU-SERVICE</v>
      </c>
      <c r="N337" s="655">
        <f>+IF(OR($Q337=Parametres!$G$2,$Q337=Parametres!$G$3),I337,C337)</f>
        <v>5185.8</v>
      </c>
      <c r="O337" s="655">
        <f>+IF(OR($Q337=Parametres!$G$2,$Q337=Parametres!$G$3),J337,D337)</f>
        <v>1957.45</v>
      </c>
      <c r="P337" s="655">
        <f>+IF(OR($Q337=Parametres!$G$2,$Q337=Parametres!$G$3),K337,E337)</f>
        <v>7143.25</v>
      </c>
      <c r="Q337" s="654" t="str">
        <f t="shared" si="183"/>
        <v>7-Dépenses</v>
      </c>
      <c r="R337" s="653" t="str">
        <f t="shared" si="184"/>
        <v>6181</v>
      </c>
      <c r="S337" s="654" t="str">
        <f t="shared" si="185"/>
        <v>_</v>
      </c>
      <c r="T337" s="656" t="str">
        <f>+VLOOKUP($L337,Data_Validation!$A:$D,1,0)</f>
        <v>6481</v>
      </c>
      <c r="U337" s="656" t="str">
        <f>+VLOOKUP($L337,Data_Validation!$A:$D,3,0)</f>
        <v>Service</v>
      </c>
      <c r="V337" s="656" t="str">
        <f>+VLOOKUP($L337,Data_Validation!$A:$D,4,0)</f>
        <v>Chauffage, éclairage</v>
      </c>
      <c r="W337" s="656" t="str">
        <f>+VLOOKUP($L337,Data_Validation!$A:$E,5,0)</f>
        <v>$</v>
      </c>
      <c r="X337" s="656">
        <f>+VLOOKUP($L337,Data_Validation!$A:$F,6,0)</f>
        <v>0</v>
      </c>
    </row>
    <row r="338" spans="1:24" ht="15.75" customHeight="1">
      <c r="A338" s="1332" t="s">
        <v>1257</v>
      </c>
      <c r="B338" s="1332" t="s">
        <v>2520</v>
      </c>
      <c r="C338" s="1334">
        <v>30120</v>
      </c>
      <c r="D338" s="1334">
        <v>19140</v>
      </c>
      <c r="E338" s="1334">
        <v>49260</v>
      </c>
      <c r="F338" s="1332" t="s">
        <v>1154</v>
      </c>
      <c r="G338" s="1332" t="s">
        <v>1216</v>
      </c>
      <c r="H338" s="1332" t="s">
        <v>3942</v>
      </c>
      <c r="I338" s="1281"/>
      <c r="J338" s="1281"/>
      <c r="K338" s="1281"/>
      <c r="L338" s="653" t="str">
        <f t="shared" si="181"/>
        <v>6482</v>
      </c>
      <c r="M338" s="654" t="str">
        <f t="shared" si="182"/>
        <v>LOYER - SERVICE</v>
      </c>
      <c r="N338" s="655">
        <f>+IF(OR($Q338=Parametres!$G$2,$Q338=Parametres!$G$3),I338,C338)</f>
        <v>30120</v>
      </c>
      <c r="O338" s="659">
        <f>+IF(OR($Q338=Parametres!$G$2,$Q338=Parametres!$G$3),J338,D338)</f>
        <v>19140</v>
      </c>
      <c r="P338" s="655">
        <f>+IF(OR($Q338=Parametres!$G$2,$Q338=Parametres!$G$3),K338,E338)</f>
        <v>49260</v>
      </c>
      <c r="Q338" s="654" t="str">
        <f t="shared" si="183"/>
        <v>7-Dépenses</v>
      </c>
      <c r="R338" s="653" t="str">
        <f t="shared" si="184"/>
        <v>6182</v>
      </c>
      <c r="S338" s="654" t="str">
        <f t="shared" si="185"/>
        <v>_</v>
      </c>
      <c r="T338" s="656" t="str">
        <f>+VLOOKUP($L338,Data_Validation!$A:$D,1,0)</f>
        <v>6482</v>
      </c>
      <c r="U338" s="656" t="str">
        <f>+VLOOKUP($L338,Data_Validation!$A:$D,3,0)</f>
        <v>Service</v>
      </c>
      <c r="V338" s="656" t="str">
        <f>+VLOOKUP($L338,Data_Validation!$A:$D,4,0)</f>
        <v>Loyer</v>
      </c>
      <c r="W338" s="656" t="str">
        <f>+VLOOKUP($L338,Data_Validation!$A:$E,5,0)</f>
        <v>$</v>
      </c>
      <c r="X338" s="656">
        <f>+VLOOKUP($L338,Data_Validation!$A:$F,6,0)</f>
        <v>0</v>
      </c>
    </row>
    <row r="339" spans="1:24" ht="15" customHeight="1">
      <c r="A339" s="1332" t="s">
        <v>1258</v>
      </c>
      <c r="B339" s="1332" t="s">
        <v>2523</v>
      </c>
      <c r="C339" s="1334">
        <v>1897.02</v>
      </c>
      <c r="D339" s="1334">
        <v>960</v>
      </c>
      <c r="E339" s="1334">
        <v>2857.02</v>
      </c>
      <c r="F339" s="1332" t="s">
        <v>1154</v>
      </c>
      <c r="G339" s="1332" t="s">
        <v>1218</v>
      </c>
      <c r="H339" s="1332" t="s">
        <v>3942</v>
      </c>
      <c r="I339" s="1281"/>
      <c r="J339" s="1281"/>
      <c r="K339" s="1281"/>
      <c r="L339" s="653" t="str">
        <f t="shared" si="181"/>
        <v>6486</v>
      </c>
      <c r="M339" s="654" t="str">
        <f t="shared" si="182"/>
        <v>ASSURANCE BATISSE &amp; AMEL.-SERVICE</v>
      </c>
      <c r="N339" s="655">
        <f>+IF(OR($Q339=Parametres!$G$2,$Q339=Parametres!$G$3),I339,C339)</f>
        <v>1897.02</v>
      </c>
      <c r="O339" s="655">
        <f>+IF(OR($Q339=Parametres!$G$2,$Q339=Parametres!$G$3),J339,D339)</f>
        <v>960</v>
      </c>
      <c r="P339" s="655">
        <f>+IF(OR($Q339=Parametres!$G$2,$Q339=Parametres!$G$3),K339,E339)</f>
        <v>2857.02</v>
      </c>
      <c r="Q339" s="654" t="str">
        <f t="shared" si="183"/>
        <v>7-Dépenses</v>
      </c>
      <c r="R339" s="653" t="str">
        <f t="shared" si="184"/>
        <v>6186</v>
      </c>
      <c r="S339" s="654" t="str">
        <f t="shared" si="185"/>
        <v>_</v>
      </c>
      <c r="T339" s="656" t="str">
        <f>+VLOOKUP($L339,Data_Validation!$A:$D,1,0)</f>
        <v>6486</v>
      </c>
      <c r="U339" s="656" t="str">
        <f>+VLOOKUP($L339,Data_Validation!$A:$D,3,0)</f>
        <v>Service</v>
      </c>
      <c r="V339" s="656" t="str">
        <f>+VLOOKUP($L339,Data_Validation!$A:$D,4,0)</f>
        <v>Assurances</v>
      </c>
      <c r="W339" s="656" t="str">
        <f>+VLOOKUP($L339,Data_Validation!$A:$E,5,0)</f>
        <v>$</v>
      </c>
      <c r="X339" s="656">
        <f>+VLOOKUP($L339,Data_Validation!$A:$F,6,0)</f>
        <v>0</v>
      </c>
    </row>
    <row r="340" spans="1:24" ht="15" customHeight="1">
      <c r="A340" s="1332" t="s">
        <v>1259</v>
      </c>
      <c r="B340" s="1332" t="s">
        <v>2526</v>
      </c>
      <c r="C340" s="1334">
        <v>7920</v>
      </c>
      <c r="D340" s="1334">
        <v>3960</v>
      </c>
      <c r="E340" s="1334">
        <v>11880</v>
      </c>
      <c r="F340" s="1332" t="s">
        <v>1154</v>
      </c>
      <c r="G340" s="1332" t="s">
        <v>1220</v>
      </c>
      <c r="H340" s="1332" t="s">
        <v>3942</v>
      </c>
      <c r="I340" s="1281"/>
      <c r="J340" s="1281"/>
      <c r="K340" s="1281"/>
      <c r="L340" s="653" t="str">
        <f t="shared" si="181"/>
        <v>6487</v>
      </c>
      <c r="M340" s="654" t="str">
        <f t="shared" si="182"/>
        <v>TAXES FONCIERES - SERVICE</v>
      </c>
      <c r="N340" s="655">
        <f>+IF(OR($Q340=Parametres!$G$2,$Q340=Parametres!$G$3),I340,C340)</f>
        <v>7920</v>
      </c>
      <c r="O340" s="659">
        <f>+IF(OR($Q340=Parametres!$G$2,$Q340=Parametres!$G$3),J340,D340)</f>
        <v>3960</v>
      </c>
      <c r="P340" s="655">
        <f>+IF(OR($Q340=Parametres!$G$2,$Q340=Parametres!$G$3),K340,E340)</f>
        <v>11880</v>
      </c>
      <c r="Q340" s="654" t="str">
        <f t="shared" si="183"/>
        <v>7-Dépenses</v>
      </c>
      <c r="R340" s="653" t="str">
        <f t="shared" si="184"/>
        <v>6187</v>
      </c>
      <c r="S340" s="654" t="str">
        <f t="shared" si="185"/>
        <v>_</v>
      </c>
      <c r="T340" s="656" t="str">
        <f>+VLOOKUP($L340,Data_Validation!$A:$D,1,0)</f>
        <v>6487</v>
      </c>
      <c r="U340" s="656" t="str">
        <f>+VLOOKUP($L340,Data_Validation!$A:$D,3,0)</f>
        <v>Service</v>
      </c>
      <c r="V340" s="656" t="str">
        <f>+VLOOKUP($L340,Data_Validation!$A:$D,4,0)</f>
        <v>Taxes foncières</v>
      </c>
      <c r="W340" s="656" t="str">
        <f>+VLOOKUP($L340,Data_Validation!$A:$E,5,0)</f>
        <v>$</v>
      </c>
      <c r="X340" s="656">
        <f>+VLOOKUP($L340,Data_Validation!$A:$F,6,0)</f>
        <v>0</v>
      </c>
    </row>
    <row r="341" spans="1:24" ht="15" customHeight="1">
      <c r="A341" s="1332" t="s">
        <v>1260</v>
      </c>
      <c r="B341" s="1332" t="s">
        <v>2529</v>
      </c>
      <c r="C341" s="1334">
        <v>720</v>
      </c>
      <c r="D341" s="1334">
        <v>360</v>
      </c>
      <c r="E341" s="1334">
        <v>1080</v>
      </c>
      <c r="F341" s="1332" t="s">
        <v>1154</v>
      </c>
      <c r="G341" s="1332" t="s">
        <v>1222</v>
      </c>
      <c r="H341" s="1332" t="s">
        <v>3942</v>
      </c>
      <c r="I341" s="1281"/>
      <c r="J341" s="1281"/>
      <c r="K341" s="1281"/>
      <c r="L341" s="653" t="str">
        <f t="shared" si="181"/>
        <v>6493</v>
      </c>
      <c r="M341" s="654" t="str">
        <f t="shared" si="182"/>
        <v>AUTRE TAXES-SERVICE</v>
      </c>
      <c r="N341" s="655">
        <f>+IF(OR($Q341=Parametres!$G$2,$Q341=Parametres!$G$3),I341,C341)</f>
        <v>720</v>
      </c>
      <c r="O341" s="659">
        <f>+IF(OR($Q341=Parametres!$G$2,$Q341=Parametres!$G$3),J341,D341)</f>
        <v>360</v>
      </c>
      <c r="P341" s="655">
        <f>+IF(OR($Q341=Parametres!$G$2,$Q341=Parametres!$G$3),K341,E341)</f>
        <v>1080</v>
      </c>
      <c r="Q341" s="654" t="str">
        <f t="shared" si="183"/>
        <v>7-Dépenses</v>
      </c>
      <c r="R341" s="653" t="str">
        <f t="shared" si="184"/>
        <v>6193</v>
      </c>
      <c r="S341" s="654" t="str">
        <f t="shared" si="185"/>
        <v>_</v>
      </c>
      <c r="T341" s="656" t="str">
        <f>+VLOOKUP($L341,Data_Validation!$A:$D,1,0)</f>
        <v>6493</v>
      </c>
      <c r="U341" s="656" t="str">
        <f>+VLOOKUP($L341,Data_Validation!$A:$D,3,0)</f>
        <v>Service</v>
      </c>
      <c r="V341" s="656" t="str">
        <f>+VLOOKUP($L341,Data_Validation!$A:$D,4,0)</f>
        <v>Taxes d`affaires</v>
      </c>
      <c r="W341" s="656" t="str">
        <f>+VLOOKUP($L341,Data_Validation!$A:$E,5,0)</f>
        <v>$</v>
      </c>
      <c r="X341" s="656">
        <f>+VLOOKUP($L341,Data_Validation!$A:$F,6,0)</f>
        <v>0</v>
      </c>
    </row>
    <row r="342" spans="1:24" ht="15" customHeight="1">
      <c r="A342" s="1332" t="s">
        <v>1261</v>
      </c>
      <c r="B342" s="1332" t="s">
        <v>2532</v>
      </c>
      <c r="C342" s="1334">
        <v>11001.22</v>
      </c>
      <c r="D342" s="1334">
        <v>1691.9</v>
      </c>
      <c r="E342" s="1334">
        <v>12693.12</v>
      </c>
      <c r="F342" s="1332" t="s">
        <v>1154</v>
      </c>
      <c r="G342" s="1332" t="s">
        <v>1224</v>
      </c>
      <c r="H342" s="1332" t="s">
        <v>3942</v>
      </c>
      <c r="I342" s="1281"/>
      <c r="J342" s="1281"/>
      <c r="K342" s="1281"/>
      <c r="L342" s="653" t="str">
        <f t="shared" si="181"/>
        <v>6494</v>
      </c>
      <c r="M342" s="654" t="str">
        <f t="shared" si="182"/>
        <v>FRAIS PROFESSIONNEL-SERVICE</v>
      </c>
      <c r="N342" s="655">
        <f>+IF(OR($Q342=Parametres!$G$2,$Q342=Parametres!$G$3),I342,C342)</f>
        <v>11001.22</v>
      </c>
      <c r="O342" s="655">
        <f>+IF(OR($Q342=Parametres!$G$2,$Q342=Parametres!$G$3),J342,D342)</f>
        <v>1691.9</v>
      </c>
      <c r="P342" s="655">
        <f>+IF(OR($Q342=Parametres!$G$2,$Q342=Parametres!$G$3),K342,E342)</f>
        <v>12693.12</v>
      </c>
      <c r="Q342" s="654" t="str">
        <f t="shared" si="183"/>
        <v>7-Dépenses</v>
      </c>
      <c r="R342" s="653" t="str">
        <f t="shared" si="184"/>
        <v>6194</v>
      </c>
      <c r="S342" s="654" t="str">
        <f t="shared" si="185"/>
        <v>_</v>
      </c>
      <c r="T342" s="656" t="str">
        <f>+VLOOKUP($L342,Data_Validation!$A:$D,1,0)</f>
        <v>6494</v>
      </c>
      <c r="U342" s="656" t="str">
        <f>+VLOOKUP($L342,Data_Validation!$A:$D,3,0)</f>
        <v>Service</v>
      </c>
      <c r="V342" s="656" t="str">
        <f>+VLOOKUP($L342,Data_Validation!$A:$D,4,0)</f>
        <v>Honoraires</v>
      </c>
      <c r="W342" s="656" t="str">
        <f>+VLOOKUP($L342,Data_Validation!$A:$E,5,0)</f>
        <v>$</v>
      </c>
      <c r="X342" s="656">
        <f>+VLOOKUP($L342,Data_Validation!$A:$F,6,0)</f>
        <v>0</v>
      </c>
    </row>
    <row r="343" spans="1:24" ht="15.75" customHeight="1">
      <c r="A343" s="1332" t="s">
        <v>1158</v>
      </c>
      <c r="B343" s="1332" t="s">
        <v>2535</v>
      </c>
      <c r="C343" s="1334">
        <v>860.74</v>
      </c>
      <c r="D343" s="1334">
        <v>564.66999999999996</v>
      </c>
      <c r="E343" s="1334">
        <v>1425.41</v>
      </c>
      <c r="F343" s="1332" t="s">
        <v>1154</v>
      </c>
      <c r="G343" s="1332" t="s">
        <v>1242</v>
      </c>
      <c r="H343" s="1332" t="s">
        <v>3942</v>
      </c>
      <c r="I343" s="1281"/>
      <c r="J343" s="1281"/>
      <c r="K343" s="1281"/>
      <c r="L343" s="653" t="str">
        <f t="shared" si="181"/>
        <v>6503</v>
      </c>
      <c r="M343" s="654" t="str">
        <f t="shared" si="182"/>
        <v>RELAT. A LA CLIENTELE &amp; AJUST.</v>
      </c>
      <c r="N343" s="655">
        <f>+IF(OR($Q343=Parametres!$G$2,$Q343=Parametres!$G$3),I343,C343)</f>
        <v>860.74</v>
      </c>
      <c r="O343" s="655">
        <f>+IF(OR($Q343=Parametres!$G$2,$Q343=Parametres!$G$3),J343,D343)</f>
        <v>564.66999999999996</v>
      </c>
      <c r="P343" s="655">
        <f>+IF(OR($Q343=Parametres!$G$2,$Q343=Parametres!$G$3),K343,E343)</f>
        <v>1425.41</v>
      </c>
      <c r="Q343" s="654" t="str">
        <f t="shared" si="183"/>
        <v>7-Dépenses</v>
      </c>
      <c r="R343" s="653" t="str">
        <f t="shared" si="184"/>
        <v>6112</v>
      </c>
      <c r="S343" s="654" t="str">
        <f t="shared" si="185"/>
        <v>_</v>
      </c>
      <c r="T343" s="656" t="str">
        <f>+VLOOKUP($L343,Data_Validation!$A:$D,1,0)</f>
        <v>6503</v>
      </c>
      <c r="U343" s="656" t="str">
        <f>+VLOOKUP($L343,Data_Validation!$A:$D,3,0)</f>
        <v>Carrosserie</v>
      </c>
      <c r="V343" s="656" t="str">
        <f>+VLOOKUP($L343,Data_Validation!$A:$D,4,0)</f>
        <v>Service gratuit 2</v>
      </c>
      <c r="W343" s="656" t="str">
        <f>+VLOOKUP($L343,Data_Validation!$A:$E,5,0)</f>
        <v>$</v>
      </c>
      <c r="X343" s="656">
        <f>+VLOOKUP($L343,Data_Validation!$A:$F,6,0)</f>
        <v>0</v>
      </c>
    </row>
    <row r="344" spans="1:24" ht="15" customHeight="1">
      <c r="A344" s="1332" t="s">
        <v>1166</v>
      </c>
      <c r="B344" s="1332" t="s">
        <v>2541</v>
      </c>
      <c r="C344" s="1334">
        <v>545.54999999999995</v>
      </c>
      <c r="D344" s="1334">
        <v>82.57</v>
      </c>
      <c r="E344" s="1334">
        <v>628.12</v>
      </c>
      <c r="F344" s="1332" t="s">
        <v>1154</v>
      </c>
      <c r="G344" s="1332" t="s">
        <v>1167</v>
      </c>
      <c r="H344" s="1332" t="s">
        <v>3942</v>
      </c>
      <c r="I344" s="1281"/>
      <c r="J344" s="1281"/>
      <c r="K344" s="1281"/>
      <c r="L344" s="653" t="str">
        <f t="shared" si="181"/>
        <v>6514</v>
      </c>
      <c r="M344" s="654" t="str">
        <f t="shared" si="182"/>
        <v>PUBLICITE</v>
      </c>
      <c r="N344" s="655">
        <f>+IF(OR($Q344=Parametres!$G$2,$Q344=Parametres!$G$3),I344,C344)</f>
        <v>545.54999999999995</v>
      </c>
      <c r="O344" s="659">
        <f>+IF(OR($Q344=Parametres!$G$2,$Q344=Parametres!$G$3),J344,D344)</f>
        <v>82.57</v>
      </c>
      <c r="P344" s="655">
        <f>+IF(OR($Q344=Parametres!$G$2,$Q344=Parametres!$G$3),K344,E344)</f>
        <v>628.12</v>
      </c>
      <c r="Q344" s="654" t="str">
        <f t="shared" si="183"/>
        <v>7-Dépenses</v>
      </c>
      <c r="R344" s="653" t="str">
        <f t="shared" si="184"/>
        <v>6114</v>
      </c>
      <c r="S344" s="654" t="str">
        <f t="shared" si="185"/>
        <v>_</v>
      </c>
      <c r="T344" s="656" t="str">
        <f>+VLOOKUP($L344,Data_Validation!$A:$D,1,0)</f>
        <v>6514</v>
      </c>
      <c r="U344" s="656" t="str">
        <f>+VLOOKUP($L344,Data_Validation!$A:$D,3,0)</f>
        <v>Carrosserie</v>
      </c>
      <c r="V344" s="656" t="str">
        <f>+VLOOKUP($L344,Data_Validation!$A:$D,4,0)</f>
        <v>Publicité 2</v>
      </c>
      <c r="W344" s="656" t="str">
        <f>+VLOOKUP($L344,Data_Validation!$A:$E,5,0)</f>
        <v>$</v>
      </c>
      <c r="X344" s="656">
        <f>+VLOOKUP($L344,Data_Validation!$A:$F,6,0)</f>
        <v>0</v>
      </c>
    </row>
    <row r="345" spans="1:24" ht="15" customHeight="1">
      <c r="A345" s="1332" t="s">
        <v>3959</v>
      </c>
      <c r="B345" s="1332" t="s">
        <v>2547</v>
      </c>
      <c r="C345" s="1334">
        <v>653.09</v>
      </c>
      <c r="D345" s="1334">
        <v>234.55</v>
      </c>
      <c r="E345" s="1334">
        <v>887.64</v>
      </c>
      <c r="F345" s="1332" t="s">
        <v>1154</v>
      </c>
      <c r="G345" s="1332" t="s">
        <v>1170</v>
      </c>
      <c r="H345" s="1332" t="s">
        <v>3942</v>
      </c>
      <c r="I345" s="1281"/>
      <c r="J345" s="1281"/>
      <c r="K345" s="1281"/>
      <c r="L345" s="653" t="str">
        <f t="shared" si="181"/>
        <v>6521</v>
      </c>
      <c r="M345" s="654" t="str">
        <f t="shared" si="182"/>
        <v>SALAIRES - DIRECTION GENERALE</v>
      </c>
      <c r="N345" s="655">
        <f>+IF(OR($Q345=Parametres!$G$2,$Q345=Parametres!$G$3),I345,C345)</f>
        <v>653.09</v>
      </c>
      <c r="O345" s="655">
        <f>+IF(OR($Q345=Parametres!$G$2,$Q345=Parametres!$G$3),J345,D345)</f>
        <v>234.55</v>
      </c>
      <c r="P345" s="655">
        <f>+IF(OR($Q345=Parametres!$G$2,$Q345=Parametres!$G$3),K345,E345)</f>
        <v>887.64</v>
      </c>
      <c r="Q345" s="654" t="str">
        <f t="shared" si="183"/>
        <v>7-Dépenses</v>
      </c>
      <c r="R345" s="653" t="str">
        <f t="shared" si="184"/>
        <v>6121</v>
      </c>
      <c r="S345" s="654" t="str">
        <f t="shared" si="185"/>
        <v>_</v>
      </c>
      <c r="T345" s="656" t="str">
        <f>+VLOOKUP($L345,Data_Validation!$A:$D,1,0)</f>
        <v>6521</v>
      </c>
      <c r="U345" s="656" t="str">
        <f>+VLOOKUP($L345,Data_Validation!$A:$D,3,0)</f>
        <v>Carrosserie</v>
      </c>
      <c r="V345" s="656" t="str">
        <f>+VLOOKUP($L345,Data_Validation!$A:$D,4,0)</f>
        <v>Salaires propriétaire</v>
      </c>
      <c r="W345" s="656" t="str">
        <f>+VLOOKUP($L345,Data_Validation!$A:$E,5,0)</f>
        <v>$</v>
      </c>
      <c r="X345" s="656">
        <f>+VLOOKUP($L345,Data_Validation!$A:$F,6,0)</f>
        <v>0</v>
      </c>
    </row>
    <row r="346" spans="1:24" ht="15" customHeight="1">
      <c r="A346" s="1332" t="s">
        <v>1171</v>
      </c>
      <c r="B346" s="1332" t="s">
        <v>2550</v>
      </c>
      <c r="C346" s="1334">
        <v>971.88</v>
      </c>
      <c r="D346" s="1334">
        <v>70</v>
      </c>
      <c r="E346" s="1334">
        <v>1041.8800000000001</v>
      </c>
      <c r="F346" s="1332" t="s">
        <v>1154</v>
      </c>
      <c r="G346" s="1332" t="s">
        <v>1172</v>
      </c>
      <c r="H346" s="1332" t="s">
        <v>3942</v>
      </c>
      <c r="I346" s="1281"/>
      <c r="J346" s="1281"/>
      <c r="K346" s="1281"/>
      <c r="L346" s="653" t="str">
        <f t="shared" si="181"/>
        <v>6522</v>
      </c>
      <c r="M346" s="654" t="str">
        <f t="shared" si="182"/>
        <v>SAL SUPERVISION / GERANT</v>
      </c>
      <c r="N346" s="655">
        <f>+IF(OR($Q346=Parametres!$G$2,$Q346=Parametres!$G$3),I346,C346)</f>
        <v>971.88</v>
      </c>
      <c r="O346" s="655">
        <f>+IF(OR($Q346=Parametres!$G$2,$Q346=Parametres!$G$3),J346,D346)</f>
        <v>70</v>
      </c>
      <c r="P346" s="655">
        <f>+IF(OR($Q346=Parametres!$G$2,$Q346=Parametres!$G$3),K346,E346)</f>
        <v>1041.8800000000001</v>
      </c>
      <c r="Q346" s="654" t="str">
        <f t="shared" si="183"/>
        <v>7-Dépenses</v>
      </c>
      <c r="R346" s="653" t="str">
        <f t="shared" si="184"/>
        <v>6122</v>
      </c>
      <c r="S346" s="654" t="str">
        <f t="shared" si="185"/>
        <v>_</v>
      </c>
      <c r="T346" s="656" t="str">
        <f>+VLOOKUP($L346,Data_Validation!$A:$D,1,0)</f>
        <v>6522</v>
      </c>
      <c r="U346" s="656" t="str">
        <f>+VLOOKUP($L346,Data_Validation!$A:$D,3,0)</f>
        <v>Carrosserie</v>
      </c>
      <c r="V346" s="656" t="str">
        <f>+VLOOKUP($L346,Data_Validation!$A:$D,4,0)</f>
        <v>Salaires cadres</v>
      </c>
      <c r="W346" s="656" t="str">
        <f>+VLOOKUP($L346,Data_Validation!$A:$E,5,0)</f>
        <v>$</v>
      </c>
      <c r="X346" s="656">
        <f>+VLOOKUP($L346,Data_Validation!$A:$F,6,0)</f>
        <v>0</v>
      </c>
    </row>
    <row r="347" spans="1:24" ht="15.75" customHeight="1">
      <c r="A347" s="1332" t="s">
        <v>1244</v>
      </c>
      <c r="B347" s="1332" t="s">
        <v>2553</v>
      </c>
      <c r="C347" s="1334">
        <v>12562.67</v>
      </c>
      <c r="D347" s="1334">
        <v>4725.5600000000004</v>
      </c>
      <c r="E347" s="1334">
        <v>17288.23</v>
      </c>
      <c r="F347" s="1332" t="s">
        <v>1154</v>
      </c>
      <c r="G347" s="1332" t="s">
        <v>1174</v>
      </c>
      <c r="H347" s="1332" t="s">
        <v>3942</v>
      </c>
      <c r="I347" s="1281"/>
      <c r="J347" s="1281"/>
      <c r="K347" s="1281"/>
      <c r="L347" s="653" t="str">
        <f t="shared" si="181"/>
        <v>6523</v>
      </c>
      <c r="M347" s="654" t="str">
        <f t="shared" si="182"/>
        <v>SAL. &amp; RENUM. CLERICAL</v>
      </c>
      <c r="N347" s="655">
        <f>+IF(OR($Q347=Parametres!$G$2,$Q347=Parametres!$G$3),I347,C347)</f>
        <v>12562.67</v>
      </c>
      <c r="O347" s="655">
        <f>+IF(OR($Q347=Parametres!$G$2,$Q347=Parametres!$G$3),J347,D347)</f>
        <v>4725.5600000000004</v>
      </c>
      <c r="P347" s="655">
        <f>+IF(OR($Q347=Parametres!$G$2,$Q347=Parametres!$G$3),K347,E347)</f>
        <v>17288.23</v>
      </c>
      <c r="Q347" s="654" t="str">
        <f t="shared" si="183"/>
        <v>7-Dépenses</v>
      </c>
      <c r="R347" s="653" t="str">
        <f t="shared" si="184"/>
        <v>6123</v>
      </c>
      <c r="S347" s="654" t="str">
        <f t="shared" si="185"/>
        <v>_</v>
      </c>
      <c r="T347" s="656" t="str">
        <f>+VLOOKUP($L347,Data_Validation!$A:$D,1,0)</f>
        <v>6523</v>
      </c>
      <c r="U347" s="656" t="str">
        <f>+VLOOKUP($L347,Data_Validation!$A:$D,3,0)</f>
        <v>Carrosserie</v>
      </c>
      <c r="V347" s="656" t="str">
        <f>+VLOOKUP($L347,Data_Validation!$A:$D,4,0)</f>
        <v>Salaires commis</v>
      </c>
      <c r="W347" s="656" t="str">
        <f>+VLOOKUP($L347,Data_Validation!$A:$E,5,0)</f>
        <v>$</v>
      </c>
      <c r="X347" s="656">
        <f>+VLOOKUP($L347,Data_Validation!$A:$F,6,0)</f>
        <v>0</v>
      </c>
    </row>
    <row r="348" spans="1:24" ht="15" customHeight="1">
      <c r="A348" s="1332" t="s">
        <v>1175</v>
      </c>
      <c r="B348" s="1332" t="s">
        <v>2556</v>
      </c>
      <c r="C348" s="1334">
        <v>0.08</v>
      </c>
      <c r="D348" s="1334">
        <v>0</v>
      </c>
      <c r="E348" s="1334">
        <v>0.08</v>
      </c>
      <c r="F348" s="1332" t="s">
        <v>1154</v>
      </c>
      <c r="G348" s="1332" t="s">
        <v>1176</v>
      </c>
      <c r="H348" s="1332" t="s">
        <v>3942</v>
      </c>
      <c r="I348" s="1281"/>
      <c r="J348" s="1281"/>
      <c r="K348" s="1281"/>
      <c r="L348" s="653" t="str">
        <f t="shared" si="181"/>
        <v>6524</v>
      </c>
      <c r="M348" s="654" t="str">
        <f t="shared" si="182"/>
        <v>SALAIRES &amp; RENUM. - AUTRES</v>
      </c>
      <c r="N348" s="655">
        <f>+IF(OR($Q348=Parametres!$G$2,$Q348=Parametres!$G$3),I348,C348)</f>
        <v>0.08</v>
      </c>
      <c r="O348" s="659">
        <f>+IF(OR($Q348=Parametres!$G$2,$Q348=Parametres!$G$3),J348,D348)</f>
        <v>0</v>
      </c>
      <c r="P348" s="655">
        <f>+IF(OR($Q348=Parametres!$G$2,$Q348=Parametres!$G$3),K348,E348)</f>
        <v>0.08</v>
      </c>
      <c r="Q348" s="654" t="str">
        <f t="shared" si="183"/>
        <v>7-Dépenses</v>
      </c>
      <c r="R348" s="653" t="str">
        <f t="shared" si="184"/>
        <v>6124</v>
      </c>
      <c r="S348" s="654" t="str">
        <f t="shared" si="185"/>
        <v>_</v>
      </c>
      <c r="T348" s="656" t="str">
        <f>+VLOOKUP($L348,Data_Validation!$A:$D,1,0)</f>
        <v>6524</v>
      </c>
      <c r="U348" s="656" t="str">
        <f>+VLOOKUP($L348,Data_Validation!$A:$D,3,0)</f>
        <v>Carrosserie</v>
      </c>
      <c r="V348" s="656" t="str">
        <f>+VLOOKUP($L348,Data_Validation!$A:$D,4,0)</f>
        <v>Salaires autres</v>
      </c>
      <c r="W348" s="656" t="str">
        <f>+VLOOKUP($L348,Data_Validation!$A:$E,5,0)</f>
        <v>$</v>
      </c>
      <c r="X348" s="656">
        <f>+VLOOKUP($L348,Data_Validation!$A:$F,6,0)</f>
        <v>0</v>
      </c>
    </row>
    <row r="349" spans="1:24" ht="15" customHeight="1">
      <c r="A349" s="1332" t="s">
        <v>1229</v>
      </c>
      <c r="B349" s="1332" t="s">
        <v>2562</v>
      </c>
      <c r="C349" s="1334">
        <v>1316.49</v>
      </c>
      <c r="D349" s="1334">
        <v>868.61</v>
      </c>
      <c r="E349" s="1334">
        <v>2185.1</v>
      </c>
      <c r="F349" s="1332" t="s">
        <v>1154</v>
      </c>
      <c r="G349" s="1332" t="s">
        <v>1178</v>
      </c>
      <c r="H349" s="1332" t="s">
        <v>3942</v>
      </c>
      <c r="I349" s="1281"/>
      <c r="J349" s="1281"/>
      <c r="K349" s="1281"/>
      <c r="L349" s="653" t="str">
        <f t="shared" si="181"/>
        <v>6529</v>
      </c>
      <c r="M349" s="654" t="str">
        <f t="shared" si="182"/>
        <v>ABS.,VACANCES &amp; SAL. JOURS FER</v>
      </c>
      <c r="N349" s="655">
        <f>+IF(OR($Q349=Parametres!$G$2,$Q349=Parametres!$G$3),I349,C349)</f>
        <v>1316.49</v>
      </c>
      <c r="O349" s="655">
        <f>+IF(OR($Q349=Parametres!$G$2,$Q349=Parametres!$G$3),J349,D349)</f>
        <v>868.61</v>
      </c>
      <c r="P349" s="655">
        <f>+IF(OR($Q349=Parametres!$G$2,$Q349=Parametres!$G$3),K349,E349)</f>
        <v>2185.1</v>
      </c>
      <c r="Q349" s="654" t="str">
        <f t="shared" si="183"/>
        <v>7-Dépenses</v>
      </c>
      <c r="R349" s="653" t="str">
        <f t="shared" si="184"/>
        <v>6129</v>
      </c>
      <c r="S349" s="654" t="str">
        <f t="shared" si="185"/>
        <v>_</v>
      </c>
      <c r="T349" s="656" t="str">
        <f>+VLOOKUP($L349,Data_Validation!$A:$D,1,0)</f>
        <v>6529</v>
      </c>
      <c r="U349" s="656" t="str">
        <f>+VLOOKUP($L349,Data_Validation!$A:$D,3,0)</f>
        <v>Carrosserie</v>
      </c>
      <c r="V349" s="656" t="str">
        <f>+VLOOKUP($L349,Data_Validation!$A:$D,4,0)</f>
        <v>Salaires en absences</v>
      </c>
      <c r="W349" s="656" t="str">
        <f>+VLOOKUP($L349,Data_Validation!$A:$E,5,0)</f>
        <v>$</v>
      </c>
      <c r="X349" s="656">
        <f>+VLOOKUP($L349,Data_Validation!$A:$F,6,0)</f>
        <v>0</v>
      </c>
    </row>
    <row r="350" spans="1:24" ht="15" customHeight="1">
      <c r="A350" s="1332" t="s">
        <v>1179</v>
      </c>
      <c r="B350" s="1332" t="s">
        <v>2565</v>
      </c>
      <c r="C350" s="1334">
        <v>622.96</v>
      </c>
      <c r="D350" s="1334">
        <v>187.45</v>
      </c>
      <c r="E350" s="1334">
        <v>810.41</v>
      </c>
      <c r="F350" s="1332" t="s">
        <v>1154</v>
      </c>
      <c r="G350" s="1332" t="s">
        <v>1180</v>
      </c>
      <c r="H350" s="1332" t="s">
        <v>3942</v>
      </c>
      <c r="I350" s="1281"/>
      <c r="J350" s="1281"/>
      <c r="K350" s="1281"/>
      <c r="L350" s="653" t="str">
        <f t="shared" si="181"/>
        <v>6531</v>
      </c>
      <c r="M350" s="654" t="str">
        <f t="shared" si="182"/>
        <v>CSST</v>
      </c>
      <c r="N350" s="655">
        <f>+IF(OR($Q350=Parametres!$G$2,$Q350=Parametres!$G$3),I350,C350)</f>
        <v>622.96</v>
      </c>
      <c r="O350" s="659">
        <f>+IF(OR($Q350=Parametres!$G$2,$Q350=Parametres!$G$3),J350,D350)</f>
        <v>187.45</v>
      </c>
      <c r="P350" s="655">
        <f>+IF(OR($Q350=Parametres!$G$2,$Q350=Parametres!$G$3),K350,E350)</f>
        <v>810.41</v>
      </c>
      <c r="Q350" s="654" t="str">
        <f t="shared" si="183"/>
        <v>7-Dépenses</v>
      </c>
      <c r="R350" s="653" t="str">
        <f t="shared" si="184"/>
        <v>6131</v>
      </c>
      <c r="S350" s="654" t="str">
        <f t="shared" si="185"/>
        <v>_</v>
      </c>
      <c r="T350" s="656" t="str">
        <f>+VLOOKUP($L350,Data_Validation!$A:$D,1,0)</f>
        <v>6531</v>
      </c>
      <c r="U350" s="656" t="str">
        <f>+VLOOKUP($L350,Data_Validation!$A:$D,3,0)</f>
        <v>Carrosserie</v>
      </c>
      <c r="V350" s="656" t="str">
        <f>+VLOOKUP($L350,Data_Validation!$A:$D,4,0)</f>
        <v>Csst</v>
      </c>
      <c r="W350" s="656" t="str">
        <f>+VLOOKUP($L350,Data_Validation!$A:$E,5,0)</f>
        <v>$</v>
      </c>
      <c r="X350" s="656">
        <f>+VLOOKUP($L350,Data_Validation!$A:$F,6,0)</f>
        <v>0</v>
      </c>
    </row>
    <row r="351" spans="1:24" ht="15" customHeight="1">
      <c r="A351" s="1332" t="s">
        <v>1181</v>
      </c>
      <c r="B351" s="1332" t="s">
        <v>2568</v>
      </c>
      <c r="C351" s="1334">
        <v>2757.65</v>
      </c>
      <c r="D351" s="1334">
        <v>1091.56</v>
      </c>
      <c r="E351" s="1334">
        <v>3849.21</v>
      </c>
      <c r="F351" s="1332" t="s">
        <v>1154</v>
      </c>
      <c r="G351" s="1332" t="s">
        <v>1182</v>
      </c>
      <c r="H351" s="1332" t="s">
        <v>3942</v>
      </c>
      <c r="I351" s="1281"/>
      <c r="J351" s="1281"/>
      <c r="K351" s="1281"/>
      <c r="L351" s="653" t="str">
        <f t="shared" si="181"/>
        <v>6532</v>
      </c>
      <c r="M351" s="654" t="str">
        <f t="shared" si="182"/>
        <v>RRQ RAMQ AC</v>
      </c>
      <c r="N351" s="655">
        <f>+IF(OR($Q351=Parametres!$G$2,$Q351=Parametres!$G$3),I351,C351)</f>
        <v>2757.65</v>
      </c>
      <c r="O351" s="655">
        <f>+IF(OR($Q351=Parametres!$G$2,$Q351=Parametres!$G$3),J351,D351)</f>
        <v>1091.56</v>
      </c>
      <c r="P351" s="655">
        <f>+IF(OR($Q351=Parametres!$G$2,$Q351=Parametres!$G$3),K351,E351)</f>
        <v>3849.21</v>
      </c>
      <c r="Q351" s="654" t="str">
        <f t="shared" si="183"/>
        <v>7-Dépenses</v>
      </c>
      <c r="R351" s="653" t="str">
        <f t="shared" si="184"/>
        <v>6132</v>
      </c>
      <c r="S351" s="654" t="str">
        <f t="shared" si="185"/>
        <v>_</v>
      </c>
      <c r="T351" s="656" t="str">
        <f>+VLOOKUP($L351,Data_Validation!$A:$D,1,0)</f>
        <v>6532</v>
      </c>
      <c r="U351" s="656" t="str">
        <f>+VLOOKUP($L351,Data_Validation!$A:$D,3,0)</f>
        <v>Carrosserie</v>
      </c>
      <c r="V351" s="656" t="str">
        <f>+VLOOKUP($L351,Data_Validation!$A:$D,4,0)</f>
        <v>Déduction à la source</v>
      </c>
      <c r="W351" s="656" t="str">
        <f>+VLOOKUP($L351,Data_Validation!$A:$E,5,0)</f>
        <v>$</v>
      </c>
      <c r="X351" s="656">
        <f>+VLOOKUP($L351,Data_Validation!$A:$F,6,0)</f>
        <v>0</v>
      </c>
    </row>
    <row r="352" spans="1:24" ht="15.75" customHeight="1">
      <c r="A352" s="1332" t="s">
        <v>1231</v>
      </c>
      <c r="B352" s="1332" t="s">
        <v>2571</v>
      </c>
      <c r="C352" s="1334">
        <v>681.82</v>
      </c>
      <c r="D352" s="1334">
        <v>290.57</v>
      </c>
      <c r="E352" s="1334">
        <v>972.39</v>
      </c>
      <c r="F352" s="1332" t="s">
        <v>1154</v>
      </c>
      <c r="G352" s="1332" t="s">
        <v>1186</v>
      </c>
      <c r="H352" s="1332" t="s">
        <v>3942</v>
      </c>
      <c r="I352" s="1281"/>
      <c r="J352" s="1281"/>
      <c r="K352" s="1281"/>
      <c r="L352" s="653" t="str">
        <f t="shared" si="181"/>
        <v>6539</v>
      </c>
      <c r="M352" s="654" t="str">
        <f t="shared" si="182"/>
        <v>ASSURANCE GROUPE</v>
      </c>
      <c r="N352" s="655">
        <f>+IF(OR($Q352=Parametres!$G$2,$Q352=Parametres!$G$3),I352,C352)</f>
        <v>681.82</v>
      </c>
      <c r="O352" s="659">
        <f>+IF(OR($Q352=Parametres!$G$2,$Q352=Parametres!$G$3),J352,D352)</f>
        <v>290.57</v>
      </c>
      <c r="P352" s="655">
        <f>+IF(OR($Q352=Parametres!$G$2,$Q352=Parametres!$G$3),K352,E352)</f>
        <v>972.39</v>
      </c>
      <c r="Q352" s="654" t="str">
        <f t="shared" si="183"/>
        <v>7-Dépenses</v>
      </c>
      <c r="R352" s="653" t="str">
        <f t="shared" si="184"/>
        <v>6139</v>
      </c>
      <c r="S352" s="654" t="str">
        <f t="shared" si="185"/>
        <v>_</v>
      </c>
      <c r="T352" s="656" t="str">
        <f>+VLOOKUP($L352,Data_Validation!$A:$D,1,0)</f>
        <v>6539</v>
      </c>
      <c r="U352" s="656" t="str">
        <f>+VLOOKUP($L352,Data_Validation!$A:$D,3,0)</f>
        <v>Carrosserie</v>
      </c>
      <c r="V352" s="656" t="str">
        <f>+VLOOKUP($L352,Data_Validation!$A:$D,4,0)</f>
        <v>Bénéfices marginaux</v>
      </c>
      <c r="W352" s="656" t="str">
        <f>+VLOOKUP($L352,Data_Validation!$A:$E,5,0)</f>
        <v>$</v>
      </c>
      <c r="X352" s="656">
        <f>+VLOOKUP($L352,Data_Validation!$A:$F,6,0)</f>
        <v>0</v>
      </c>
    </row>
    <row r="353" spans="1:24" ht="15" customHeight="1">
      <c r="A353" s="1332" t="s">
        <v>1191</v>
      </c>
      <c r="B353" s="1332" t="s">
        <v>2583</v>
      </c>
      <c r="C353" s="1334">
        <v>171.02</v>
      </c>
      <c r="D353" s="1334">
        <v>153.86000000000001</v>
      </c>
      <c r="E353" s="1334">
        <v>324.88</v>
      </c>
      <c r="F353" s="1332" t="s">
        <v>1154</v>
      </c>
      <c r="G353" s="1332" t="s">
        <v>1192</v>
      </c>
      <c r="H353" s="1332" t="s">
        <v>3942</v>
      </c>
      <c r="I353" s="1281"/>
      <c r="J353" s="1281"/>
      <c r="K353" s="1281"/>
      <c r="L353" s="653" t="str">
        <f t="shared" si="181"/>
        <v>6544</v>
      </c>
      <c r="M353" s="654" t="str">
        <f t="shared" si="182"/>
        <v>FORMATION</v>
      </c>
      <c r="N353" s="655">
        <f>+IF(OR($Q353=Parametres!$G$2,$Q353=Parametres!$G$3),I353,C353)</f>
        <v>171.02</v>
      </c>
      <c r="O353" s="655">
        <f>+IF(OR($Q353=Parametres!$G$2,$Q353=Parametres!$G$3),J353,D353)</f>
        <v>153.86000000000001</v>
      </c>
      <c r="P353" s="655">
        <f>+IF(OR($Q353=Parametres!$G$2,$Q353=Parametres!$G$3),K353,E353)</f>
        <v>324.88</v>
      </c>
      <c r="Q353" s="654" t="str">
        <f t="shared" si="183"/>
        <v>7-Dépenses</v>
      </c>
      <c r="R353" s="653" t="str">
        <f t="shared" si="184"/>
        <v>6144</v>
      </c>
      <c r="S353" s="654" t="str">
        <f t="shared" si="185"/>
        <v>_</v>
      </c>
      <c r="T353" s="656" t="str">
        <f>+VLOOKUP($L353,Data_Validation!$A:$D,1,0)</f>
        <v>6544</v>
      </c>
      <c r="U353" s="656" t="str">
        <f>+VLOOKUP($L353,Data_Validation!$A:$D,3,0)</f>
        <v>Carrosserie</v>
      </c>
      <c r="V353" s="656" t="str">
        <f>+VLOOKUP($L353,Data_Validation!$A:$D,4,0)</f>
        <v>Formation</v>
      </c>
      <c r="W353" s="656" t="str">
        <f>+VLOOKUP($L353,Data_Validation!$A:$E,5,0)</f>
        <v>$</v>
      </c>
      <c r="X353" s="656">
        <f>+VLOOKUP($L353,Data_Validation!$A:$F,6,0)</f>
        <v>0</v>
      </c>
    </row>
    <row r="354" spans="1:24" ht="15" customHeight="1">
      <c r="A354" s="1332" t="s">
        <v>1193</v>
      </c>
      <c r="B354" s="1332" t="s">
        <v>2586</v>
      </c>
      <c r="C354" s="1334">
        <v>323.88</v>
      </c>
      <c r="D354" s="1334">
        <v>133.53</v>
      </c>
      <c r="E354" s="1334">
        <v>457.41</v>
      </c>
      <c r="F354" s="1332" t="s">
        <v>1154</v>
      </c>
      <c r="G354" s="1332" t="s">
        <v>1194</v>
      </c>
      <c r="H354" s="1332" t="s">
        <v>3942</v>
      </c>
      <c r="I354" s="1281"/>
      <c r="J354" s="1281"/>
      <c r="K354" s="1281"/>
      <c r="L354" s="653" t="str">
        <f t="shared" si="181"/>
        <v>6545</v>
      </c>
      <c r="M354" s="654" t="str">
        <f t="shared" si="182"/>
        <v>VEHICULE DE COMPAGNIE - DEPENS</v>
      </c>
      <c r="N354" s="655">
        <f>+IF(OR($Q354=Parametres!$G$2,$Q354=Parametres!$G$3),I354,C354)</f>
        <v>323.88</v>
      </c>
      <c r="O354" s="655">
        <f>+IF(OR($Q354=Parametres!$G$2,$Q354=Parametres!$G$3),J354,D354)</f>
        <v>133.53</v>
      </c>
      <c r="P354" s="655">
        <f>+IF(OR($Q354=Parametres!$G$2,$Q354=Parametres!$G$3),K354,E354)</f>
        <v>457.41</v>
      </c>
      <c r="Q354" s="654" t="str">
        <f t="shared" si="183"/>
        <v>7-Dépenses</v>
      </c>
      <c r="R354" s="653" t="str">
        <f t="shared" si="184"/>
        <v>6145</v>
      </c>
      <c r="S354" s="654" t="str">
        <f t="shared" si="185"/>
        <v>_</v>
      </c>
      <c r="T354" s="656" t="str">
        <f>+VLOOKUP($L354,Data_Validation!$A:$D,1,0)</f>
        <v>6545</v>
      </c>
      <c r="U354" s="656" t="str">
        <f>+VLOOKUP($L354,Data_Validation!$A:$D,3,0)</f>
        <v>Carrosserie</v>
      </c>
      <c r="V354" s="656" t="str">
        <f>+VLOOKUP($L354,Data_Validation!$A:$D,4,0)</f>
        <v>Frais véhicules de cie</v>
      </c>
      <c r="W354" s="656" t="str">
        <f>+VLOOKUP($L354,Data_Validation!$A:$E,5,0)</f>
        <v>$</v>
      </c>
      <c r="X354" s="656">
        <f>+VLOOKUP($L354,Data_Validation!$A:$F,6,0)</f>
        <v>0</v>
      </c>
    </row>
    <row r="355" spans="1:24" ht="15" customHeight="1">
      <c r="A355" s="1332" t="s">
        <v>1195</v>
      </c>
      <c r="B355" s="1332" t="s">
        <v>2589</v>
      </c>
      <c r="C355" s="1334">
        <v>68.31</v>
      </c>
      <c r="D355" s="1334">
        <v>16.190000000000001</v>
      </c>
      <c r="E355" s="1334">
        <v>84.5</v>
      </c>
      <c r="F355" s="1332" t="s">
        <v>1154</v>
      </c>
      <c r="G355" s="1332" t="s">
        <v>1196</v>
      </c>
      <c r="H355" s="1332" t="s">
        <v>3942</v>
      </c>
      <c r="I355" s="1281"/>
      <c r="J355" s="1281"/>
      <c r="K355" s="1281"/>
      <c r="L355" s="653" t="str">
        <f t="shared" si="181"/>
        <v>6547</v>
      </c>
      <c r="M355" s="654" t="str">
        <f t="shared" si="182"/>
        <v>FRET/EXPRESS/TRANS. PAR CAMION</v>
      </c>
      <c r="N355" s="655">
        <f>+IF(OR($Q355=Parametres!$G$2,$Q355=Parametres!$G$3),I355,C355)</f>
        <v>68.31</v>
      </c>
      <c r="O355" s="655">
        <f>+IF(OR($Q355=Parametres!$G$2,$Q355=Parametres!$G$3),J355,D355)</f>
        <v>16.190000000000001</v>
      </c>
      <c r="P355" s="655">
        <f>+IF(OR($Q355=Parametres!$G$2,$Q355=Parametres!$G$3),K355,E355)</f>
        <v>84.5</v>
      </c>
      <c r="Q355" s="654" t="str">
        <f t="shared" si="183"/>
        <v>7-Dépenses</v>
      </c>
      <c r="R355" s="653" t="str">
        <f t="shared" si="184"/>
        <v>6147</v>
      </c>
      <c r="S355" s="654" t="str">
        <f t="shared" si="185"/>
        <v>_</v>
      </c>
      <c r="T355" s="656" t="str">
        <f>+VLOOKUP($L355,Data_Validation!$A:$D,1,0)</f>
        <v>6547</v>
      </c>
      <c r="U355" s="656" t="str">
        <f>+VLOOKUP($L355,Data_Validation!$A:$D,3,0)</f>
        <v>Carrosserie</v>
      </c>
      <c r="V355" s="656" t="str">
        <f>+VLOOKUP($L355,Data_Validation!$A:$D,4,0)</f>
        <v>Frais postaux</v>
      </c>
      <c r="W355" s="656" t="str">
        <f>+VLOOKUP($L355,Data_Validation!$A:$E,5,0)</f>
        <v>$</v>
      </c>
      <c r="X355" s="656">
        <f>+VLOOKUP($L355,Data_Validation!$A:$F,6,0)</f>
        <v>0</v>
      </c>
    </row>
    <row r="356" spans="1:24" ht="15" customHeight="1">
      <c r="A356" s="1332" t="s">
        <v>1197</v>
      </c>
      <c r="B356" s="1332" t="s">
        <v>2594</v>
      </c>
      <c r="C356" s="1334">
        <v>2213.19</v>
      </c>
      <c r="D356" s="1334">
        <v>1784.68</v>
      </c>
      <c r="E356" s="1334">
        <v>3997.87</v>
      </c>
      <c r="F356" s="1332" t="s">
        <v>1154</v>
      </c>
      <c r="G356" s="1332" t="s">
        <v>1198</v>
      </c>
      <c r="H356" s="1332" t="s">
        <v>3942</v>
      </c>
      <c r="I356" s="1281"/>
      <c r="J356" s="1281"/>
      <c r="K356" s="1281"/>
      <c r="L356" s="653" t="str">
        <f t="shared" si="181"/>
        <v>6551</v>
      </c>
      <c r="M356" s="654" t="str">
        <f t="shared" si="182"/>
        <v>DEP. DU TRAITEMENT DES DONNEES</v>
      </c>
      <c r="N356" s="655">
        <f>+IF(OR($Q356=Parametres!$G$2,$Q356=Parametres!$G$3),I356,C356)</f>
        <v>2213.19</v>
      </c>
      <c r="O356" s="655">
        <f>+IF(OR($Q356=Parametres!$G$2,$Q356=Parametres!$G$3),J356,D356)</f>
        <v>1784.68</v>
      </c>
      <c r="P356" s="655">
        <f>+IF(OR($Q356=Parametres!$G$2,$Q356=Parametres!$G$3),K356,E356)</f>
        <v>3997.87</v>
      </c>
      <c r="Q356" s="654" t="str">
        <f t="shared" si="183"/>
        <v>7-Dépenses</v>
      </c>
      <c r="R356" s="653" t="str">
        <f t="shared" si="184"/>
        <v>6151</v>
      </c>
      <c r="S356" s="654" t="str">
        <f t="shared" si="185"/>
        <v>_</v>
      </c>
      <c r="T356" s="656" t="str">
        <f>+VLOOKUP($L356,Data_Validation!$A:$D,1,0)</f>
        <v>6551</v>
      </c>
      <c r="U356" s="656" t="str">
        <f>+VLOOKUP($L356,Data_Validation!$A:$D,3,0)</f>
        <v>Carrosserie</v>
      </c>
      <c r="V356" s="656" t="str">
        <f>+VLOOKUP($L356,Data_Validation!$A:$D,4,0)</f>
        <v>Informatique</v>
      </c>
      <c r="W356" s="656" t="str">
        <f>+VLOOKUP($L356,Data_Validation!$A:$E,5,0)</f>
        <v>$</v>
      </c>
      <c r="X356" s="656">
        <f>+VLOOKUP($L356,Data_Validation!$A:$F,6,0)</f>
        <v>0</v>
      </c>
    </row>
    <row r="357" spans="1:24" ht="15" customHeight="1">
      <c r="A357" s="1332" t="s">
        <v>1199</v>
      </c>
      <c r="B357" s="1332" t="s">
        <v>2597</v>
      </c>
      <c r="C357" s="1334">
        <v>31.04</v>
      </c>
      <c r="D357" s="1334">
        <v>52.87</v>
      </c>
      <c r="E357" s="1334">
        <v>83.91</v>
      </c>
      <c r="F357" s="1332" t="s">
        <v>1154</v>
      </c>
      <c r="G357" s="1332" t="s">
        <v>1200</v>
      </c>
      <c r="H357" s="1332" t="s">
        <v>3942</v>
      </c>
      <c r="I357" s="1281"/>
      <c r="J357" s="1281"/>
      <c r="K357" s="1281"/>
      <c r="L357" s="653" t="str">
        <f t="shared" si="181"/>
        <v>6552</v>
      </c>
      <c r="M357" s="654" t="str">
        <f t="shared" si="182"/>
        <v>PAPETERIE</v>
      </c>
      <c r="N357" s="655">
        <f>+IF(OR($Q357=Parametres!$G$2,$Q357=Parametres!$G$3),I357,C357)</f>
        <v>31.04</v>
      </c>
      <c r="O357" s="655">
        <f>+IF(OR($Q357=Parametres!$G$2,$Q357=Parametres!$G$3),J357,D357)</f>
        <v>52.87</v>
      </c>
      <c r="P357" s="655">
        <f>+IF(OR($Q357=Parametres!$G$2,$Q357=Parametres!$G$3),K357,E357)</f>
        <v>83.91</v>
      </c>
      <c r="Q357" s="654" t="str">
        <f t="shared" si="183"/>
        <v>7-Dépenses</v>
      </c>
      <c r="R357" s="653" t="str">
        <f t="shared" si="184"/>
        <v>6152</v>
      </c>
      <c r="S357" s="654" t="str">
        <f t="shared" si="185"/>
        <v>_</v>
      </c>
      <c r="T357" s="656" t="str">
        <f>+VLOOKUP($L357,Data_Validation!$A:$D,1,0)</f>
        <v>6552</v>
      </c>
      <c r="U357" s="656" t="str">
        <f>+VLOOKUP($L357,Data_Validation!$A:$D,3,0)</f>
        <v>Carrosserie</v>
      </c>
      <c r="V357" s="656" t="str">
        <f>+VLOOKUP($L357,Data_Validation!$A:$D,4,0)</f>
        <v>Papeterie</v>
      </c>
      <c r="W357" s="656" t="str">
        <f>+VLOOKUP($L357,Data_Validation!$A:$E,5,0)</f>
        <v>$</v>
      </c>
      <c r="X357" s="656">
        <f>+VLOOKUP($L357,Data_Validation!$A:$F,6,0)</f>
        <v>0</v>
      </c>
    </row>
    <row r="358" spans="1:24" ht="15.75" customHeight="1">
      <c r="A358" s="1332" t="s">
        <v>1201</v>
      </c>
      <c r="B358" s="1332" t="s">
        <v>2600</v>
      </c>
      <c r="C358" s="1334">
        <v>106.59</v>
      </c>
      <c r="D358" s="1334">
        <v>17.100000000000001</v>
      </c>
      <c r="E358" s="1334">
        <v>123.69</v>
      </c>
      <c r="F358" s="1332" t="s">
        <v>1154</v>
      </c>
      <c r="G358" s="1332" t="s">
        <v>1202</v>
      </c>
      <c r="H358" s="1332" t="s">
        <v>3942</v>
      </c>
      <c r="I358" s="1281"/>
      <c r="J358" s="1281"/>
      <c r="K358" s="1281"/>
      <c r="L358" s="653" t="str">
        <f t="shared" si="181"/>
        <v>6553</v>
      </c>
      <c r="M358" s="654" t="str">
        <f t="shared" si="182"/>
        <v>TELEPHONE ET TELEX</v>
      </c>
      <c r="N358" s="655">
        <f>+IF(OR($Q358=Parametres!$G$2,$Q358=Parametres!$G$3),I358,C358)</f>
        <v>106.59</v>
      </c>
      <c r="O358" s="655">
        <f>+IF(OR($Q358=Parametres!$G$2,$Q358=Parametres!$G$3),J358,D358)</f>
        <v>17.100000000000001</v>
      </c>
      <c r="P358" s="655">
        <f>+IF(OR($Q358=Parametres!$G$2,$Q358=Parametres!$G$3),K358,E358)</f>
        <v>123.69</v>
      </c>
      <c r="Q358" s="654" t="str">
        <f t="shared" si="183"/>
        <v>7-Dépenses</v>
      </c>
      <c r="R358" s="653" t="str">
        <f t="shared" si="184"/>
        <v>6153</v>
      </c>
      <c r="S358" s="654" t="str">
        <f t="shared" si="185"/>
        <v>_</v>
      </c>
      <c r="T358" s="656" t="str">
        <f>+VLOOKUP($L358,Data_Validation!$A:$D,1,0)</f>
        <v>6553</v>
      </c>
      <c r="U358" s="656" t="str">
        <f>+VLOOKUP($L358,Data_Validation!$A:$D,3,0)</f>
        <v>Carrosserie</v>
      </c>
      <c r="V358" s="656" t="str">
        <f>+VLOOKUP($L358,Data_Validation!$A:$D,4,0)</f>
        <v>Téléphone</v>
      </c>
      <c r="W358" s="656" t="str">
        <f>+VLOOKUP($L358,Data_Validation!$A:$E,5,0)</f>
        <v>$</v>
      </c>
      <c r="X358" s="656">
        <f>+VLOOKUP($L358,Data_Validation!$A:$F,6,0)</f>
        <v>0</v>
      </c>
    </row>
    <row r="359" spans="1:24" ht="15" customHeight="1">
      <c r="A359" s="1332" t="s">
        <v>1203</v>
      </c>
      <c r="B359" s="1332" t="s">
        <v>2603</v>
      </c>
      <c r="C359" s="1334">
        <v>120.45</v>
      </c>
      <c r="D359" s="1334">
        <v>74.08</v>
      </c>
      <c r="E359" s="1334">
        <v>194.53</v>
      </c>
      <c r="F359" s="1332" t="s">
        <v>1154</v>
      </c>
      <c r="G359" s="1332" t="s">
        <v>1204</v>
      </c>
      <c r="H359" s="1332" t="s">
        <v>3942</v>
      </c>
      <c r="I359" s="1281"/>
      <c r="J359" s="1281"/>
      <c r="K359" s="1281"/>
      <c r="L359" s="653" t="str">
        <f t="shared" si="181"/>
        <v>6555</v>
      </c>
      <c r="M359" s="654" t="str">
        <f t="shared" si="182"/>
        <v>DEPENSES DIVERS</v>
      </c>
      <c r="N359" s="655">
        <f>+IF(OR($Q359=Parametres!$G$2,$Q359=Parametres!$G$3),I359,C359)</f>
        <v>120.45</v>
      </c>
      <c r="O359" s="655">
        <f>+IF(OR($Q359=Parametres!$G$2,$Q359=Parametres!$G$3),J359,D359)</f>
        <v>74.08</v>
      </c>
      <c r="P359" s="655">
        <f>+IF(OR($Q359=Parametres!$G$2,$Q359=Parametres!$G$3),K359,E359)</f>
        <v>194.53</v>
      </c>
      <c r="Q359" s="654" t="str">
        <f t="shared" si="183"/>
        <v>7-Dépenses</v>
      </c>
      <c r="R359" s="653" t="str">
        <f t="shared" si="184"/>
        <v>6155</v>
      </c>
      <c r="S359" s="654" t="str">
        <f t="shared" si="185"/>
        <v>_</v>
      </c>
      <c r="T359" s="656" t="str">
        <f>+VLOOKUP($L359,Data_Validation!$A:$D,1,0)</f>
        <v>6555</v>
      </c>
      <c r="U359" s="656" t="str">
        <f>+VLOOKUP($L359,Data_Validation!$A:$D,3,0)</f>
        <v>Carrosserie</v>
      </c>
      <c r="V359" s="656" t="str">
        <f>+VLOOKUP($L359,Data_Validation!$A:$D,4,0)</f>
        <v>Divers</v>
      </c>
      <c r="W359" s="656" t="str">
        <f>+VLOOKUP($L359,Data_Validation!$A:$E,5,0)</f>
        <v>$</v>
      </c>
      <c r="X359" s="656">
        <f>+VLOOKUP($L359,Data_Validation!$A:$F,6,0)</f>
        <v>0</v>
      </c>
    </row>
    <row r="360" spans="1:24" ht="15" customHeight="1">
      <c r="A360" s="1332" t="s">
        <v>1265</v>
      </c>
      <c r="B360" s="1332" t="s">
        <v>2606</v>
      </c>
      <c r="C360" s="1334">
        <v>228.1</v>
      </c>
      <c r="D360" s="1334">
        <v>435.84</v>
      </c>
      <c r="E360" s="1334">
        <v>663.94</v>
      </c>
      <c r="F360" s="1332" t="s">
        <v>1154</v>
      </c>
      <c r="G360" s="1332" t="s">
        <v>1206</v>
      </c>
      <c r="H360" s="1332" t="s">
        <v>3942</v>
      </c>
      <c r="I360" s="1281"/>
      <c r="J360" s="1281"/>
      <c r="K360" s="1281"/>
      <c r="L360" s="653" t="str">
        <f t="shared" si="181"/>
        <v>6556</v>
      </c>
      <c r="M360" s="654" t="str">
        <f t="shared" si="182"/>
        <v>FRAIS REPRESENTATION</v>
      </c>
      <c r="N360" s="655">
        <f>+IF(OR($Q360=Parametres!$G$2,$Q360=Parametres!$G$3),I360,C360)</f>
        <v>228.1</v>
      </c>
      <c r="O360" s="655">
        <f>+IF(OR($Q360=Parametres!$G$2,$Q360=Parametres!$G$3),J360,D360)</f>
        <v>435.84</v>
      </c>
      <c r="P360" s="655">
        <f>+IF(OR($Q360=Parametres!$G$2,$Q360=Parametres!$G$3),K360,E360)</f>
        <v>663.94</v>
      </c>
      <c r="Q360" s="654" t="str">
        <f t="shared" si="183"/>
        <v>7-Dépenses</v>
      </c>
      <c r="R360" s="653" t="str">
        <f t="shared" si="184"/>
        <v>6156</v>
      </c>
      <c r="S360" s="654" t="str">
        <f t="shared" si="185"/>
        <v>_</v>
      </c>
      <c r="T360" s="656" t="str">
        <f>+VLOOKUP($L360,Data_Validation!$A:$D,1,0)</f>
        <v>6556</v>
      </c>
      <c r="U360" s="656" t="str">
        <f>+VLOOKUP($L360,Data_Validation!$A:$D,3,0)</f>
        <v>Carrosserie</v>
      </c>
      <c r="V360" s="656" t="str">
        <f>+VLOOKUP($L360,Data_Validation!$A:$D,4,0)</f>
        <v>Frais de déplacement</v>
      </c>
      <c r="W360" s="656" t="str">
        <f>+VLOOKUP($L360,Data_Validation!$A:$E,5,0)</f>
        <v>$</v>
      </c>
      <c r="X360" s="656">
        <f>+VLOOKUP($L360,Data_Validation!$A:$F,6,0)</f>
        <v>0</v>
      </c>
    </row>
    <row r="361" spans="1:24" ht="15" customHeight="1">
      <c r="A361" s="1332" t="s">
        <v>1266</v>
      </c>
      <c r="B361" s="1332" t="s">
        <v>3397</v>
      </c>
      <c r="C361" s="1334">
        <v>520.64</v>
      </c>
      <c r="D361" s="1334">
        <v>212.61</v>
      </c>
      <c r="E361" s="1334">
        <v>733.25</v>
      </c>
      <c r="F361" s="1332" t="s">
        <v>1154</v>
      </c>
      <c r="G361" s="1332" t="s">
        <v>1267</v>
      </c>
      <c r="H361" s="1332" t="s">
        <v>3942</v>
      </c>
      <c r="I361" s="1281"/>
      <c r="J361" s="1281"/>
      <c r="K361" s="1281"/>
      <c r="L361" s="653" t="str">
        <f t="shared" si="181"/>
        <v>6557</v>
      </c>
      <c r="M361" s="654" t="str">
        <f t="shared" si="182"/>
        <v>FRAIS BANCAIRES - CARROSSERIE</v>
      </c>
      <c r="N361" s="655">
        <f>+IF(OR($Q361=Parametres!$G$2,$Q361=Parametres!$G$3),I361,C361)</f>
        <v>520.64</v>
      </c>
      <c r="O361" s="655">
        <f>+IF(OR($Q361=Parametres!$G$2,$Q361=Parametres!$G$3),J361,D361)</f>
        <v>212.61</v>
      </c>
      <c r="P361" s="655">
        <f>+IF(OR($Q361=Parametres!$G$2,$Q361=Parametres!$G$3),K361,E361)</f>
        <v>733.25</v>
      </c>
      <c r="Q361" s="654" t="str">
        <f t="shared" si="183"/>
        <v>7-Dépenses</v>
      </c>
      <c r="R361" s="653" t="str">
        <f t="shared" si="184"/>
        <v>655</v>
      </c>
      <c r="S361" s="654" t="str">
        <f t="shared" si="185"/>
        <v>_</v>
      </c>
      <c r="T361" s="656" t="str">
        <f>+VLOOKUP($L361,Data_Validation!$A:$D,1,0)</f>
        <v>6557</v>
      </c>
      <c r="U361" s="656" t="str">
        <f>+VLOOKUP($L361,Data_Validation!$A:$D,3,0)</f>
        <v>Carrosserie</v>
      </c>
      <c r="V361" s="656" t="str">
        <f>+VLOOKUP($L361,Data_Validation!$A:$D,4,0)</f>
        <v>Frais bancaires</v>
      </c>
      <c r="W361" s="656" t="str">
        <f>+VLOOKUP($L361,Data_Validation!$A:$E,5,0)</f>
        <v>$</v>
      </c>
      <c r="X361" s="656">
        <f>+VLOOKUP($L361,Data_Validation!$A:$F,6,0)</f>
        <v>0</v>
      </c>
    </row>
    <row r="362" spans="1:24" ht="15.75" customHeight="1">
      <c r="A362" s="1332" t="s">
        <v>1209</v>
      </c>
      <c r="B362" s="1332" t="s">
        <v>2609</v>
      </c>
      <c r="C362" s="1334">
        <v>1947.07</v>
      </c>
      <c r="D362" s="1334">
        <v>552.63</v>
      </c>
      <c r="E362" s="1334">
        <v>2499.6999999999998</v>
      </c>
      <c r="F362" s="1332" t="s">
        <v>1154</v>
      </c>
      <c r="G362" s="1332" t="s">
        <v>1210</v>
      </c>
      <c r="H362" s="1332" t="s">
        <v>3942</v>
      </c>
      <c r="I362" s="1281"/>
      <c r="J362" s="1281"/>
      <c r="K362" s="1281"/>
      <c r="L362" s="653" t="str">
        <f t="shared" si="181"/>
        <v>6559</v>
      </c>
      <c r="M362" s="654" t="str">
        <f t="shared" si="182"/>
        <v>SERVICE EXTERIEUR</v>
      </c>
      <c r="N362" s="655">
        <f>+IF(OR($Q362=Parametres!$G$2,$Q362=Parametres!$G$3),I362,C362)</f>
        <v>1947.07</v>
      </c>
      <c r="O362" s="655">
        <f>+IF(OR($Q362=Parametres!$G$2,$Q362=Parametres!$G$3),J362,D362)</f>
        <v>552.63</v>
      </c>
      <c r="P362" s="655">
        <f>+IF(OR($Q362=Parametres!$G$2,$Q362=Parametres!$G$3),K362,E362)</f>
        <v>2499.6999999999998</v>
      </c>
      <c r="Q362" s="654" t="str">
        <f t="shared" si="183"/>
        <v>7-Dépenses</v>
      </c>
      <c r="R362" s="653" t="str">
        <f t="shared" si="184"/>
        <v>6159</v>
      </c>
      <c r="S362" s="654" t="str">
        <f t="shared" si="185"/>
        <v>_</v>
      </c>
      <c r="T362" s="656" t="str">
        <f>+VLOOKUP($L362,Data_Validation!$A:$D,1,0)</f>
        <v>6559</v>
      </c>
      <c r="U362" s="656" t="str">
        <f>+VLOOKUP($L362,Data_Validation!$A:$D,3,0)</f>
        <v>Carrosserie</v>
      </c>
      <c r="V362" s="656" t="str">
        <f>+VLOOKUP($L362,Data_Validation!$A:$D,4,0)</f>
        <v>Services extérieurs</v>
      </c>
      <c r="W362" s="656" t="str">
        <f>+VLOOKUP($L362,Data_Validation!$A:$E,5,0)</f>
        <v>$</v>
      </c>
      <c r="X362" s="656">
        <f>+VLOOKUP($L362,Data_Validation!$A:$F,6,0)</f>
        <v>0</v>
      </c>
    </row>
    <row r="363" spans="1:24" ht="15.75" customHeight="1">
      <c r="A363" s="1332" t="s">
        <v>1211</v>
      </c>
      <c r="B363" s="1332" t="s">
        <v>2611</v>
      </c>
      <c r="C363" s="1334">
        <v>1332.38</v>
      </c>
      <c r="D363" s="1334">
        <v>666.19</v>
      </c>
      <c r="E363" s="1334">
        <v>1998.57</v>
      </c>
      <c r="F363" s="1332" t="s">
        <v>1154</v>
      </c>
      <c r="G363" s="1332" t="s">
        <v>1212</v>
      </c>
      <c r="H363" s="1332" t="s">
        <v>3942</v>
      </c>
      <c r="I363" s="1281"/>
      <c r="J363" s="1281"/>
      <c r="K363" s="1281"/>
      <c r="L363" s="653" t="str">
        <f t="shared" si="181"/>
        <v>6561</v>
      </c>
      <c r="M363" s="654" t="str">
        <f t="shared" si="182"/>
        <v>DEPRECIATION EQUIP. &amp; FIXTURES</v>
      </c>
      <c r="N363" s="655">
        <f>+IF(OR($Q363=Parametres!$G$2,$Q363=Parametres!$G$3),I363,C363)</f>
        <v>1332.38</v>
      </c>
      <c r="O363" s="655">
        <f>+IF(OR($Q363=Parametres!$G$2,$Q363=Parametres!$G$3),J363,D363)</f>
        <v>666.19</v>
      </c>
      <c r="P363" s="655">
        <f>+IF(OR($Q363=Parametres!$G$2,$Q363=Parametres!$G$3),K363,E363)</f>
        <v>1998.57</v>
      </c>
      <c r="Q363" s="654" t="str">
        <f t="shared" si="183"/>
        <v>7-Dépenses</v>
      </c>
      <c r="R363" s="653" t="str">
        <f t="shared" si="184"/>
        <v>6161</v>
      </c>
      <c r="S363" s="654" t="str">
        <f t="shared" si="185"/>
        <v>_</v>
      </c>
      <c r="T363" s="656" t="str">
        <f>+VLOOKUP($L363,Data_Validation!$A:$D,1,0)</f>
        <v>6561</v>
      </c>
      <c r="U363" s="656" t="str">
        <f>+VLOOKUP($L363,Data_Validation!$A:$D,3,0)</f>
        <v>Carrosserie</v>
      </c>
      <c r="V363" s="656" t="str">
        <f>+VLOOKUP($L363,Data_Validation!$A:$D,4,0)</f>
        <v>Amortissement</v>
      </c>
      <c r="W363" s="656" t="str">
        <f>+VLOOKUP($L363,Data_Validation!$A:$E,5,0)</f>
        <v>$</v>
      </c>
      <c r="X363" s="656">
        <f>+VLOOKUP($L363,Data_Validation!$A:$F,6,0)</f>
        <v>0</v>
      </c>
    </row>
    <row r="364" spans="1:24" ht="15" customHeight="1">
      <c r="A364" s="1332" t="s">
        <v>1268</v>
      </c>
      <c r="B364" s="1332" t="s">
        <v>2620</v>
      </c>
      <c r="C364" s="1334">
        <v>1512.52</v>
      </c>
      <c r="D364" s="1334">
        <v>570.91999999999996</v>
      </c>
      <c r="E364" s="1334">
        <v>2083.44</v>
      </c>
      <c r="F364" s="1332" t="s">
        <v>1154</v>
      </c>
      <c r="G364" s="1332" t="s">
        <v>1214</v>
      </c>
      <c r="H364" s="1332" t="s">
        <v>3942</v>
      </c>
      <c r="I364" s="1281"/>
      <c r="J364" s="1281"/>
      <c r="K364" s="1281"/>
      <c r="L364" s="653" t="str">
        <f t="shared" si="181"/>
        <v>6581</v>
      </c>
      <c r="M364" s="654" t="str">
        <f t="shared" si="182"/>
        <v>CHAUFFAGE,ELECTRICITE,EAU-CARROS.</v>
      </c>
      <c r="N364" s="655">
        <f>+IF(OR($Q364=Parametres!$G$2,$Q364=Parametres!$G$3),I364,C364)</f>
        <v>1512.52</v>
      </c>
      <c r="O364" s="655">
        <f>+IF(OR($Q364=Parametres!$G$2,$Q364=Parametres!$G$3),J364,D364)</f>
        <v>570.91999999999996</v>
      </c>
      <c r="P364" s="655">
        <f>+IF(OR($Q364=Parametres!$G$2,$Q364=Parametres!$G$3),K364,E364)</f>
        <v>2083.44</v>
      </c>
      <c r="Q364" s="654" t="str">
        <f t="shared" si="183"/>
        <v>7-Dépenses</v>
      </c>
      <c r="R364" s="653" t="str">
        <f t="shared" si="184"/>
        <v>6181</v>
      </c>
      <c r="S364" s="654" t="str">
        <f t="shared" si="185"/>
        <v>_</v>
      </c>
      <c r="T364" s="656" t="str">
        <f>+VLOOKUP($L364,Data_Validation!$A:$D,1,0)</f>
        <v>6581</v>
      </c>
      <c r="U364" s="656" t="str">
        <f>+VLOOKUP($L364,Data_Validation!$A:$D,3,0)</f>
        <v>Carrosserie</v>
      </c>
      <c r="V364" s="656" t="str">
        <f>+VLOOKUP($L364,Data_Validation!$A:$D,4,0)</f>
        <v>Chauffage, éclairage</v>
      </c>
      <c r="W364" s="656" t="str">
        <f>+VLOOKUP($L364,Data_Validation!$A:$E,5,0)</f>
        <v>$</v>
      </c>
      <c r="X364" s="656">
        <f>+VLOOKUP($L364,Data_Validation!$A:$F,6,0)</f>
        <v>0</v>
      </c>
    </row>
    <row r="365" spans="1:24" ht="15.75" customHeight="1">
      <c r="A365" s="1332" t="s">
        <v>1269</v>
      </c>
      <c r="B365" s="1332" t="s">
        <v>2623</v>
      </c>
      <c r="C365" s="1334">
        <v>8785</v>
      </c>
      <c r="D365" s="1334">
        <v>5582.5</v>
      </c>
      <c r="E365" s="1334">
        <v>14367.5</v>
      </c>
      <c r="F365" s="1332" t="s">
        <v>1154</v>
      </c>
      <c r="G365" s="1332" t="s">
        <v>1216</v>
      </c>
      <c r="H365" s="1332" t="s">
        <v>3942</v>
      </c>
      <c r="I365" s="1281"/>
      <c r="J365" s="1281"/>
      <c r="K365" s="1281"/>
      <c r="L365" s="653" t="str">
        <f t="shared" ref="L365:L373" si="186">TEXT(B365,0)</f>
        <v>6582</v>
      </c>
      <c r="M365" s="654" t="str">
        <f t="shared" ref="M365:M373" si="187">+A365</f>
        <v>LOYER - CARROSSERIE</v>
      </c>
      <c r="N365" s="655">
        <f>+IF(OR($Q365=Parametres!$G$2,$Q365=Parametres!$G$3),I365,C365)</f>
        <v>8785</v>
      </c>
      <c r="O365" s="655">
        <f>+IF(OR($Q365=Parametres!$G$2,$Q365=Parametres!$G$3),J365,D365)</f>
        <v>5582.5</v>
      </c>
      <c r="P365" s="655">
        <f>+IF(OR($Q365=Parametres!$G$2,$Q365=Parametres!$G$3),K365,E365)</f>
        <v>14367.5</v>
      </c>
      <c r="Q365" s="654" t="str">
        <f t="shared" ref="Q365:Q373" si="188">+F365</f>
        <v>7-Dépenses</v>
      </c>
      <c r="R365" s="653" t="str">
        <f t="shared" ref="R365:R373" si="189">+G365</f>
        <v>6182</v>
      </c>
      <c r="S365" s="654" t="str">
        <f t="shared" ref="S365:S373" si="190">+H365</f>
        <v>_</v>
      </c>
      <c r="T365" s="656" t="str">
        <f>+VLOOKUP($L365,Data_Validation!$A:$D,1,0)</f>
        <v>6582</v>
      </c>
      <c r="U365" s="656" t="str">
        <f>+VLOOKUP($L365,Data_Validation!$A:$D,3,0)</f>
        <v>Carrosserie</v>
      </c>
      <c r="V365" s="656" t="str">
        <f>+VLOOKUP($L365,Data_Validation!$A:$D,4,0)</f>
        <v>Loyer</v>
      </c>
      <c r="W365" s="656" t="str">
        <f>+VLOOKUP($L365,Data_Validation!$A:$E,5,0)</f>
        <v>$</v>
      </c>
      <c r="X365" s="656">
        <f>+VLOOKUP($L365,Data_Validation!$A:$F,6,0)</f>
        <v>0</v>
      </c>
    </row>
    <row r="366" spans="1:24" ht="15.75" customHeight="1">
      <c r="A366" s="1332" t="s">
        <v>1270</v>
      </c>
      <c r="B366" s="1332" t="s">
        <v>2625</v>
      </c>
      <c r="C366" s="1334">
        <v>553.29999999999995</v>
      </c>
      <c r="D366" s="1334">
        <v>280</v>
      </c>
      <c r="E366" s="1334">
        <v>833.3</v>
      </c>
      <c r="F366" s="1332" t="s">
        <v>1154</v>
      </c>
      <c r="G366" s="1332" t="s">
        <v>1218</v>
      </c>
      <c r="H366" s="1332" t="s">
        <v>3942</v>
      </c>
      <c r="I366" s="1281"/>
      <c r="J366" s="1281"/>
      <c r="K366" s="1281"/>
      <c r="L366" s="653" t="str">
        <f t="shared" si="186"/>
        <v>6586</v>
      </c>
      <c r="M366" s="654" t="str">
        <f t="shared" si="187"/>
        <v>ASSURANCE BATISSE &amp; AMEL.-CARROS.</v>
      </c>
      <c r="N366" s="655">
        <f>+IF(OR($Q366=Parametres!$G$2,$Q366=Parametres!$G$3),I366,C366)</f>
        <v>553.29999999999995</v>
      </c>
      <c r="O366" s="655">
        <f>+IF(OR($Q366=Parametres!$G$2,$Q366=Parametres!$G$3),J366,D366)</f>
        <v>280</v>
      </c>
      <c r="P366" s="655">
        <f>+IF(OR($Q366=Parametres!$G$2,$Q366=Parametres!$G$3),K366,E366)</f>
        <v>833.3</v>
      </c>
      <c r="Q366" s="654" t="str">
        <f t="shared" si="188"/>
        <v>7-Dépenses</v>
      </c>
      <c r="R366" s="653" t="str">
        <f t="shared" si="189"/>
        <v>6186</v>
      </c>
      <c r="S366" s="654" t="str">
        <f t="shared" si="190"/>
        <v>_</v>
      </c>
      <c r="T366" s="656" t="str">
        <f>+VLOOKUP($L366,Data_Validation!$A:$D,1,0)</f>
        <v>6586</v>
      </c>
      <c r="U366" s="656" t="str">
        <f>+VLOOKUP($L366,Data_Validation!$A:$D,3,0)</f>
        <v>Carrosserie</v>
      </c>
      <c r="V366" s="656" t="str">
        <f>+VLOOKUP($L366,Data_Validation!$A:$D,4,0)</f>
        <v>Assurances</v>
      </c>
      <c r="W366" s="656" t="str">
        <f>+VLOOKUP($L366,Data_Validation!$A:$E,5,0)</f>
        <v>$</v>
      </c>
      <c r="X366" s="656">
        <f>+VLOOKUP($L366,Data_Validation!$A:$F,6,0)</f>
        <v>0</v>
      </c>
    </row>
    <row r="367" spans="1:24" ht="15.75" customHeight="1">
      <c r="A367" s="1332" t="s">
        <v>1271</v>
      </c>
      <c r="B367" s="1332" t="s">
        <v>2627</v>
      </c>
      <c r="C367" s="1334">
        <v>2310</v>
      </c>
      <c r="D367" s="1334">
        <v>1155</v>
      </c>
      <c r="E367" s="1334">
        <v>3465</v>
      </c>
      <c r="F367" s="1332" t="s">
        <v>1154</v>
      </c>
      <c r="G367" s="1332" t="s">
        <v>1220</v>
      </c>
      <c r="H367" s="1332" t="s">
        <v>3942</v>
      </c>
      <c r="I367" s="1281"/>
      <c r="J367" s="1281"/>
      <c r="K367" s="1281"/>
      <c r="L367" s="653" t="str">
        <f t="shared" si="186"/>
        <v>6587</v>
      </c>
      <c r="M367" s="654" t="str">
        <f t="shared" si="187"/>
        <v>TAXES FONCIERES - CAROSSERIE</v>
      </c>
      <c r="N367" s="655">
        <f>+IF(OR($Q367=Parametres!$G$2,$Q367=Parametres!$G$3),I367,C367)</f>
        <v>2310</v>
      </c>
      <c r="O367" s="655">
        <f>+IF(OR($Q367=Parametres!$G$2,$Q367=Parametres!$G$3),J367,D367)</f>
        <v>1155</v>
      </c>
      <c r="P367" s="655">
        <f>+IF(OR($Q367=Parametres!$G$2,$Q367=Parametres!$G$3),K367,E367)</f>
        <v>3465</v>
      </c>
      <c r="Q367" s="654" t="str">
        <f t="shared" si="188"/>
        <v>7-Dépenses</v>
      </c>
      <c r="R367" s="653" t="str">
        <f t="shared" si="189"/>
        <v>6187</v>
      </c>
      <c r="S367" s="654" t="str">
        <f t="shared" si="190"/>
        <v>_</v>
      </c>
      <c r="T367" s="656" t="str">
        <f>+VLOOKUP($L367,Data_Validation!$A:$D,1,0)</f>
        <v>6587</v>
      </c>
      <c r="U367" s="656" t="str">
        <f>+VLOOKUP($L367,Data_Validation!$A:$D,3,0)</f>
        <v>Carrosserie</v>
      </c>
      <c r="V367" s="656" t="str">
        <f>+VLOOKUP($L367,Data_Validation!$A:$D,4,0)</f>
        <v>Taxes foncières</v>
      </c>
      <c r="W367" s="656" t="str">
        <f>+VLOOKUP($L367,Data_Validation!$A:$E,5,0)</f>
        <v>$</v>
      </c>
      <c r="X367" s="656">
        <f>+VLOOKUP($L367,Data_Validation!$A:$F,6,0)</f>
        <v>0</v>
      </c>
    </row>
    <row r="368" spans="1:24" ht="15.75" customHeight="1">
      <c r="A368" s="1332" t="s">
        <v>1272</v>
      </c>
      <c r="B368" s="1332" t="s">
        <v>2630</v>
      </c>
      <c r="C368" s="1334">
        <v>210</v>
      </c>
      <c r="D368" s="1334">
        <v>105</v>
      </c>
      <c r="E368" s="1334">
        <v>315</v>
      </c>
      <c r="F368" s="1332" t="s">
        <v>1154</v>
      </c>
      <c r="G368" s="1332" t="s">
        <v>1222</v>
      </c>
      <c r="H368" s="1332" t="s">
        <v>3942</v>
      </c>
      <c r="I368" s="1281"/>
      <c r="J368" s="1281"/>
      <c r="K368" s="1281"/>
      <c r="L368" s="653" t="str">
        <f t="shared" si="186"/>
        <v>6593</v>
      </c>
      <c r="M368" s="654" t="str">
        <f t="shared" si="187"/>
        <v>AUTRES TAXES -CARROSSERIE</v>
      </c>
      <c r="N368" s="655">
        <f>+IF(OR($Q368=Parametres!$G$2,$Q368=Parametres!$G$3),I368,C368)</f>
        <v>210</v>
      </c>
      <c r="O368" s="655">
        <f>+IF(OR($Q368=Parametres!$G$2,$Q368=Parametres!$G$3),J368,D368)</f>
        <v>105</v>
      </c>
      <c r="P368" s="655">
        <f>+IF(OR($Q368=Parametres!$G$2,$Q368=Parametres!$G$3),K368,E368)</f>
        <v>315</v>
      </c>
      <c r="Q368" s="654" t="str">
        <f t="shared" si="188"/>
        <v>7-Dépenses</v>
      </c>
      <c r="R368" s="653" t="str">
        <f t="shared" si="189"/>
        <v>6193</v>
      </c>
      <c r="S368" s="654" t="str">
        <f t="shared" si="190"/>
        <v>_</v>
      </c>
      <c r="T368" s="656" t="str">
        <f>+VLOOKUP($L368,Data_Validation!$A:$D,1,0)</f>
        <v>6593</v>
      </c>
      <c r="U368" s="656" t="str">
        <f>+VLOOKUP($L368,Data_Validation!$A:$D,3,0)</f>
        <v>Carrosserie</v>
      </c>
      <c r="V368" s="656" t="str">
        <f>+VLOOKUP($L368,Data_Validation!$A:$D,4,0)</f>
        <v>Taxes d`affaires</v>
      </c>
      <c r="W368" s="656" t="str">
        <f>+VLOOKUP($L368,Data_Validation!$A:$E,5,0)</f>
        <v>$</v>
      </c>
      <c r="X368" s="656">
        <f>+VLOOKUP($L368,Data_Validation!$A:$F,6,0)</f>
        <v>0</v>
      </c>
    </row>
    <row r="369" spans="1:24" ht="15.75" customHeight="1">
      <c r="A369" s="1332" t="s">
        <v>1273</v>
      </c>
      <c r="B369" s="1332" t="s">
        <v>2632</v>
      </c>
      <c r="C369" s="1334">
        <v>3208.69</v>
      </c>
      <c r="D369" s="1334">
        <v>493.47</v>
      </c>
      <c r="E369" s="1334">
        <v>3702.16</v>
      </c>
      <c r="F369" s="1332" t="s">
        <v>1154</v>
      </c>
      <c r="G369" s="1332" t="s">
        <v>1224</v>
      </c>
      <c r="H369" s="1332" t="s">
        <v>3942</v>
      </c>
      <c r="I369" s="1281"/>
      <c r="J369" s="1281"/>
      <c r="K369" s="1281"/>
      <c r="L369" s="653" t="str">
        <f t="shared" si="186"/>
        <v>6594</v>
      </c>
      <c r="M369" s="654" t="str">
        <f t="shared" si="187"/>
        <v>FRAIS PROFESSIONNEL-CARROS.</v>
      </c>
      <c r="N369" s="655">
        <f>+IF(OR($Q369=Parametres!$G$2,$Q369=Parametres!$G$3),I369,C369)</f>
        <v>3208.69</v>
      </c>
      <c r="O369" s="655">
        <f>+IF(OR($Q369=Parametres!$G$2,$Q369=Parametres!$G$3),J369,D369)</f>
        <v>493.47</v>
      </c>
      <c r="P369" s="655">
        <f>+IF(OR($Q369=Parametres!$G$2,$Q369=Parametres!$G$3),K369,E369)</f>
        <v>3702.16</v>
      </c>
      <c r="Q369" s="654" t="str">
        <f t="shared" si="188"/>
        <v>7-Dépenses</v>
      </c>
      <c r="R369" s="653" t="str">
        <f t="shared" si="189"/>
        <v>6194</v>
      </c>
      <c r="S369" s="654" t="str">
        <f t="shared" si="190"/>
        <v>_</v>
      </c>
      <c r="T369" s="656" t="str">
        <f>+VLOOKUP($L369,Data_Validation!$A:$D,1,0)</f>
        <v>6594</v>
      </c>
      <c r="U369" s="656" t="str">
        <f>+VLOOKUP($L369,Data_Validation!$A:$D,3,0)</f>
        <v>Carrosserie</v>
      </c>
      <c r="V369" s="656" t="str">
        <f>+VLOOKUP($L369,Data_Validation!$A:$D,4,0)</f>
        <v>Honoraires</v>
      </c>
      <c r="W369" s="656" t="str">
        <f>+VLOOKUP($L369,Data_Validation!$A:$E,5,0)</f>
        <v>$</v>
      </c>
      <c r="X369" s="656">
        <f>+VLOOKUP($L369,Data_Validation!$A:$F,6,0)</f>
        <v>0</v>
      </c>
    </row>
    <row r="370" spans="1:24" ht="15.75" customHeight="1">
      <c r="A370" s="1332" t="s">
        <v>1158</v>
      </c>
      <c r="B370" s="1332" t="s">
        <v>2647</v>
      </c>
      <c r="C370" s="1334">
        <v>915.79</v>
      </c>
      <c r="D370" s="1334">
        <v>165.97</v>
      </c>
      <c r="E370" s="1334">
        <v>1081.76</v>
      </c>
      <c r="F370" s="1332" t="s">
        <v>1154</v>
      </c>
      <c r="G370" s="1332" t="s">
        <v>1242</v>
      </c>
      <c r="H370" s="1332" t="s">
        <v>3942</v>
      </c>
      <c r="I370" s="1281"/>
      <c r="J370" s="1281"/>
      <c r="K370" s="1281"/>
      <c r="L370" s="653" t="str">
        <f t="shared" si="186"/>
        <v>6703</v>
      </c>
      <c r="M370" s="654" t="str">
        <f t="shared" si="187"/>
        <v>RELAT. A LA CLIENTELE &amp; AJUST.</v>
      </c>
      <c r="N370" s="655">
        <f>+IF(OR($Q370=Parametres!$G$2,$Q370=Parametres!$G$3),I370,C370)</f>
        <v>915.79</v>
      </c>
      <c r="O370" s="655">
        <f>+IF(OR($Q370=Parametres!$G$2,$Q370=Parametres!$G$3),J370,D370)</f>
        <v>165.97</v>
      </c>
      <c r="P370" s="655">
        <f>+IF(OR($Q370=Parametres!$G$2,$Q370=Parametres!$G$3),K370,E370)</f>
        <v>1081.76</v>
      </c>
      <c r="Q370" s="654" t="str">
        <f t="shared" si="188"/>
        <v>7-Dépenses</v>
      </c>
      <c r="R370" s="653" t="str">
        <f t="shared" si="189"/>
        <v>6112</v>
      </c>
      <c r="S370" s="654" t="str">
        <f t="shared" si="190"/>
        <v>_</v>
      </c>
      <c r="T370" s="656" t="str">
        <f>+VLOOKUP($L370,Data_Validation!$A:$D,1,0)</f>
        <v>6703</v>
      </c>
      <c r="U370" s="656" t="str">
        <f>+VLOOKUP($L370,Data_Validation!$A:$D,3,0)</f>
        <v>Pièces</v>
      </c>
      <c r="V370" s="656" t="str">
        <f>+VLOOKUP($L370,Data_Validation!$A:$D,4,0)</f>
        <v>Service gratuit 2</v>
      </c>
      <c r="W370" s="656" t="str">
        <f>+VLOOKUP($L370,Data_Validation!$A:$E,5,0)</f>
        <v>$</v>
      </c>
      <c r="X370" s="656">
        <f>+VLOOKUP($L370,Data_Validation!$A:$F,6,0)</f>
        <v>0</v>
      </c>
    </row>
    <row r="371" spans="1:24" ht="15.75" customHeight="1">
      <c r="A371" s="1332" t="s">
        <v>1166</v>
      </c>
      <c r="B371" s="1332" t="s">
        <v>2653</v>
      </c>
      <c r="C371" s="1334">
        <v>7440.54</v>
      </c>
      <c r="D371" s="1334">
        <v>1196.4000000000001</v>
      </c>
      <c r="E371" s="1334">
        <v>8636.94</v>
      </c>
      <c r="F371" s="1332" t="s">
        <v>1154</v>
      </c>
      <c r="G371" s="1332" t="s">
        <v>1167</v>
      </c>
      <c r="H371" s="1332" t="s">
        <v>3942</v>
      </c>
      <c r="I371" s="1281"/>
      <c r="J371" s="1281"/>
      <c r="K371" s="1281"/>
      <c r="L371" s="653" t="str">
        <f t="shared" si="186"/>
        <v>6714</v>
      </c>
      <c r="M371" s="654" t="str">
        <f t="shared" si="187"/>
        <v>PUBLICITE</v>
      </c>
      <c r="N371" s="655">
        <f>+IF(OR($Q371=Parametres!$G$2,$Q371=Parametres!$G$3),I371,C371)</f>
        <v>7440.54</v>
      </c>
      <c r="O371" s="655">
        <f>+IF(OR($Q371=Parametres!$G$2,$Q371=Parametres!$G$3),J371,D371)</f>
        <v>1196.4000000000001</v>
      </c>
      <c r="P371" s="655">
        <f>+IF(OR($Q371=Parametres!$G$2,$Q371=Parametres!$G$3),K371,E371)</f>
        <v>8636.94</v>
      </c>
      <c r="Q371" s="654" t="str">
        <f t="shared" si="188"/>
        <v>7-Dépenses</v>
      </c>
      <c r="R371" s="653" t="str">
        <f t="shared" si="189"/>
        <v>6114</v>
      </c>
      <c r="S371" s="654" t="str">
        <f t="shared" si="190"/>
        <v>_</v>
      </c>
      <c r="T371" s="656" t="str">
        <f>+VLOOKUP($L371,Data_Validation!$A:$D,1,0)</f>
        <v>6714</v>
      </c>
      <c r="U371" s="656" t="str">
        <f>+VLOOKUP($L371,Data_Validation!$A:$D,3,0)</f>
        <v>Pièces</v>
      </c>
      <c r="V371" s="656" t="str">
        <f>+VLOOKUP($L371,Data_Validation!$A:$D,4,0)</f>
        <v>Publicité 2</v>
      </c>
      <c r="W371" s="656" t="str">
        <f>+VLOOKUP($L371,Data_Validation!$A:$E,5,0)</f>
        <v>$</v>
      </c>
      <c r="X371" s="656">
        <f>+VLOOKUP($L371,Data_Validation!$A:$F,6,0)</f>
        <v>0</v>
      </c>
    </row>
    <row r="372" spans="1:24" ht="15.75" customHeight="1">
      <c r="A372" s="1332" t="s">
        <v>3959</v>
      </c>
      <c r="B372" s="1332" t="s">
        <v>2656</v>
      </c>
      <c r="C372" s="1334">
        <v>5224.6099999999997</v>
      </c>
      <c r="D372" s="1334">
        <v>1876.32</v>
      </c>
      <c r="E372" s="1334">
        <v>7100.93</v>
      </c>
      <c r="F372" s="1332" t="s">
        <v>1154</v>
      </c>
      <c r="G372" s="1332" t="s">
        <v>1170</v>
      </c>
      <c r="H372" s="1332" t="s">
        <v>3942</v>
      </c>
      <c r="I372" s="1281"/>
      <c r="J372" s="1281"/>
      <c r="K372" s="1281"/>
      <c r="L372" s="653" t="str">
        <f t="shared" si="186"/>
        <v>6721</v>
      </c>
      <c r="M372" s="654" t="str">
        <f t="shared" si="187"/>
        <v>SALAIRES - DIRECTION GENERALE</v>
      </c>
      <c r="N372" s="655">
        <f>+IF(OR($Q372=Parametres!$G$2,$Q372=Parametres!$G$3),I372,C372)</f>
        <v>5224.6099999999997</v>
      </c>
      <c r="O372" s="655">
        <f>+IF(OR($Q372=Parametres!$G$2,$Q372=Parametres!$G$3),J372,D372)</f>
        <v>1876.32</v>
      </c>
      <c r="P372" s="655">
        <f>+IF(OR($Q372=Parametres!$G$2,$Q372=Parametres!$G$3),K372,E372)</f>
        <v>7100.93</v>
      </c>
      <c r="Q372" s="654" t="str">
        <f t="shared" si="188"/>
        <v>7-Dépenses</v>
      </c>
      <c r="R372" s="653" t="str">
        <f t="shared" si="189"/>
        <v>6121</v>
      </c>
      <c r="S372" s="654" t="str">
        <f t="shared" si="190"/>
        <v>_</v>
      </c>
      <c r="T372" s="656" t="str">
        <f>+VLOOKUP($L372,Data_Validation!$A:$D,1,0)</f>
        <v>6721</v>
      </c>
      <c r="U372" s="656" t="str">
        <f>+VLOOKUP($L372,Data_Validation!$A:$D,3,0)</f>
        <v>Pièces</v>
      </c>
      <c r="V372" s="656" t="str">
        <f>+VLOOKUP($L372,Data_Validation!$A:$D,4,0)</f>
        <v>Salaires propriétaire</v>
      </c>
      <c r="W372" s="656" t="str">
        <f>+VLOOKUP($L372,Data_Validation!$A:$E,5,0)</f>
        <v>$</v>
      </c>
      <c r="X372" s="656">
        <f>+VLOOKUP($L372,Data_Validation!$A:$F,6,0)</f>
        <v>0</v>
      </c>
    </row>
    <row r="373" spans="1:24" ht="15.75" customHeight="1">
      <c r="A373" s="1332" t="s">
        <v>1171</v>
      </c>
      <c r="B373" s="1332" t="s">
        <v>2659</v>
      </c>
      <c r="C373" s="1334">
        <v>15510.23</v>
      </c>
      <c r="D373" s="1334">
        <v>6785.58</v>
      </c>
      <c r="E373" s="1334">
        <v>22295.81</v>
      </c>
      <c r="F373" s="1332" t="s">
        <v>1154</v>
      </c>
      <c r="G373" s="1332" t="s">
        <v>1172</v>
      </c>
      <c r="H373" s="1332" t="s">
        <v>3942</v>
      </c>
      <c r="I373" s="1281"/>
      <c r="J373" s="1281"/>
      <c r="K373" s="1281"/>
      <c r="L373" s="653" t="str">
        <f t="shared" si="186"/>
        <v>6722</v>
      </c>
      <c r="M373" s="654" t="str">
        <f t="shared" si="187"/>
        <v>SAL SUPERVISION / GERANT</v>
      </c>
      <c r="N373" s="655">
        <f>+IF(OR($Q373=Parametres!$G$2,$Q373=Parametres!$G$3),I373,C373)</f>
        <v>15510.23</v>
      </c>
      <c r="O373" s="655">
        <f>+IF(OR($Q373=Parametres!$G$2,$Q373=Parametres!$G$3),J373,D373)</f>
        <v>6785.58</v>
      </c>
      <c r="P373" s="655">
        <f>+IF(OR($Q373=Parametres!$G$2,$Q373=Parametres!$G$3),K373,E373)</f>
        <v>22295.81</v>
      </c>
      <c r="Q373" s="654" t="str">
        <f t="shared" si="188"/>
        <v>7-Dépenses</v>
      </c>
      <c r="R373" s="653" t="str">
        <f t="shared" si="189"/>
        <v>6122</v>
      </c>
      <c r="S373" s="654" t="str">
        <f t="shared" si="190"/>
        <v>_</v>
      </c>
      <c r="T373" s="656" t="str">
        <f>+VLOOKUP($L373,Data_Validation!$A:$D,1,0)</f>
        <v>6722</v>
      </c>
      <c r="U373" s="656" t="str">
        <f>+VLOOKUP($L373,Data_Validation!$A:$D,3,0)</f>
        <v>Pièces</v>
      </c>
      <c r="V373" s="656" t="str">
        <f>+VLOOKUP($L373,Data_Validation!$A:$D,4,0)</f>
        <v>Salaires cadres</v>
      </c>
      <c r="W373" s="656" t="str">
        <f>+VLOOKUP($L373,Data_Validation!$A:$E,5,0)</f>
        <v>$</v>
      </c>
      <c r="X373" s="656">
        <f>+VLOOKUP($L373,Data_Validation!$A:$F,6,0)</f>
        <v>0</v>
      </c>
    </row>
    <row r="374" spans="1:24" ht="15.75" customHeight="1">
      <c r="A374" s="1332" t="s">
        <v>1173</v>
      </c>
      <c r="B374" s="1332" t="s">
        <v>2662</v>
      </c>
      <c r="C374" s="1334">
        <v>54510.47</v>
      </c>
      <c r="D374" s="1334">
        <v>26340.959999999999</v>
      </c>
      <c r="E374" s="1334">
        <v>80851.429999999993</v>
      </c>
      <c r="F374" s="1332" t="s">
        <v>1154</v>
      </c>
      <c r="G374" s="1332" t="s">
        <v>1174</v>
      </c>
      <c r="H374" s="1332" t="s">
        <v>3942</v>
      </c>
      <c r="I374" s="966"/>
      <c r="J374" s="966"/>
      <c r="K374" s="966"/>
      <c r="L374" s="653" t="str">
        <f t="shared" ref="L374:L437" si="191">TEXT(B374,0)</f>
        <v>6723</v>
      </c>
      <c r="M374" s="654" t="str">
        <f t="shared" ref="M374:M437" si="192">+A374</f>
        <v>SAL. &amp; RENUM. - CLERICAL</v>
      </c>
      <c r="N374" s="655">
        <f>+IF(OR($Q374=Parametres!$G$2,$Q374=Parametres!$G$3),I374,C374)</f>
        <v>54510.47</v>
      </c>
      <c r="O374" s="655">
        <f>+IF(OR($Q374=Parametres!$G$2,$Q374=Parametres!$G$3),J374,D374)</f>
        <v>26340.959999999999</v>
      </c>
      <c r="P374" s="655">
        <f>+IF(OR($Q374=Parametres!$G$2,$Q374=Parametres!$G$3),K374,E374)</f>
        <v>80851.429999999993</v>
      </c>
      <c r="Q374" s="654" t="str">
        <f t="shared" ref="Q374:Q437" si="193">+F374</f>
        <v>7-Dépenses</v>
      </c>
      <c r="R374" s="653" t="str">
        <f t="shared" ref="R374:R437" si="194">+G374</f>
        <v>6123</v>
      </c>
      <c r="S374" s="654" t="str">
        <f t="shared" ref="S374:S437" si="195">+H374</f>
        <v>_</v>
      </c>
      <c r="T374" s="656" t="str">
        <f>+VLOOKUP($L374,Data_Validation!$A:$D,1,0)</f>
        <v>6723</v>
      </c>
      <c r="U374" s="656" t="str">
        <f>+VLOOKUP($L374,Data_Validation!$A:$D,3,0)</f>
        <v>Pièces</v>
      </c>
      <c r="V374" s="656" t="str">
        <f>+VLOOKUP($L374,Data_Validation!$A:$D,4,0)</f>
        <v>Salaires commis</v>
      </c>
      <c r="W374" s="656" t="str">
        <f>+VLOOKUP($L374,Data_Validation!$A:$E,5,0)</f>
        <v>$</v>
      </c>
      <c r="X374" s="656">
        <f>+VLOOKUP($L374,Data_Validation!$A:$F,6,0)</f>
        <v>0</v>
      </c>
    </row>
    <row r="375" spans="1:24" ht="15.75" customHeight="1">
      <c r="A375" s="1332" t="s">
        <v>1175</v>
      </c>
      <c r="B375" s="1332" t="s">
        <v>2665</v>
      </c>
      <c r="C375" s="1334">
        <v>6388.61</v>
      </c>
      <c r="D375" s="1334">
        <v>6588.69</v>
      </c>
      <c r="E375" s="1334">
        <v>12977.3</v>
      </c>
      <c r="F375" s="1332" t="s">
        <v>1154</v>
      </c>
      <c r="G375" s="1332" t="s">
        <v>1176</v>
      </c>
      <c r="H375" s="1332" t="s">
        <v>3942</v>
      </c>
      <c r="I375" s="966"/>
      <c r="J375" s="966"/>
      <c r="K375" s="966"/>
      <c r="L375" s="653" t="str">
        <f t="shared" si="191"/>
        <v>6724</v>
      </c>
      <c r="M375" s="654" t="str">
        <f t="shared" si="192"/>
        <v>SALAIRES &amp; RENUM. - AUTRES</v>
      </c>
      <c r="N375" s="655">
        <f>+IF(OR($Q375=Parametres!$G$2,$Q375=Parametres!$G$3),I375,C375)</f>
        <v>6388.61</v>
      </c>
      <c r="O375" s="655">
        <f>+IF(OR($Q375=Parametres!$G$2,$Q375=Parametres!$G$3),J375,D375)</f>
        <v>6588.69</v>
      </c>
      <c r="P375" s="655">
        <f>+IF(OR($Q375=Parametres!$G$2,$Q375=Parametres!$G$3),K375,E375)</f>
        <v>12977.3</v>
      </c>
      <c r="Q375" s="654" t="str">
        <f t="shared" si="193"/>
        <v>7-Dépenses</v>
      </c>
      <c r="R375" s="653" t="str">
        <f t="shared" si="194"/>
        <v>6124</v>
      </c>
      <c r="S375" s="654" t="str">
        <f t="shared" si="195"/>
        <v>_</v>
      </c>
      <c r="T375" s="656" t="str">
        <f>+VLOOKUP($L375,Data_Validation!$A:$D,1,0)</f>
        <v>6724</v>
      </c>
      <c r="U375" s="656" t="str">
        <f>+VLOOKUP($L375,Data_Validation!$A:$D,3,0)</f>
        <v>Pièces</v>
      </c>
      <c r="V375" s="656" t="str">
        <f>+VLOOKUP($L375,Data_Validation!$A:$D,4,0)</f>
        <v>Salaires autres</v>
      </c>
      <c r="W375" s="656" t="str">
        <f>+VLOOKUP($L375,Data_Validation!$A:$E,5,0)</f>
        <v>$</v>
      </c>
      <c r="X375" s="656">
        <f>+VLOOKUP($L375,Data_Validation!$A:$F,6,0)</f>
        <v>0</v>
      </c>
    </row>
    <row r="376" spans="1:24" ht="15.75" customHeight="1">
      <c r="A376" s="1332" t="s">
        <v>1275</v>
      </c>
      <c r="B376" s="1332" t="s">
        <v>2668</v>
      </c>
      <c r="C376" s="1334">
        <v>8700.66</v>
      </c>
      <c r="D376" s="1334">
        <v>4385.6400000000003</v>
      </c>
      <c r="E376" s="1334">
        <v>13086.3</v>
      </c>
      <c r="F376" s="1332" t="s">
        <v>1154</v>
      </c>
      <c r="G376" s="1332" t="s">
        <v>1178</v>
      </c>
      <c r="H376" s="1332" t="s">
        <v>3942</v>
      </c>
      <c r="I376" s="966"/>
      <c r="J376" s="966"/>
      <c r="K376" s="966"/>
      <c r="L376" s="653" t="str">
        <f t="shared" si="191"/>
        <v>6729</v>
      </c>
      <c r="M376" s="654" t="str">
        <f t="shared" si="192"/>
        <v>ABSENCES, VACANCES, ETC</v>
      </c>
      <c r="N376" s="655">
        <f>+IF(OR($Q376=Parametres!$G$2,$Q376=Parametres!$G$3),I376,C376)</f>
        <v>8700.66</v>
      </c>
      <c r="O376" s="655">
        <f>+IF(OR($Q376=Parametres!$G$2,$Q376=Parametres!$G$3),J376,D376)</f>
        <v>4385.6400000000003</v>
      </c>
      <c r="P376" s="655">
        <f>+IF(OR($Q376=Parametres!$G$2,$Q376=Parametres!$G$3),K376,E376)</f>
        <v>13086.3</v>
      </c>
      <c r="Q376" s="654" t="str">
        <f t="shared" si="193"/>
        <v>7-Dépenses</v>
      </c>
      <c r="R376" s="653" t="str">
        <f t="shared" si="194"/>
        <v>6129</v>
      </c>
      <c r="S376" s="654" t="str">
        <f t="shared" si="195"/>
        <v>_</v>
      </c>
      <c r="T376" s="656" t="str">
        <f>+VLOOKUP($L376,Data_Validation!$A:$D,1,0)</f>
        <v>6729</v>
      </c>
      <c r="U376" s="656" t="str">
        <f>+VLOOKUP($L376,Data_Validation!$A:$D,3,0)</f>
        <v>Pièces</v>
      </c>
      <c r="V376" s="656" t="str">
        <f>+VLOOKUP($L376,Data_Validation!$A:$D,4,0)</f>
        <v>Salaires en absences</v>
      </c>
      <c r="W376" s="656" t="str">
        <f>+VLOOKUP($L376,Data_Validation!$A:$E,5,0)</f>
        <v>$</v>
      </c>
      <c r="X376" s="656">
        <f>+VLOOKUP($L376,Data_Validation!$A:$F,6,0)</f>
        <v>0</v>
      </c>
    </row>
    <row r="377" spans="1:24" ht="15.75" customHeight="1">
      <c r="A377" s="1332" t="s">
        <v>1179</v>
      </c>
      <c r="B377" s="1332" t="s">
        <v>2671</v>
      </c>
      <c r="C377" s="1334">
        <v>2638.84</v>
      </c>
      <c r="D377" s="1334">
        <v>979.97</v>
      </c>
      <c r="E377" s="1334">
        <v>3618.81</v>
      </c>
      <c r="F377" s="1332" t="s">
        <v>1154</v>
      </c>
      <c r="G377" s="1332" t="s">
        <v>1180</v>
      </c>
      <c r="H377" s="1332" t="s">
        <v>3942</v>
      </c>
      <c r="I377" s="966"/>
      <c r="J377" s="966"/>
      <c r="K377" s="966"/>
      <c r="L377" s="653" t="str">
        <f t="shared" si="191"/>
        <v>6731</v>
      </c>
      <c r="M377" s="654" t="str">
        <f t="shared" si="192"/>
        <v>CSST</v>
      </c>
      <c r="N377" s="655">
        <f>+IF(OR($Q377=Parametres!$G$2,$Q377=Parametres!$G$3),I377,C377)</f>
        <v>2638.84</v>
      </c>
      <c r="O377" s="655">
        <f>+IF(OR($Q377=Parametres!$G$2,$Q377=Parametres!$G$3),J377,D377)</f>
        <v>979.97</v>
      </c>
      <c r="P377" s="655">
        <f>+IF(OR($Q377=Parametres!$G$2,$Q377=Parametres!$G$3),K377,E377)</f>
        <v>3618.81</v>
      </c>
      <c r="Q377" s="654" t="str">
        <f t="shared" si="193"/>
        <v>7-Dépenses</v>
      </c>
      <c r="R377" s="653" t="str">
        <f t="shared" si="194"/>
        <v>6131</v>
      </c>
      <c r="S377" s="654" t="str">
        <f t="shared" si="195"/>
        <v>_</v>
      </c>
      <c r="T377" s="656" t="str">
        <f>+VLOOKUP($L377,Data_Validation!$A:$D,1,0)</f>
        <v>6731</v>
      </c>
      <c r="U377" s="656" t="str">
        <f>+VLOOKUP($L377,Data_Validation!$A:$D,3,0)</f>
        <v>Pièces</v>
      </c>
      <c r="V377" s="656" t="str">
        <f>+VLOOKUP($L377,Data_Validation!$A:$D,4,0)</f>
        <v>Csst</v>
      </c>
      <c r="W377" s="656" t="str">
        <f>+VLOOKUP($L377,Data_Validation!$A:$E,5,0)</f>
        <v>$</v>
      </c>
      <c r="X377" s="656">
        <f>+VLOOKUP($L377,Data_Validation!$A:$F,6,0)</f>
        <v>0</v>
      </c>
    </row>
    <row r="378" spans="1:24" ht="15.75" customHeight="1">
      <c r="A378" s="1332" t="s">
        <v>1181</v>
      </c>
      <c r="B378" s="1332" t="s">
        <v>2674</v>
      </c>
      <c r="C378" s="1334">
        <v>12201.02</v>
      </c>
      <c r="D378" s="1334">
        <v>2936.33</v>
      </c>
      <c r="E378" s="1334">
        <v>15137.35</v>
      </c>
      <c r="F378" s="1332" t="s">
        <v>1154</v>
      </c>
      <c r="G378" s="1332" t="s">
        <v>1182</v>
      </c>
      <c r="H378" s="1332" t="s">
        <v>3942</v>
      </c>
      <c r="I378" s="966"/>
      <c r="J378" s="966"/>
      <c r="K378" s="966"/>
      <c r="L378" s="653" t="str">
        <f t="shared" si="191"/>
        <v>6732</v>
      </c>
      <c r="M378" s="654" t="str">
        <f t="shared" si="192"/>
        <v>RRQ RAMQ AC</v>
      </c>
      <c r="N378" s="655">
        <f>+IF(OR($Q378=Parametres!$G$2,$Q378=Parametres!$G$3),I378,C378)</f>
        <v>12201.02</v>
      </c>
      <c r="O378" s="655">
        <f>+IF(OR($Q378=Parametres!$G$2,$Q378=Parametres!$G$3),J378,D378)</f>
        <v>2936.33</v>
      </c>
      <c r="P378" s="655">
        <f>+IF(OR($Q378=Parametres!$G$2,$Q378=Parametres!$G$3),K378,E378)</f>
        <v>15137.35</v>
      </c>
      <c r="Q378" s="654" t="str">
        <f t="shared" si="193"/>
        <v>7-Dépenses</v>
      </c>
      <c r="R378" s="653" t="str">
        <f t="shared" si="194"/>
        <v>6132</v>
      </c>
      <c r="S378" s="654" t="str">
        <f t="shared" si="195"/>
        <v>_</v>
      </c>
      <c r="T378" s="656" t="str">
        <f>+VLOOKUP($L378,Data_Validation!$A:$D,1,0)</f>
        <v>6732</v>
      </c>
      <c r="U378" s="656" t="str">
        <f>+VLOOKUP($L378,Data_Validation!$A:$D,3,0)</f>
        <v>Pièces</v>
      </c>
      <c r="V378" s="656" t="str">
        <f>+VLOOKUP($L378,Data_Validation!$A:$D,4,0)</f>
        <v>Déduction à la source</v>
      </c>
      <c r="W378" s="656" t="str">
        <f>+VLOOKUP($L378,Data_Validation!$A:$E,5,0)</f>
        <v>$</v>
      </c>
      <c r="X378" s="656">
        <f>+VLOOKUP($L378,Data_Validation!$A:$F,6,0)</f>
        <v>0</v>
      </c>
    </row>
    <row r="379" spans="1:24" ht="15.75" customHeight="1">
      <c r="A379" s="1332" t="s">
        <v>1276</v>
      </c>
      <c r="B379" s="1332" t="s">
        <v>2677</v>
      </c>
      <c r="C379" s="1334">
        <v>1685.68</v>
      </c>
      <c r="D379" s="1334">
        <v>1824.69</v>
      </c>
      <c r="E379" s="1334">
        <v>3510.37</v>
      </c>
      <c r="F379" s="1332" t="s">
        <v>1154</v>
      </c>
      <c r="G379" s="1332" t="s">
        <v>1184</v>
      </c>
      <c r="H379" s="1332" t="s">
        <v>3942</v>
      </c>
      <c r="I379" s="966"/>
      <c r="J379" s="966"/>
      <c r="K379" s="966"/>
      <c r="L379" s="653" t="str">
        <f t="shared" si="191"/>
        <v>6733</v>
      </c>
      <c r="M379" s="654" t="str">
        <f t="shared" si="192"/>
        <v>FOND PENSION - PIECES</v>
      </c>
      <c r="N379" s="655">
        <f>+IF(OR($Q379=Parametres!$G$2,$Q379=Parametres!$G$3),I379,C379)</f>
        <v>1685.68</v>
      </c>
      <c r="O379" s="655">
        <f>+IF(OR($Q379=Parametres!$G$2,$Q379=Parametres!$G$3),J379,D379)</f>
        <v>1824.69</v>
      </c>
      <c r="P379" s="655">
        <f>+IF(OR($Q379=Parametres!$G$2,$Q379=Parametres!$G$3),K379,E379)</f>
        <v>3510.37</v>
      </c>
      <c r="Q379" s="654" t="str">
        <f t="shared" si="193"/>
        <v>7-Dépenses</v>
      </c>
      <c r="R379" s="653" t="str">
        <f t="shared" si="194"/>
        <v>6133</v>
      </c>
      <c r="S379" s="654" t="str">
        <f t="shared" si="195"/>
        <v>_</v>
      </c>
      <c r="T379" s="656" t="str">
        <f>+VLOOKUP($L379,Data_Validation!$A:$D,1,0)</f>
        <v>6733</v>
      </c>
      <c r="U379" s="656" t="str">
        <f>+VLOOKUP($L379,Data_Validation!$A:$D,3,0)</f>
        <v>Pièces</v>
      </c>
      <c r="V379" s="656" t="str">
        <f>+VLOOKUP($L379,Data_Validation!$A:$D,4,0)</f>
        <v>Déduction à la source</v>
      </c>
      <c r="W379" s="656" t="str">
        <f>+VLOOKUP($L379,Data_Validation!$A:$E,5,0)</f>
        <v>$</v>
      </c>
      <c r="X379" s="656">
        <f>+VLOOKUP($L379,Data_Validation!$A:$F,6,0)</f>
        <v>0</v>
      </c>
    </row>
    <row r="380" spans="1:24" ht="15.75" customHeight="1">
      <c r="A380" s="1332" t="s">
        <v>1231</v>
      </c>
      <c r="B380" s="1332" t="s">
        <v>2680</v>
      </c>
      <c r="C380" s="1334">
        <v>3820.93</v>
      </c>
      <c r="D380" s="1334">
        <v>1724.61</v>
      </c>
      <c r="E380" s="1334">
        <v>5545.54</v>
      </c>
      <c r="F380" s="1332" t="s">
        <v>1154</v>
      </c>
      <c r="G380" s="1332" t="s">
        <v>1186</v>
      </c>
      <c r="H380" s="1332" t="s">
        <v>3942</v>
      </c>
      <c r="I380" s="966"/>
      <c r="J380" s="966"/>
      <c r="K380" s="966"/>
      <c r="L380" s="653" t="str">
        <f t="shared" si="191"/>
        <v>6739</v>
      </c>
      <c r="M380" s="654" t="str">
        <f t="shared" si="192"/>
        <v>ASSURANCE GROUPE</v>
      </c>
      <c r="N380" s="655">
        <f>+IF(OR($Q380=Parametres!$G$2,$Q380=Parametres!$G$3),I380,C380)</f>
        <v>3820.93</v>
      </c>
      <c r="O380" s="655">
        <f>+IF(OR($Q380=Parametres!$G$2,$Q380=Parametres!$G$3),J380,D380)</f>
        <v>1724.61</v>
      </c>
      <c r="P380" s="655">
        <f>+IF(OR($Q380=Parametres!$G$2,$Q380=Parametres!$G$3),K380,E380)</f>
        <v>5545.54</v>
      </c>
      <c r="Q380" s="654" t="str">
        <f t="shared" si="193"/>
        <v>7-Dépenses</v>
      </c>
      <c r="R380" s="653" t="str">
        <f t="shared" si="194"/>
        <v>6139</v>
      </c>
      <c r="S380" s="654" t="str">
        <f t="shared" si="195"/>
        <v>_</v>
      </c>
      <c r="T380" s="656" t="str">
        <f>+VLOOKUP($L380,Data_Validation!$A:$D,1,0)</f>
        <v>6739</v>
      </c>
      <c r="U380" s="656" t="str">
        <f>+VLOOKUP($L380,Data_Validation!$A:$D,3,0)</f>
        <v>Pièces</v>
      </c>
      <c r="V380" s="656" t="str">
        <f>+VLOOKUP($L380,Data_Validation!$A:$D,4,0)</f>
        <v>Bénéfices marginaux</v>
      </c>
      <c r="W380" s="656" t="str">
        <f>+VLOOKUP($L380,Data_Validation!$A:$E,5,0)</f>
        <v>$</v>
      </c>
      <c r="X380" s="656">
        <f>+VLOOKUP($L380,Data_Validation!$A:$F,6,0)</f>
        <v>0</v>
      </c>
    </row>
    <row r="381" spans="1:24" ht="15.75" customHeight="1">
      <c r="A381" s="1332" t="s">
        <v>1187</v>
      </c>
      <c r="B381" s="1332" t="s">
        <v>2684</v>
      </c>
      <c r="C381" s="1334">
        <v>121.2</v>
      </c>
      <c r="D381" s="1334">
        <v>0</v>
      </c>
      <c r="E381" s="1334">
        <v>121.2</v>
      </c>
      <c r="F381" s="1332" t="s">
        <v>1154</v>
      </c>
      <c r="G381" s="1332" t="s">
        <v>1188</v>
      </c>
      <c r="H381" s="1332" t="s">
        <v>3942</v>
      </c>
      <c r="I381" s="966"/>
      <c r="J381" s="966"/>
      <c r="K381" s="966"/>
      <c r="L381" s="653" t="str">
        <f t="shared" si="191"/>
        <v>6742</v>
      </c>
      <c r="M381" s="654" t="str">
        <f t="shared" si="192"/>
        <v>FOURNITURES &amp; PETITS OUTILS</v>
      </c>
      <c r="N381" s="655">
        <f>+IF(OR($Q381=Parametres!$G$2,$Q381=Parametres!$G$3),I381,C381)</f>
        <v>121.2</v>
      </c>
      <c r="O381" s="655">
        <f>+IF(OR($Q381=Parametres!$G$2,$Q381=Parametres!$G$3),J381,D381)</f>
        <v>0</v>
      </c>
      <c r="P381" s="655">
        <f>+IF(OR($Q381=Parametres!$G$2,$Q381=Parametres!$G$3),K381,E381)</f>
        <v>121.2</v>
      </c>
      <c r="Q381" s="654" t="str">
        <f t="shared" si="193"/>
        <v>7-Dépenses</v>
      </c>
      <c r="R381" s="653" t="str">
        <f t="shared" si="194"/>
        <v>6142</v>
      </c>
      <c r="S381" s="654" t="str">
        <f t="shared" si="195"/>
        <v>_</v>
      </c>
      <c r="T381" s="656" t="str">
        <f>+VLOOKUP($L381,Data_Validation!$A:$D,1,0)</f>
        <v>6742</v>
      </c>
      <c r="U381" s="656" t="str">
        <f>+VLOOKUP($L381,Data_Validation!$A:$D,3,0)</f>
        <v>Pièces</v>
      </c>
      <c r="V381" s="656" t="str">
        <f>+VLOOKUP($L381,Data_Validation!$A:$D,4,0)</f>
        <v>Fournitures autres</v>
      </c>
      <c r="W381" s="656" t="str">
        <f>+VLOOKUP($L381,Data_Validation!$A:$E,5,0)</f>
        <v>$</v>
      </c>
      <c r="X381" s="656">
        <f>+VLOOKUP($L381,Data_Validation!$A:$F,6,0)</f>
        <v>0</v>
      </c>
    </row>
    <row r="382" spans="1:24" ht="15.75" customHeight="1">
      <c r="A382" s="1332" t="s">
        <v>1191</v>
      </c>
      <c r="B382" s="1332" t="s">
        <v>2690</v>
      </c>
      <c r="C382" s="1334">
        <v>610.78</v>
      </c>
      <c r="D382" s="1334">
        <v>549.5</v>
      </c>
      <c r="E382" s="1334">
        <v>1160.28</v>
      </c>
      <c r="F382" s="1332" t="s">
        <v>1154</v>
      </c>
      <c r="G382" s="1332" t="s">
        <v>1192</v>
      </c>
      <c r="H382" s="1332" t="s">
        <v>3942</v>
      </c>
      <c r="I382" s="966"/>
      <c r="J382" s="966"/>
      <c r="K382" s="966"/>
      <c r="L382" s="653" t="str">
        <f t="shared" si="191"/>
        <v>6744</v>
      </c>
      <c r="M382" s="654" t="str">
        <f t="shared" si="192"/>
        <v>FORMATION</v>
      </c>
      <c r="N382" s="655">
        <f>+IF(OR($Q382=Parametres!$G$2,$Q382=Parametres!$G$3),I382,C382)</f>
        <v>610.78</v>
      </c>
      <c r="O382" s="655">
        <f>+IF(OR($Q382=Parametres!$G$2,$Q382=Parametres!$G$3),J382,D382)</f>
        <v>549.5</v>
      </c>
      <c r="P382" s="655">
        <f>+IF(OR($Q382=Parametres!$G$2,$Q382=Parametres!$G$3),K382,E382)</f>
        <v>1160.28</v>
      </c>
      <c r="Q382" s="654" t="str">
        <f t="shared" si="193"/>
        <v>7-Dépenses</v>
      </c>
      <c r="R382" s="653" t="str">
        <f t="shared" si="194"/>
        <v>6144</v>
      </c>
      <c r="S382" s="654" t="str">
        <f t="shared" si="195"/>
        <v>_</v>
      </c>
      <c r="T382" s="656" t="str">
        <f>+VLOOKUP($L382,Data_Validation!$A:$D,1,0)</f>
        <v>6744</v>
      </c>
      <c r="U382" s="656" t="str">
        <f>+VLOOKUP($L382,Data_Validation!$A:$D,3,0)</f>
        <v>Pièces</v>
      </c>
      <c r="V382" s="656" t="str">
        <f>+VLOOKUP($L382,Data_Validation!$A:$D,4,0)</f>
        <v>Formation</v>
      </c>
      <c r="W382" s="656" t="str">
        <f>+VLOOKUP($L382,Data_Validation!$A:$E,5,0)</f>
        <v>$</v>
      </c>
      <c r="X382" s="656">
        <f>+VLOOKUP($L382,Data_Validation!$A:$F,6,0)</f>
        <v>0</v>
      </c>
    </row>
    <row r="383" spans="1:24" ht="15.75" customHeight="1">
      <c r="A383" s="1332" t="s">
        <v>1193</v>
      </c>
      <c r="B383" s="1332" t="s">
        <v>2693</v>
      </c>
      <c r="C383" s="1334">
        <v>2405.0100000000002</v>
      </c>
      <c r="D383" s="1334">
        <v>1920.36</v>
      </c>
      <c r="E383" s="1334">
        <v>4325.37</v>
      </c>
      <c r="F383" s="1332" t="s">
        <v>1154</v>
      </c>
      <c r="G383" s="1332" t="s">
        <v>1194</v>
      </c>
      <c r="H383" s="1332" t="s">
        <v>3942</v>
      </c>
      <c r="I383" s="966"/>
      <c r="J383" s="966"/>
      <c r="K383" s="966"/>
      <c r="L383" s="653" t="str">
        <f t="shared" si="191"/>
        <v>6745</v>
      </c>
      <c r="M383" s="654" t="str">
        <f t="shared" si="192"/>
        <v>VEHICULE DE COMPAGNIE - DEPENS</v>
      </c>
      <c r="N383" s="655">
        <f>+IF(OR($Q383=Parametres!$G$2,$Q383=Parametres!$G$3),I383,C383)</f>
        <v>2405.0100000000002</v>
      </c>
      <c r="O383" s="655">
        <f>+IF(OR($Q383=Parametres!$G$2,$Q383=Parametres!$G$3),J383,D383)</f>
        <v>1920.36</v>
      </c>
      <c r="P383" s="655">
        <f>+IF(OR($Q383=Parametres!$G$2,$Q383=Parametres!$G$3),K383,E383)</f>
        <v>4325.37</v>
      </c>
      <c r="Q383" s="654" t="str">
        <f t="shared" si="193"/>
        <v>7-Dépenses</v>
      </c>
      <c r="R383" s="653" t="str">
        <f t="shared" si="194"/>
        <v>6145</v>
      </c>
      <c r="S383" s="654" t="str">
        <f t="shared" si="195"/>
        <v>_</v>
      </c>
      <c r="T383" s="656" t="str">
        <f>+VLOOKUP($L383,Data_Validation!$A:$D,1,0)</f>
        <v>6745</v>
      </c>
      <c r="U383" s="656" t="str">
        <f>+VLOOKUP($L383,Data_Validation!$A:$D,3,0)</f>
        <v>Pièces</v>
      </c>
      <c r="V383" s="656" t="str">
        <f>+VLOOKUP($L383,Data_Validation!$A:$D,4,0)</f>
        <v>Frais véhicules de cie</v>
      </c>
      <c r="W383" s="656" t="str">
        <f>+VLOOKUP($L383,Data_Validation!$A:$E,5,0)</f>
        <v>$</v>
      </c>
      <c r="X383" s="656">
        <f>+VLOOKUP($L383,Data_Validation!$A:$F,6,0)</f>
        <v>0</v>
      </c>
    </row>
    <row r="384" spans="1:24" ht="15.75" customHeight="1">
      <c r="A384" s="1332" t="s">
        <v>1195</v>
      </c>
      <c r="B384" s="1332" t="s">
        <v>2696</v>
      </c>
      <c r="C384" s="1334">
        <v>-537.38</v>
      </c>
      <c r="D384" s="1334">
        <v>-596.54</v>
      </c>
      <c r="E384" s="1334">
        <v>-1133.92</v>
      </c>
      <c r="F384" s="1332" t="s">
        <v>1154</v>
      </c>
      <c r="G384" s="1332" t="s">
        <v>1196</v>
      </c>
      <c r="H384" s="1332" t="s">
        <v>3942</v>
      </c>
      <c r="I384" s="966"/>
      <c r="J384" s="966"/>
      <c r="K384" s="966"/>
      <c r="L384" s="653" t="str">
        <f t="shared" si="191"/>
        <v>6747</v>
      </c>
      <c r="M384" s="654" t="str">
        <f t="shared" si="192"/>
        <v>FRET/EXPRESS/TRANS. PAR CAMION</v>
      </c>
      <c r="N384" s="655">
        <f>+IF(OR($Q384=Parametres!$G$2,$Q384=Parametres!$G$3),I384,C384)</f>
        <v>-537.38</v>
      </c>
      <c r="O384" s="655">
        <f>+IF(OR($Q384=Parametres!$G$2,$Q384=Parametres!$G$3),J384,D384)</f>
        <v>-596.54</v>
      </c>
      <c r="P384" s="655">
        <f>+IF(OR($Q384=Parametres!$G$2,$Q384=Parametres!$G$3),K384,E384)</f>
        <v>-1133.92</v>
      </c>
      <c r="Q384" s="654" t="str">
        <f t="shared" si="193"/>
        <v>7-Dépenses</v>
      </c>
      <c r="R384" s="653" t="str">
        <f t="shared" si="194"/>
        <v>6147</v>
      </c>
      <c r="S384" s="654" t="str">
        <f t="shared" si="195"/>
        <v>_</v>
      </c>
      <c r="T384" s="656" t="str">
        <f>+VLOOKUP($L384,Data_Validation!$A:$D,1,0)</f>
        <v>6747</v>
      </c>
      <c r="U384" s="656" t="str">
        <f>+VLOOKUP($L384,Data_Validation!$A:$D,3,0)</f>
        <v>Pièces</v>
      </c>
      <c r="V384" s="656" t="str">
        <f>+VLOOKUP($L384,Data_Validation!$A:$D,4,0)</f>
        <v>Frais postaux</v>
      </c>
      <c r="W384" s="656" t="str">
        <f>+VLOOKUP($L384,Data_Validation!$A:$E,5,0)</f>
        <v>$</v>
      </c>
      <c r="X384" s="656">
        <f>+VLOOKUP($L384,Data_Validation!$A:$F,6,0)</f>
        <v>0</v>
      </c>
    </row>
    <row r="385" spans="1:24" ht="15.75" customHeight="1">
      <c r="A385" s="1332" t="s">
        <v>1197</v>
      </c>
      <c r="B385" s="1332" t="s">
        <v>2698</v>
      </c>
      <c r="C385" s="1334">
        <v>8506.99</v>
      </c>
      <c r="D385" s="1334">
        <v>5867.58</v>
      </c>
      <c r="E385" s="1334">
        <v>14374.57</v>
      </c>
      <c r="F385" s="1332" t="s">
        <v>1154</v>
      </c>
      <c r="G385" s="1332" t="s">
        <v>1198</v>
      </c>
      <c r="H385" s="1332" t="s">
        <v>3942</v>
      </c>
      <c r="I385" s="966"/>
      <c r="J385" s="966"/>
      <c r="K385" s="966"/>
      <c r="L385" s="653" t="str">
        <f t="shared" si="191"/>
        <v>6751</v>
      </c>
      <c r="M385" s="654" t="str">
        <f t="shared" si="192"/>
        <v>DEP. DU TRAITEMENT DES DONNEES</v>
      </c>
      <c r="N385" s="655">
        <f>+IF(OR($Q385=Parametres!$G$2,$Q385=Parametres!$G$3),I385,C385)</f>
        <v>8506.99</v>
      </c>
      <c r="O385" s="655">
        <f>+IF(OR($Q385=Parametres!$G$2,$Q385=Parametres!$G$3),J385,D385)</f>
        <v>5867.58</v>
      </c>
      <c r="P385" s="655">
        <f>+IF(OR($Q385=Parametres!$G$2,$Q385=Parametres!$G$3),K385,E385)</f>
        <v>14374.57</v>
      </c>
      <c r="Q385" s="654" t="str">
        <f t="shared" si="193"/>
        <v>7-Dépenses</v>
      </c>
      <c r="R385" s="653" t="str">
        <f t="shared" si="194"/>
        <v>6151</v>
      </c>
      <c r="S385" s="654" t="str">
        <f t="shared" si="195"/>
        <v>_</v>
      </c>
      <c r="T385" s="656" t="str">
        <f>+VLOOKUP($L385,Data_Validation!$A:$D,1,0)</f>
        <v>6751</v>
      </c>
      <c r="U385" s="656" t="str">
        <f>+VLOOKUP($L385,Data_Validation!$A:$D,3,0)</f>
        <v>Pièces</v>
      </c>
      <c r="V385" s="656" t="str">
        <f>+VLOOKUP($L385,Data_Validation!$A:$D,4,0)</f>
        <v>Informatique</v>
      </c>
      <c r="W385" s="656" t="str">
        <f>+VLOOKUP($L385,Data_Validation!$A:$E,5,0)</f>
        <v>$</v>
      </c>
      <c r="X385" s="656">
        <f>+VLOOKUP($L385,Data_Validation!$A:$F,6,0)</f>
        <v>0</v>
      </c>
    </row>
    <row r="386" spans="1:24" ht="15.75" customHeight="1">
      <c r="A386" s="1332" t="s">
        <v>1199</v>
      </c>
      <c r="B386" s="1332" t="s">
        <v>2701</v>
      </c>
      <c r="C386" s="1334">
        <v>774</v>
      </c>
      <c r="D386" s="1334">
        <v>188.8</v>
      </c>
      <c r="E386" s="1334">
        <v>962.8</v>
      </c>
      <c r="F386" s="1332" t="s">
        <v>1154</v>
      </c>
      <c r="G386" s="1332" t="s">
        <v>1200</v>
      </c>
      <c r="H386" s="1332" t="s">
        <v>3942</v>
      </c>
      <c r="I386" s="966"/>
      <c r="J386" s="966"/>
      <c r="K386" s="966"/>
      <c r="L386" s="653" t="str">
        <f t="shared" si="191"/>
        <v>6752</v>
      </c>
      <c r="M386" s="654" t="str">
        <f t="shared" si="192"/>
        <v>PAPETERIE</v>
      </c>
      <c r="N386" s="655">
        <f>+IF(OR($Q386=Parametres!$G$2,$Q386=Parametres!$G$3),I386,C386)</f>
        <v>774</v>
      </c>
      <c r="O386" s="655">
        <f>+IF(OR($Q386=Parametres!$G$2,$Q386=Parametres!$G$3),J386,D386)</f>
        <v>188.8</v>
      </c>
      <c r="P386" s="655">
        <f>+IF(OR($Q386=Parametres!$G$2,$Q386=Parametres!$G$3),K386,E386)</f>
        <v>962.8</v>
      </c>
      <c r="Q386" s="654" t="str">
        <f t="shared" si="193"/>
        <v>7-Dépenses</v>
      </c>
      <c r="R386" s="653" t="str">
        <f t="shared" si="194"/>
        <v>6152</v>
      </c>
      <c r="S386" s="654" t="str">
        <f t="shared" si="195"/>
        <v>_</v>
      </c>
      <c r="T386" s="656" t="str">
        <f>+VLOOKUP($L386,Data_Validation!$A:$D,1,0)</f>
        <v>6752</v>
      </c>
      <c r="U386" s="656" t="str">
        <f>+VLOOKUP($L386,Data_Validation!$A:$D,3,0)</f>
        <v>Pièces</v>
      </c>
      <c r="V386" s="656" t="str">
        <f>+VLOOKUP($L386,Data_Validation!$A:$D,4,0)</f>
        <v>Papeterie</v>
      </c>
      <c r="W386" s="656" t="str">
        <f>+VLOOKUP($L386,Data_Validation!$A:$E,5,0)</f>
        <v>$</v>
      </c>
      <c r="X386" s="656">
        <f>+VLOOKUP($L386,Data_Validation!$A:$F,6,0)</f>
        <v>0</v>
      </c>
    </row>
    <row r="387" spans="1:24" ht="15.75" customHeight="1">
      <c r="A387" s="1332" t="s">
        <v>1201</v>
      </c>
      <c r="B387" s="1332" t="s">
        <v>2704</v>
      </c>
      <c r="C387" s="1334">
        <v>380.64</v>
      </c>
      <c r="D387" s="1334">
        <v>60.98</v>
      </c>
      <c r="E387" s="1334">
        <v>441.62</v>
      </c>
      <c r="F387" s="1332" t="s">
        <v>1154</v>
      </c>
      <c r="G387" s="1332" t="s">
        <v>1202</v>
      </c>
      <c r="H387" s="1332" t="s">
        <v>3942</v>
      </c>
      <c r="I387" s="966"/>
      <c r="J387" s="966"/>
      <c r="K387" s="966"/>
      <c r="L387" s="653" t="str">
        <f t="shared" si="191"/>
        <v>6753</v>
      </c>
      <c r="M387" s="654" t="str">
        <f t="shared" si="192"/>
        <v>TELEPHONE ET TELEX</v>
      </c>
      <c r="N387" s="655">
        <f>+IF(OR($Q387=Parametres!$G$2,$Q387=Parametres!$G$3),I387,C387)</f>
        <v>380.64</v>
      </c>
      <c r="O387" s="655">
        <f>+IF(OR($Q387=Parametres!$G$2,$Q387=Parametres!$G$3),J387,D387)</f>
        <v>60.98</v>
      </c>
      <c r="P387" s="655">
        <f>+IF(OR($Q387=Parametres!$G$2,$Q387=Parametres!$G$3),K387,E387)</f>
        <v>441.62</v>
      </c>
      <c r="Q387" s="654" t="str">
        <f t="shared" si="193"/>
        <v>7-Dépenses</v>
      </c>
      <c r="R387" s="653" t="str">
        <f t="shared" si="194"/>
        <v>6153</v>
      </c>
      <c r="S387" s="654" t="str">
        <f t="shared" si="195"/>
        <v>_</v>
      </c>
      <c r="T387" s="656" t="str">
        <f>+VLOOKUP($L387,Data_Validation!$A:$D,1,0)</f>
        <v>6753</v>
      </c>
      <c r="U387" s="656" t="str">
        <f>+VLOOKUP($L387,Data_Validation!$A:$D,3,0)</f>
        <v>Pièces</v>
      </c>
      <c r="V387" s="656" t="str">
        <f>+VLOOKUP($L387,Data_Validation!$A:$D,4,0)</f>
        <v>Téléphone</v>
      </c>
      <c r="W387" s="656" t="str">
        <f>+VLOOKUP($L387,Data_Validation!$A:$E,5,0)</f>
        <v>$</v>
      </c>
      <c r="X387" s="656">
        <f>+VLOOKUP($L387,Data_Validation!$A:$F,6,0)</f>
        <v>0</v>
      </c>
    </row>
    <row r="388" spans="1:24" ht="15.75" customHeight="1">
      <c r="A388" s="1332" t="s">
        <v>1203</v>
      </c>
      <c r="B388" s="1332" t="s">
        <v>2707</v>
      </c>
      <c r="C388" s="1334">
        <v>430.16</v>
      </c>
      <c r="D388" s="1334">
        <v>264.54000000000002</v>
      </c>
      <c r="E388" s="1334">
        <v>694.7</v>
      </c>
      <c r="F388" s="1332" t="s">
        <v>1154</v>
      </c>
      <c r="G388" s="1332" t="s">
        <v>1204</v>
      </c>
      <c r="H388" s="1332" t="s">
        <v>3942</v>
      </c>
      <c r="I388" s="966"/>
      <c r="J388" s="966"/>
      <c r="K388" s="966"/>
      <c r="L388" s="653" t="str">
        <f t="shared" si="191"/>
        <v>6755</v>
      </c>
      <c r="M388" s="654" t="str">
        <f t="shared" si="192"/>
        <v>DEPENSES DIVERS</v>
      </c>
      <c r="N388" s="655">
        <f>+IF(OR($Q388=Parametres!$G$2,$Q388=Parametres!$G$3),I388,C388)</f>
        <v>430.16</v>
      </c>
      <c r="O388" s="655">
        <f>+IF(OR($Q388=Parametres!$G$2,$Q388=Parametres!$G$3),J388,D388)</f>
        <v>264.54000000000002</v>
      </c>
      <c r="P388" s="655">
        <f>+IF(OR($Q388=Parametres!$G$2,$Q388=Parametres!$G$3),K388,E388)</f>
        <v>694.7</v>
      </c>
      <c r="Q388" s="654" t="str">
        <f t="shared" si="193"/>
        <v>7-Dépenses</v>
      </c>
      <c r="R388" s="653" t="str">
        <f t="shared" si="194"/>
        <v>6155</v>
      </c>
      <c r="S388" s="654" t="str">
        <f t="shared" si="195"/>
        <v>_</v>
      </c>
      <c r="T388" s="656" t="str">
        <f>+VLOOKUP($L388,Data_Validation!$A:$D,1,0)</f>
        <v>6755</v>
      </c>
      <c r="U388" s="656" t="str">
        <f>+VLOOKUP($L388,Data_Validation!$A:$D,3,0)</f>
        <v>Pièces</v>
      </c>
      <c r="V388" s="656" t="str">
        <f>+VLOOKUP($L388,Data_Validation!$A:$D,4,0)</f>
        <v>Divers</v>
      </c>
      <c r="W388" s="656" t="str">
        <f>+VLOOKUP($L388,Data_Validation!$A:$E,5,0)</f>
        <v>$</v>
      </c>
      <c r="X388" s="656">
        <f>+VLOOKUP($L388,Data_Validation!$A:$F,6,0)</f>
        <v>0</v>
      </c>
    </row>
    <row r="389" spans="1:24" ht="15.75" customHeight="1">
      <c r="A389" s="1332" t="s">
        <v>1277</v>
      </c>
      <c r="B389" s="1332" t="s">
        <v>2710</v>
      </c>
      <c r="C389" s="1334">
        <v>814.66</v>
      </c>
      <c r="D389" s="1334">
        <v>1556.58</v>
      </c>
      <c r="E389" s="1334">
        <v>2371.2399999999998</v>
      </c>
      <c r="F389" s="1332" t="s">
        <v>1154</v>
      </c>
      <c r="G389" s="1332" t="s">
        <v>1206</v>
      </c>
      <c r="H389" s="1332" t="s">
        <v>3942</v>
      </c>
      <c r="I389" s="966"/>
      <c r="J389" s="966"/>
      <c r="K389" s="966"/>
      <c r="L389" s="653" t="str">
        <f t="shared" si="191"/>
        <v>6756</v>
      </c>
      <c r="M389" s="654" t="str">
        <f t="shared" si="192"/>
        <v>FRAIS REPRESENTATION - PIECES</v>
      </c>
      <c r="N389" s="655">
        <f>+IF(OR($Q389=Parametres!$G$2,$Q389=Parametres!$G$3),I389,C389)</f>
        <v>814.66</v>
      </c>
      <c r="O389" s="655">
        <f>+IF(OR($Q389=Parametres!$G$2,$Q389=Parametres!$G$3),J389,D389)</f>
        <v>1556.58</v>
      </c>
      <c r="P389" s="655">
        <f>+IF(OR($Q389=Parametres!$G$2,$Q389=Parametres!$G$3),K389,E389)</f>
        <v>2371.2399999999998</v>
      </c>
      <c r="Q389" s="654" t="str">
        <f t="shared" si="193"/>
        <v>7-Dépenses</v>
      </c>
      <c r="R389" s="653" t="str">
        <f t="shared" si="194"/>
        <v>6156</v>
      </c>
      <c r="S389" s="654" t="str">
        <f t="shared" si="195"/>
        <v>_</v>
      </c>
      <c r="T389" s="656" t="str">
        <f>+VLOOKUP($L389,Data_Validation!$A:$D,1,0)</f>
        <v>6756</v>
      </c>
      <c r="U389" s="656" t="str">
        <f>+VLOOKUP($L389,Data_Validation!$A:$D,3,0)</f>
        <v>Pièces</v>
      </c>
      <c r="V389" s="656" t="str">
        <f>+VLOOKUP($L389,Data_Validation!$A:$D,4,0)</f>
        <v>Frais de déplacement</v>
      </c>
      <c r="W389" s="656" t="str">
        <f>+VLOOKUP($L389,Data_Validation!$A:$E,5,0)</f>
        <v>$</v>
      </c>
      <c r="X389" s="656">
        <f>+VLOOKUP($L389,Data_Validation!$A:$F,6,0)</f>
        <v>0</v>
      </c>
    </row>
    <row r="390" spans="1:24" ht="15.75" customHeight="1">
      <c r="A390" s="1332" t="s">
        <v>1278</v>
      </c>
      <c r="B390" s="1332" t="s">
        <v>3400</v>
      </c>
      <c r="C390" s="1334">
        <v>4244.24</v>
      </c>
      <c r="D390" s="1334">
        <v>1705.73</v>
      </c>
      <c r="E390" s="1334">
        <v>5949.97</v>
      </c>
      <c r="F390" s="1332" t="s">
        <v>1154</v>
      </c>
      <c r="G390" s="1332" t="s">
        <v>3338</v>
      </c>
      <c r="H390" s="1332" t="s">
        <v>3942</v>
      </c>
      <c r="I390" s="966"/>
      <c r="J390" s="966"/>
      <c r="K390" s="966"/>
      <c r="L390" s="653" t="str">
        <f t="shared" si="191"/>
        <v>6757</v>
      </c>
      <c r="M390" s="654" t="str">
        <f t="shared" si="192"/>
        <v>FRAIS BANCAIRES - PIECES</v>
      </c>
      <c r="N390" s="655">
        <f>+IF(OR($Q390=Parametres!$G$2,$Q390=Parametres!$G$3),I390,C390)</f>
        <v>4244.24</v>
      </c>
      <c r="O390" s="655">
        <f>+IF(OR($Q390=Parametres!$G$2,$Q390=Parametres!$G$3),J390,D390)</f>
        <v>1705.73</v>
      </c>
      <c r="P390" s="655">
        <f>+IF(OR($Q390=Parametres!$G$2,$Q390=Parametres!$G$3),K390,E390)</f>
        <v>5949.97</v>
      </c>
      <c r="Q390" s="654" t="str">
        <f t="shared" si="193"/>
        <v>7-Dépenses</v>
      </c>
      <c r="R390" s="653" t="str">
        <f t="shared" si="194"/>
        <v>675</v>
      </c>
      <c r="S390" s="654" t="str">
        <f t="shared" si="195"/>
        <v>_</v>
      </c>
      <c r="T390" s="656" t="str">
        <f>+VLOOKUP($L390,Data_Validation!$A:$D,1,0)</f>
        <v>6757</v>
      </c>
      <c r="U390" s="656" t="str">
        <f>+VLOOKUP($L390,Data_Validation!$A:$D,3,0)</f>
        <v>Pièces</v>
      </c>
      <c r="V390" s="656" t="str">
        <f>+VLOOKUP($L390,Data_Validation!$A:$D,4,0)</f>
        <v>Frais bancaires</v>
      </c>
      <c r="W390" s="656" t="str">
        <f>+VLOOKUP($L390,Data_Validation!$A:$E,5,0)</f>
        <v>$</v>
      </c>
      <c r="X390" s="656">
        <f>+VLOOKUP($L390,Data_Validation!$A:$F,6,0)</f>
        <v>0</v>
      </c>
    </row>
    <row r="391" spans="1:24" ht="15.75" customHeight="1">
      <c r="A391" s="1332" t="s">
        <v>3888</v>
      </c>
      <c r="B391" s="1332" t="s">
        <v>3889</v>
      </c>
      <c r="C391" s="1334">
        <v>14768.26</v>
      </c>
      <c r="D391" s="1334">
        <v>4885.9799999999996</v>
      </c>
      <c r="E391" s="1334">
        <v>19654.240000000002</v>
      </c>
      <c r="F391" s="1332" t="s">
        <v>1154</v>
      </c>
      <c r="G391" s="1332" t="s">
        <v>1210</v>
      </c>
      <c r="H391" s="1332" t="s">
        <v>3942</v>
      </c>
      <c r="I391" s="966"/>
      <c r="J391" s="966"/>
      <c r="K391" s="966"/>
      <c r="L391" s="653" t="str">
        <f t="shared" si="191"/>
        <v>6758</v>
      </c>
      <c r="M391" s="654" t="str">
        <f t="shared" si="192"/>
        <v>FRAIS DE LIVRAISON PIECES</v>
      </c>
      <c r="N391" s="655">
        <f>+IF(OR($Q391=Parametres!$G$2,$Q391=Parametres!$G$3),I391,C391)</f>
        <v>14768.26</v>
      </c>
      <c r="O391" s="655">
        <f>+IF(OR($Q391=Parametres!$G$2,$Q391=Parametres!$G$3),J391,D391)</f>
        <v>4885.9799999999996</v>
      </c>
      <c r="P391" s="655">
        <f>+IF(OR($Q391=Parametres!$G$2,$Q391=Parametres!$G$3),K391,E391)</f>
        <v>19654.240000000002</v>
      </c>
      <c r="Q391" s="654" t="str">
        <f t="shared" si="193"/>
        <v>7-Dépenses</v>
      </c>
      <c r="R391" s="653" t="str">
        <f t="shared" si="194"/>
        <v>6159</v>
      </c>
      <c r="S391" s="654" t="str">
        <f t="shared" si="195"/>
        <v>_</v>
      </c>
      <c r="T391" s="656" t="str">
        <f>+VLOOKUP($L391,Data_Validation!$A:$D,1,0)</f>
        <v>6758</v>
      </c>
      <c r="U391" s="656" t="str">
        <f>+VLOOKUP($L391,Data_Validation!$A:$D,3,0)</f>
        <v>Pièces</v>
      </c>
      <c r="V391" s="656" t="str">
        <f>+VLOOKUP($L391,Data_Validation!$A:$D,4,0)</f>
        <v>Services extérieurs</v>
      </c>
      <c r="W391" s="656" t="str">
        <f>+VLOOKUP($L391,Data_Validation!$A:$E,5,0)</f>
        <v>$</v>
      </c>
      <c r="X391" s="656">
        <f>+VLOOKUP($L391,Data_Validation!$A:$F,6,0)</f>
        <v>0</v>
      </c>
    </row>
    <row r="392" spans="1:24" ht="15.75" customHeight="1">
      <c r="A392" s="1332" t="s">
        <v>1209</v>
      </c>
      <c r="B392" s="1332" t="s">
        <v>2713</v>
      </c>
      <c r="C392" s="1334">
        <v>9509.36</v>
      </c>
      <c r="D392" s="1334">
        <v>1973.61</v>
      </c>
      <c r="E392" s="1334">
        <v>11482.97</v>
      </c>
      <c r="F392" s="1332" t="s">
        <v>1154</v>
      </c>
      <c r="G392" s="1332" t="s">
        <v>1210</v>
      </c>
      <c r="H392" s="1332" t="s">
        <v>3942</v>
      </c>
      <c r="I392" s="966"/>
      <c r="J392" s="966"/>
      <c r="K392" s="966"/>
      <c r="L392" s="653" t="str">
        <f t="shared" si="191"/>
        <v>6759</v>
      </c>
      <c r="M392" s="654" t="str">
        <f t="shared" si="192"/>
        <v>SERVICE EXTERIEUR</v>
      </c>
      <c r="N392" s="655">
        <f>+IF(OR($Q392=Parametres!$G$2,$Q392=Parametres!$G$3),I392,C392)</f>
        <v>9509.36</v>
      </c>
      <c r="O392" s="655">
        <f>+IF(OR($Q392=Parametres!$G$2,$Q392=Parametres!$G$3),J392,D392)</f>
        <v>1973.61</v>
      </c>
      <c r="P392" s="655">
        <f>+IF(OR($Q392=Parametres!$G$2,$Q392=Parametres!$G$3),K392,E392)</f>
        <v>11482.97</v>
      </c>
      <c r="Q392" s="654" t="str">
        <f t="shared" si="193"/>
        <v>7-Dépenses</v>
      </c>
      <c r="R392" s="653" t="str">
        <f t="shared" si="194"/>
        <v>6159</v>
      </c>
      <c r="S392" s="654" t="str">
        <f t="shared" si="195"/>
        <v>_</v>
      </c>
      <c r="T392" s="656" t="str">
        <f>+VLOOKUP($L392,Data_Validation!$A:$D,1,0)</f>
        <v>6759</v>
      </c>
      <c r="U392" s="656" t="str">
        <f>+VLOOKUP($L392,Data_Validation!$A:$D,3,0)</f>
        <v>Pièces</v>
      </c>
      <c r="V392" s="656" t="str">
        <f>+VLOOKUP($L392,Data_Validation!$A:$D,4,0)</f>
        <v>Services extérieurs</v>
      </c>
      <c r="W392" s="656" t="str">
        <f>+VLOOKUP($L392,Data_Validation!$A:$E,5,0)</f>
        <v>$</v>
      </c>
      <c r="X392" s="656">
        <f>+VLOOKUP($L392,Data_Validation!$A:$F,6,0)</f>
        <v>0</v>
      </c>
    </row>
    <row r="393" spans="1:24" ht="15.75" customHeight="1">
      <c r="A393" s="1332" t="s">
        <v>1211</v>
      </c>
      <c r="B393" s="1332" t="s">
        <v>2716</v>
      </c>
      <c r="C393" s="1334">
        <v>4758.5</v>
      </c>
      <c r="D393" s="1334">
        <v>2379.25</v>
      </c>
      <c r="E393" s="1334">
        <v>7137.75</v>
      </c>
      <c r="F393" s="1332" t="s">
        <v>1154</v>
      </c>
      <c r="G393" s="1332" t="s">
        <v>1212</v>
      </c>
      <c r="H393" s="1332" t="s">
        <v>3942</v>
      </c>
      <c r="I393" s="966"/>
      <c r="J393" s="966"/>
      <c r="K393" s="966"/>
      <c r="L393" s="653" t="str">
        <f t="shared" si="191"/>
        <v>6761</v>
      </c>
      <c r="M393" s="654" t="str">
        <f t="shared" si="192"/>
        <v>DEPRECIATION EQUIP. &amp; FIXTURES</v>
      </c>
      <c r="N393" s="655">
        <f>+IF(OR($Q393=Parametres!$G$2,$Q393=Parametres!$G$3),I393,C393)</f>
        <v>4758.5</v>
      </c>
      <c r="O393" s="655">
        <f>+IF(OR($Q393=Parametres!$G$2,$Q393=Parametres!$G$3),J393,D393)</f>
        <v>2379.25</v>
      </c>
      <c r="P393" s="655">
        <f>+IF(OR($Q393=Parametres!$G$2,$Q393=Parametres!$G$3),K393,E393)</f>
        <v>7137.75</v>
      </c>
      <c r="Q393" s="654" t="str">
        <f t="shared" si="193"/>
        <v>7-Dépenses</v>
      </c>
      <c r="R393" s="653" t="str">
        <f t="shared" si="194"/>
        <v>6161</v>
      </c>
      <c r="S393" s="654" t="str">
        <f t="shared" si="195"/>
        <v>_</v>
      </c>
      <c r="T393" s="656" t="str">
        <f>+VLOOKUP($L393,Data_Validation!$A:$D,1,0)</f>
        <v>6761</v>
      </c>
      <c r="U393" s="656" t="str">
        <f>+VLOOKUP($L393,Data_Validation!$A:$D,3,0)</f>
        <v>Pièces</v>
      </c>
      <c r="V393" s="656" t="str">
        <f>+VLOOKUP($L393,Data_Validation!$A:$D,4,0)</f>
        <v>Amortissement</v>
      </c>
      <c r="W393" s="656" t="str">
        <f>+VLOOKUP($L393,Data_Validation!$A:$E,5,0)</f>
        <v>$</v>
      </c>
      <c r="X393" s="656">
        <f>+VLOOKUP($L393,Data_Validation!$A:$F,6,0)</f>
        <v>0</v>
      </c>
    </row>
    <row r="394" spans="1:24" ht="15.75" customHeight="1">
      <c r="A394" s="1332" t="s">
        <v>1279</v>
      </c>
      <c r="B394" s="1332" t="s">
        <v>2725</v>
      </c>
      <c r="C394" s="1334">
        <v>5401.88</v>
      </c>
      <c r="D394" s="1334">
        <v>2039</v>
      </c>
      <c r="E394" s="1334">
        <v>7440.88</v>
      </c>
      <c r="F394" s="1332" t="s">
        <v>1154</v>
      </c>
      <c r="G394" s="1332" t="s">
        <v>1214</v>
      </c>
      <c r="H394" s="1332" t="s">
        <v>3942</v>
      </c>
      <c r="I394" s="966"/>
      <c r="J394" s="966"/>
      <c r="K394" s="966"/>
      <c r="L394" s="653" t="str">
        <f t="shared" si="191"/>
        <v>6781</v>
      </c>
      <c r="M394" s="654" t="str">
        <f t="shared" si="192"/>
        <v>CHAUFFAGE,ELECTRICITE,EAU-PIECES</v>
      </c>
      <c r="N394" s="655">
        <f>+IF(OR($Q394=Parametres!$G$2,$Q394=Parametres!$G$3),I394,C394)</f>
        <v>5401.88</v>
      </c>
      <c r="O394" s="655">
        <f>+IF(OR($Q394=Parametres!$G$2,$Q394=Parametres!$G$3),J394,D394)</f>
        <v>2039</v>
      </c>
      <c r="P394" s="655">
        <f>+IF(OR($Q394=Parametres!$G$2,$Q394=Parametres!$G$3),K394,E394)</f>
        <v>7440.88</v>
      </c>
      <c r="Q394" s="654" t="str">
        <f t="shared" si="193"/>
        <v>7-Dépenses</v>
      </c>
      <c r="R394" s="653" t="str">
        <f t="shared" si="194"/>
        <v>6181</v>
      </c>
      <c r="S394" s="654" t="str">
        <f t="shared" si="195"/>
        <v>_</v>
      </c>
      <c r="T394" s="656" t="str">
        <f>+VLOOKUP($L394,Data_Validation!$A:$D,1,0)</f>
        <v>6781</v>
      </c>
      <c r="U394" s="656" t="str">
        <f>+VLOOKUP($L394,Data_Validation!$A:$D,3,0)</f>
        <v>Pièces</v>
      </c>
      <c r="V394" s="656" t="str">
        <f>+VLOOKUP($L394,Data_Validation!$A:$D,4,0)</f>
        <v>Chauffage, éclairage</v>
      </c>
      <c r="W394" s="656" t="str">
        <f>+VLOOKUP($L394,Data_Validation!$A:$E,5,0)</f>
        <v>$</v>
      </c>
      <c r="X394" s="656">
        <f>+VLOOKUP($L394,Data_Validation!$A:$F,6,0)</f>
        <v>0</v>
      </c>
    </row>
    <row r="395" spans="1:24" ht="15.75" customHeight="1">
      <c r="A395" s="1332" t="s">
        <v>1280</v>
      </c>
      <c r="B395" s="1332" t="s">
        <v>2728</v>
      </c>
      <c r="C395" s="1334">
        <v>31375</v>
      </c>
      <c r="D395" s="1334">
        <v>19937.5</v>
      </c>
      <c r="E395" s="1334">
        <v>51312.5</v>
      </c>
      <c r="F395" s="1332" t="s">
        <v>1154</v>
      </c>
      <c r="G395" s="1332" t="s">
        <v>1216</v>
      </c>
      <c r="H395" s="1332" t="s">
        <v>3942</v>
      </c>
      <c r="I395" s="966"/>
      <c r="J395" s="966"/>
      <c r="K395" s="966"/>
      <c r="L395" s="653" t="str">
        <f t="shared" si="191"/>
        <v>6782</v>
      </c>
      <c r="M395" s="654" t="str">
        <f t="shared" si="192"/>
        <v>LOYER - PIECES</v>
      </c>
      <c r="N395" s="655">
        <f>+IF(OR($Q395=Parametres!$G$2,$Q395=Parametres!$G$3),I395,C395)</f>
        <v>31375</v>
      </c>
      <c r="O395" s="655">
        <f>+IF(OR($Q395=Parametres!$G$2,$Q395=Parametres!$G$3),J395,D395)</f>
        <v>19937.5</v>
      </c>
      <c r="P395" s="655">
        <f>+IF(OR($Q395=Parametres!$G$2,$Q395=Parametres!$G$3),K395,E395)</f>
        <v>51312.5</v>
      </c>
      <c r="Q395" s="654" t="str">
        <f t="shared" si="193"/>
        <v>7-Dépenses</v>
      </c>
      <c r="R395" s="653" t="str">
        <f t="shared" si="194"/>
        <v>6182</v>
      </c>
      <c r="S395" s="654" t="str">
        <f t="shared" si="195"/>
        <v>_</v>
      </c>
      <c r="T395" s="656" t="str">
        <f>+VLOOKUP($L395,Data_Validation!$A:$D,1,0)</f>
        <v>6782</v>
      </c>
      <c r="U395" s="656" t="str">
        <f>+VLOOKUP($L395,Data_Validation!$A:$D,3,0)</f>
        <v>Pièces</v>
      </c>
      <c r="V395" s="656" t="str">
        <f>+VLOOKUP($L395,Data_Validation!$A:$D,4,0)</f>
        <v>Loyer</v>
      </c>
      <c r="W395" s="656" t="str">
        <f>+VLOOKUP($L395,Data_Validation!$A:$E,5,0)</f>
        <v>$</v>
      </c>
      <c r="X395" s="656">
        <f>+VLOOKUP($L395,Data_Validation!$A:$F,6,0)</f>
        <v>0</v>
      </c>
    </row>
    <row r="396" spans="1:24" ht="15.75" customHeight="1">
      <c r="A396" s="1332" t="s">
        <v>1281</v>
      </c>
      <c r="B396" s="1332" t="s">
        <v>2731</v>
      </c>
      <c r="C396" s="1334">
        <v>1976.06</v>
      </c>
      <c r="D396" s="1334">
        <v>1000</v>
      </c>
      <c r="E396" s="1334">
        <v>2976.06</v>
      </c>
      <c r="F396" s="1332" t="s">
        <v>1154</v>
      </c>
      <c r="G396" s="1332" t="s">
        <v>1218</v>
      </c>
      <c r="H396" s="1332" t="s">
        <v>3942</v>
      </c>
      <c r="I396" s="966"/>
      <c r="J396" s="966"/>
      <c r="K396" s="966"/>
      <c r="L396" s="653" t="str">
        <f t="shared" si="191"/>
        <v>6786</v>
      </c>
      <c r="M396" s="654" t="str">
        <f t="shared" si="192"/>
        <v>ASSURANCE BATISSE &amp; AMEL.-PIECES</v>
      </c>
      <c r="N396" s="655">
        <f>+IF(OR($Q396=Parametres!$G$2,$Q396=Parametres!$G$3),I396,C396)</f>
        <v>1976.06</v>
      </c>
      <c r="O396" s="655">
        <f>+IF(OR($Q396=Parametres!$G$2,$Q396=Parametres!$G$3),J396,D396)</f>
        <v>1000</v>
      </c>
      <c r="P396" s="655">
        <f>+IF(OR($Q396=Parametres!$G$2,$Q396=Parametres!$G$3),K396,E396)</f>
        <v>2976.06</v>
      </c>
      <c r="Q396" s="654" t="str">
        <f t="shared" si="193"/>
        <v>7-Dépenses</v>
      </c>
      <c r="R396" s="653" t="str">
        <f t="shared" si="194"/>
        <v>6186</v>
      </c>
      <c r="S396" s="654" t="str">
        <f t="shared" si="195"/>
        <v>_</v>
      </c>
      <c r="T396" s="656" t="str">
        <f>+VLOOKUP($L396,Data_Validation!$A:$D,1,0)</f>
        <v>6786</v>
      </c>
      <c r="U396" s="656" t="str">
        <f>+VLOOKUP($L396,Data_Validation!$A:$D,3,0)</f>
        <v>Pièces</v>
      </c>
      <c r="V396" s="656" t="str">
        <f>+VLOOKUP($L396,Data_Validation!$A:$D,4,0)</f>
        <v>Assurances</v>
      </c>
      <c r="W396" s="656" t="str">
        <f>+VLOOKUP($L396,Data_Validation!$A:$E,5,0)</f>
        <v>$</v>
      </c>
      <c r="X396" s="656">
        <f>+VLOOKUP($L396,Data_Validation!$A:$F,6,0)</f>
        <v>0</v>
      </c>
    </row>
    <row r="397" spans="1:24" ht="15.75" customHeight="1">
      <c r="A397" s="1332" t="s">
        <v>1282</v>
      </c>
      <c r="B397" s="1332" t="s">
        <v>2734</v>
      </c>
      <c r="C397" s="1334">
        <v>8250</v>
      </c>
      <c r="D397" s="1334">
        <v>4125</v>
      </c>
      <c r="E397" s="1334">
        <v>12375</v>
      </c>
      <c r="F397" s="1332" t="s">
        <v>1154</v>
      </c>
      <c r="G397" s="1332" t="s">
        <v>1220</v>
      </c>
      <c r="H397" s="1332" t="s">
        <v>3942</v>
      </c>
      <c r="I397" s="966"/>
      <c r="J397" s="966"/>
      <c r="K397" s="966"/>
      <c r="L397" s="653" t="str">
        <f t="shared" si="191"/>
        <v>6787</v>
      </c>
      <c r="M397" s="654" t="str">
        <f t="shared" si="192"/>
        <v>TAXES FONCIERES - PIECES</v>
      </c>
      <c r="N397" s="655">
        <f>+IF(OR($Q397=Parametres!$G$2,$Q397=Parametres!$G$3),I397,C397)</f>
        <v>8250</v>
      </c>
      <c r="O397" s="655">
        <f>+IF(OR($Q397=Parametres!$G$2,$Q397=Parametres!$G$3),J397,D397)</f>
        <v>4125</v>
      </c>
      <c r="P397" s="655">
        <f>+IF(OR($Q397=Parametres!$G$2,$Q397=Parametres!$G$3),K397,E397)</f>
        <v>12375</v>
      </c>
      <c r="Q397" s="654" t="str">
        <f t="shared" si="193"/>
        <v>7-Dépenses</v>
      </c>
      <c r="R397" s="653" t="str">
        <f t="shared" si="194"/>
        <v>6187</v>
      </c>
      <c r="S397" s="654" t="str">
        <f t="shared" si="195"/>
        <v>_</v>
      </c>
      <c r="T397" s="656" t="str">
        <f>+VLOOKUP($L397,Data_Validation!$A:$D,1,0)</f>
        <v>6787</v>
      </c>
      <c r="U397" s="656" t="str">
        <f>+VLOOKUP($L397,Data_Validation!$A:$D,3,0)</f>
        <v>Pièces</v>
      </c>
      <c r="V397" s="656" t="str">
        <f>+VLOOKUP($L397,Data_Validation!$A:$D,4,0)</f>
        <v>Taxes foncières</v>
      </c>
      <c r="W397" s="656" t="str">
        <f>+VLOOKUP($L397,Data_Validation!$A:$E,5,0)</f>
        <v>$</v>
      </c>
      <c r="X397" s="656">
        <f>+VLOOKUP($L397,Data_Validation!$A:$F,6,0)</f>
        <v>0</v>
      </c>
    </row>
    <row r="398" spans="1:24" ht="15.75" customHeight="1">
      <c r="A398" s="1332" t="s">
        <v>1283</v>
      </c>
      <c r="B398" s="1332" t="s">
        <v>2737</v>
      </c>
      <c r="C398" s="1334">
        <v>750</v>
      </c>
      <c r="D398" s="1334">
        <v>375</v>
      </c>
      <c r="E398" s="1334">
        <v>1125</v>
      </c>
      <c r="F398" s="1332" t="s">
        <v>1154</v>
      </c>
      <c r="G398" s="1332" t="s">
        <v>1222</v>
      </c>
      <c r="H398" s="1332" t="s">
        <v>3942</v>
      </c>
      <c r="I398" s="966"/>
      <c r="J398" s="966"/>
      <c r="K398" s="966"/>
      <c r="L398" s="653" t="str">
        <f t="shared" si="191"/>
        <v>6793</v>
      </c>
      <c r="M398" s="654" t="str">
        <f t="shared" si="192"/>
        <v>AUTRES TAXES - PIECES</v>
      </c>
      <c r="N398" s="655">
        <f>+IF(OR($Q398=Parametres!$G$2,$Q398=Parametres!$G$3),I398,C398)</f>
        <v>750</v>
      </c>
      <c r="O398" s="655">
        <f>+IF(OR($Q398=Parametres!$G$2,$Q398=Parametres!$G$3),J398,D398)</f>
        <v>375</v>
      </c>
      <c r="P398" s="655">
        <f>+IF(OR($Q398=Parametres!$G$2,$Q398=Parametres!$G$3),K398,E398)</f>
        <v>1125</v>
      </c>
      <c r="Q398" s="654" t="str">
        <f t="shared" si="193"/>
        <v>7-Dépenses</v>
      </c>
      <c r="R398" s="653" t="str">
        <f t="shared" si="194"/>
        <v>6193</v>
      </c>
      <c r="S398" s="654" t="str">
        <f t="shared" si="195"/>
        <v>_</v>
      </c>
      <c r="T398" s="656" t="str">
        <f>+VLOOKUP($L398,Data_Validation!$A:$D,1,0)</f>
        <v>6793</v>
      </c>
      <c r="U398" s="656" t="str">
        <f>+VLOOKUP($L398,Data_Validation!$A:$D,3,0)</f>
        <v>Pièces</v>
      </c>
      <c r="V398" s="656" t="str">
        <f>+VLOOKUP($L398,Data_Validation!$A:$D,4,0)</f>
        <v>Taxes d`affaires</v>
      </c>
      <c r="W398" s="656" t="str">
        <f>+VLOOKUP($L398,Data_Validation!$A:$E,5,0)</f>
        <v>$</v>
      </c>
      <c r="X398" s="656">
        <f>+VLOOKUP($L398,Data_Validation!$A:$F,6,0)</f>
        <v>0</v>
      </c>
    </row>
    <row r="399" spans="1:24" ht="15.75" customHeight="1">
      <c r="A399" s="1332" t="s">
        <v>1284</v>
      </c>
      <c r="B399" s="1332" t="s">
        <v>2740</v>
      </c>
      <c r="C399" s="1334">
        <v>11459.61</v>
      </c>
      <c r="D399" s="1334">
        <v>1762.41</v>
      </c>
      <c r="E399" s="1334">
        <v>13222.02</v>
      </c>
      <c r="F399" s="1332" t="s">
        <v>1154</v>
      </c>
      <c r="G399" s="1332" t="s">
        <v>1224</v>
      </c>
      <c r="H399" s="1332" t="s">
        <v>3942</v>
      </c>
      <c r="I399" s="966"/>
      <c r="J399" s="966"/>
      <c r="K399" s="966"/>
      <c r="L399" s="653" t="str">
        <f t="shared" si="191"/>
        <v>6794</v>
      </c>
      <c r="M399" s="654" t="str">
        <f t="shared" si="192"/>
        <v>FRAIS PROFESSIONNEL-PIECES</v>
      </c>
      <c r="N399" s="655">
        <f>+IF(OR($Q399=Parametres!$G$2,$Q399=Parametres!$G$3),I399,C399)</f>
        <v>11459.61</v>
      </c>
      <c r="O399" s="655">
        <f>+IF(OR($Q399=Parametres!$G$2,$Q399=Parametres!$G$3),J399,D399)</f>
        <v>1762.41</v>
      </c>
      <c r="P399" s="655">
        <f>+IF(OR($Q399=Parametres!$G$2,$Q399=Parametres!$G$3),K399,E399)</f>
        <v>13222.02</v>
      </c>
      <c r="Q399" s="654" t="str">
        <f t="shared" si="193"/>
        <v>7-Dépenses</v>
      </c>
      <c r="R399" s="653" t="str">
        <f t="shared" si="194"/>
        <v>6194</v>
      </c>
      <c r="S399" s="654" t="str">
        <f t="shared" si="195"/>
        <v>_</v>
      </c>
      <c r="T399" s="656" t="str">
        <f>+VLOOKUP($L399,Data_Validation!$A:$D,1,0)</f>
        <v>6794</v>
      </c>
      <c r="U399" s="656" t="str">
        <f>+VLOOKUP($L399,Data_Validation!$A:$D,3,0)</f>
        <v>Pièces</v>
      </c>
      <c r="V399" s="656" t="str">
        <f>+VLOOKUP($L399,Data_Validation!$A:$D,4,0)</f>
        <v>Honoraires</v>
      </c>
      <c r="W399" s="656" t="str">
        <f>+VLOOKUP($L399,Data_Validation!$A:$E,5,0)</f>
        <v>$</v>
      </c>
      <c r="X399" s="656">
        <f>+VLOOKUP($L399,Data_Validation!$A:$F,6,0)</f>
        <v>0</v>
      </c>
    </row>
    <row r="400" spans="1:24" ht="15.75" customHeight="1">
      <c r="A400" s="1332" t="s">
        <v>1287</v>
      </c>
      <c r="B400" s="1332" t="s">
        <v>2751</v>
      </c>
      <c r="C400" s="1334">
        <v>-138717</v>
      </c>
      <c r="D400" s="1334">
        <v>-129222.85</v>
      </c>
      <c r="E400" s="1334">
        <v>-267939.84999999998</v>
      </c>
      <c r="F400" s="1332" t="s">
        <v>1285</v>
      </c>
      <c r="G400" s="1332" t="s">
        <v>1286</v>
      </c>
      <c r="H400" s="1332" t="s">
        <v>3942</v>
      </c>
      <c r="I400" s="966"/>
      <c r="J400" s="966"/>
      <c r="K400" s="966"/>
      <c r="L400" s="653" t="str">
        <f t="shared" si="191"/>
        <v>9149</v>
      </c>
      <c r="M400" s="654" t="str">
        <f t="shared" si="192"/>
        <v>REVENU RESERVE VOLKS</v>
      </c>
      <c r="N400" s="655">
        <f>+IF(OR($Q400=Parametres!$G$2,$Q400=Parametres!$G$3),I400,C400)</f>
        <v>-138717</v>
      </c>
      <c r="O400" s="655">
        <f>+IF(OR($Q400=Parametres!$G$2,$Q400=Parametres!$G$3),J400,D400)</f>
        <v>-129222.85</v>
      </c>
      <c r="P400" s="655">
        <f>+IF(OR($Q400=Parametres!$G$2,$Q400=Parametres!$G$3),K400,E400)</f>
        <v>-267939.84999999998</v>
      </c>
      <c r="Q400" s="654" t="str">
        <f t="shared" si="193"/>
        <v>8-Autres revenus</v>
      </c>
      <c r="R400" s="653" t="str">
        <f t="shared" si="194"/>
        <v>9101</v>
      </c>
      <c r="S400" s="654" t="str">
        <f t="shared" si="195"/>
        <v>_</v>
      </c>
      <c r="T400" s="656" t="str">
        <f>+VLOOKUP($L400,Data_Validation!$A:$D,1,0)</f>
        <v>9149</v>
      </c>
      <c r="U400" s="656" t="str">
        <f>+VLOOKUP($L400,Data_Validation!$A:$D,3,0)</f>
        <v>Véhicules neufs</v>
      </c>
      <c r="V400" s="656" t="str">
        <f>+VLOOKUP($L400,Data_Validation!$A:$D,4,0)</f>
        <v>Holdbacks</v>
      </c>
      <c r="W400" s="656" t="str">
        <f>+VLOOKUP($L400,Data_Validation!$A:$E,5,0)</f>
        <v>$</v>
      </c>
      <c r="X400" s="656">
        <f>+VLOOKUP($L400,Data_Validation!$A:$F,6,0)</f>
        <v>0</v>
      </c>
    </row>
    <row r="401" spans="1:24" ht="15.75" customHeight="1">
      <c r="A401" s="1332" t="s">
        <v>1288</v>
      </c>
      <c r="B401" s="1332" t="s">
        <v>1289</v>
      </c>
      <c r="C401" s="1334">
        <v>-17864.03</v>
      </c>
      <c r="D401" s="1334">
        <v>-5264.54</v>
      </c>
      <c r="E401" s="1334">
        <v>-23128.57</v>
      </c>
      <c r="F401" s="1332" t="s">
        <v>1285</v>
      </c>
      <c r="G401" s="1332" t="s">
        <v>1289</v>
      </c>
      <c r="H401" s="1332" t="s">
        <v>3942</v>
      </c>
      <c r="I401" s="1333"/>
      <c r="J401" s="1333"/>
      <c r="K401" s="1333"/>
      <c r="L401" s="653" t="str">
        <f t="shared" si="191"/>
        <v>9152</v>
      </c>
      <c r="M401" s="654" t="str">
        <f t="shared" si="192"/>
        <v>ESCOMPTES SUR ACHAT PIECES</v>
      </c>
      <c r="N401" s="655">
        <f>+IF(OR($Q401=Parametres!$G$2,$Q401=Parametres!$G$3),I401,C401)</f>
        <v>-17864.03</v>
      </c>
      <c r="O401" s="655">
        <f>+IF(OR($Q401=Parametres!$G$2,$Q401=Parametres!$G$3),J401,D401)</f>
        <v>-5264.54</v>
      </c>
      <c r="P401" s="655">
        <f>+IF(OR($Q401=Parametres!$G$2,$Q401=Parametres!$G$3),K401,E401)</f>
        <v>-23128.57</v>
      </c>
      <c r="Q401" s="654" t="str">
        <f t="shared" si="193"/>
        <v>8-Autres revenus</v>
      </c>
      <c r="R401" s="653" t="str">
        <f t="shared" si="194"/>
        <v>9152</v>
      </c>
      <c r="S401" s="654" t="str">
        <f t="shared" si="195"/>
        <v>_</v>
      </c>
      <c r="T401" s="656" t="str">
        <f>+VLOOKUP($L401,Data_Validation!$A:$D,1,0)</f>
        <v>9152</v>
      </c>
      <c r="U401" s="656" t="str">
        <f>+VLOOKUP($L401,Data_Validation!$A:$D,3,0)</f>
        <v>Pièces</v>
      </c>
      <c r="V401" s="656" t="str">
        <f>+VLOOKUP($L401,Data_Validation!$A:$D,4,0)</f>
        <v>Escomptes</v>
      </c>
      <c r="W401" s="656" t="str">
        <f>+VLOOKUP($L401,Data_Validation!$A:$E,5,0)</f>
        <v>$</v>
      </c>
      <c r="X401" s="656">
        <f>+VLOOKUP($L401,Data_Validation!$A:$F,6,0)</f>
        <v>0</v>
      </c>
    </row>
    <row r="402" spans="1:24" ht="15.75" customHeight="1">
      <c r="A402" s="1332" t="s">
        <v>3414</v>
      </c>
      <c r="B402" s="1332" t="s">
        <v>2756</v>
      </c>
      <c r="C402" s="1334">
        <v>-29700</v>
      </c>
      <c r="D402" s="1334">
        <v>-37700</v>
      </c>
      <c r="E402" s="1334">
        <v>-67400</v>
      </c>
      <c r="F402" s="1332" t="s">
        <v>1285</v>
      </c>
      <c r="G402" s="1332" t="s">
        <v>3415</v>
      </c>
      <c r="H402" s="1332" t="s">
        <v>3942</v>
      </c>
      <c r="I402" s="1333"/>
      <c r="J402" s="1333"/>
      <c r="K402" s="1333"/>
      <c r="L402" s="653" t="str">
        <f t="shared" si="191"/>
        <v>9157</v>
      </c>
      <c r="M402" s="654" t="str">
        <f t="shared" si="192"/>
        <v>BONUS EXPERIENCE + - NV</v>
      </c>
      <c r="N402" s="655">
        <f>+IF(OR($Q402=Parametres!$G$2,$Q402=Parametres!$G$3),I402,C402)</f>
        <v>-29700</v>
      </c>
      <c r="O402" s="655">
        <f>+IF(OR($Q402=Parametres!$G$2,$Q402=Parametres!$G$3),J402,D402)</f>
        <v>-37700</v>
      </c>
      <c r="P402" s="655">
        <f>+IF(OR($Q402=Parametres!$G$2,$Q402=Parametres!$G$3),K402,E402)</f>
        <v>-67400</v>
      </c>
      <c r="Q402" s="654" t="str">
        <f t="shared" si="193"/>
        <v>8-Autres revenus</v>
      </c>
      <c r="R402" s="653" t="str">
        <f t="shared" si="194"/>
        <v>915</v>
      </c>
      <c r="S402" s="654" t="str">
        <f t="shared" si="195"/>
        <v>_</v>
      </c>
      <c r="T402" s="656" t="str">
        <f>+VLOOKUP($L402,Data_Validation!$A:$D,1,0)</f>
        <v>9157</v>
      </c>
      <c r="U402" s="656" t="str">
        <f>+VLOOKUP($L402,Data_Validation!$A:$D,3,0)</f>
        <v>Véhicules neufs</v>
      </c>
      <c r="V402" s="656" t="str">
        <f>+VLOOKUP($L402,Data_Validation!$A:$D,4,0)</f>
        <v>Programme neuf 1</v>
      </c>
      <c r="W402" s="656" t="str">
        <f>+VLOOKUP($L402,Data_Validation!$A:$E,5,0)</f>
        <v>$</v>
      </c>
      <c r="X402" s="656">
        <f>+VLOOKUP($L402,Data_Validation!$A:$F,6,0)</f>
        <v>0</v>
      </c>
    </row>
    <row r="403" spans="1:24" ht="15.75" customHeight="1">
      <c r="A403" s="1332" t="s">
        <v>1290</v>
      </c>
      <c r="B403" s="1332" t="s">
        <v>1291</v>
      </c>
      <c r="C403" s="1334">
        <v>-2265.35</v>
      </c>
      <c r="D403" s="1334">
        <v>-450</v>
      </c>
      <c r="E403" s="1334">
        <v>-2715.35</v>
      </c>
      <c r="F403" s="1332" t="s">
        <v>1285</v>
      </c>
      <c r="G403" s="1332" t="s">
        <v>1291</v>
      </c>
      <c r="H403" s="1332" t="s">
        <v>3942</v>
      </c>
      <c r="I403" s="1333"/>
      <c r="J403" s="1333"/>
      <c r="K403" s="1333"/>
      <c r="L403" s="653" t="str">
        <f t="shared" si="191"/>
        <v>9161</v>
      </c>
      <c r="M403" s="654" t="str">
        <f t="shared" si="192"/>
        <v>REVENU FIN ET ASS NEUF</v>
      </c>
      <c r="N403" s="655">
        <f>+IF(OR($Q403=Parametres!$G$2,$Q403=Parametres!$G$3),I403,C403)</f>
        <v>-2265.35</v>
      </c>
      <c r="O403" s="655">
        <f>+IF(OR($Q403=Parametres!$G$2,$Q403=Parametres!$G$3),J403,D403)</f>
        <v>-450</v>
      </c>
      <c r="P403" s="655">
        <f>+IF(OR($Q403=Parametres!$G$2,$Q403=Parametres!$G$3),K403,E403)</f>
        <v>-2715.35</v>
      </c>
      <c r="Q403" s="654" t="str">
        <f t="shared" si="193"/>
        <v>8-Autres revenus</v>
      </c>
      <c r="R403" s="653" t="str">
        <f t="shared" si="194"/>
        <v>9161</v>
      </c>
      <c r="S403" s="654" t="str">
        <f t="shared" si="195"/>
        <v>_</v>
      </c>
      <c r="T403" s="656" t="str">
        <f>+VLOOKUP($L403,Data_Validation!$A:$D,1,0)</f>
        <v>9161</v>
      </c>
      <c r="U403" s="656" t="str">
        <f>+VLOOKUP($L403,Data_Validation!$A:$D,3,0)</f>
        <v>Véhicules neufs</v>
      </c>
      <c r="V403" s="656" t="str">
        <f>+VLOOKUP($L403,Data_Validation!$A:$D,4,0)</f>
        <v>Rev. Finances</v>
      </c>
      <c r="W403" s="656" t="str">
        <f>+VLOOKUP($L403,Data_Validation!$A:$E,5,0)</f>
        <v>$</v>
      </c>
      <c r="X403" s="656" t="str">
        <f>+VLOOKUP($L403,Data_Validation!$A:$F,6,0)</f>
        <v>Oui</v>
      </c>
    </row>
    <row r="404" spans="1:24" ht="15.75" customHeight="1">
      <c r="A404" s="1332" t="s">
        <v>1294</v>
      </c>
      <c r="B404" s="1332" t="s">
        <v>1295</v>
      </c>
      <c r="C404" s="1334">
        <v>-11594.66</v>
      </c>
      <c r="D404" s="1334">
        <v>-4313</v>
      </c>
      <c r="E404" s="1334">
        <v>-15907.66</v>
      </c>
      <c r="F404" s="1332" t="s">
        <v>1285</v>
      </c>
      <c r="G404" s="1332" t="s">
        <v>1295</v>
      </c>
      <c r="H404" s="1332" t="s">
        <v>3942</v>
      </c>
      <c r="I404" s="1333"/>
      <c r="J404" s="1333"/>
      <c r="K404" s="1333"/>
      <c r="L404" s="653" t="str">
        <f t="shared" si="191"/>
        <v>9163</v>
      </c>
      <c r="M404" s="654" t="str">
        <f t="shared" si="192"/>
        <v>RESERVE FIN ET ASS VEH OCCASION</v>
      </c>
      <c r="N404" s="655">
        <f>+IF(OR($Q404=Parametres!$G$2,$Q404=Parametres!$G$3),I404,C404)</f>
        <v>-11594.66</v>
      </c>
      <c r="O404" s="655">
        <f>+IF(OR($Q404=Parametres!$G$2,$Q404=Parametres!$G$3),J404,D404)</f>
        <v>-4313</v>
      </c>
      <c r="P404" s="655">
        <f>+IF(OR($Q404=Parametres!$G$2,$Q404=Parametres!$G$3),K404,E404)</f>
        <v>-15907.66</v>
      </c>
      <c r="Q404" s="654" t="str">
        <f t="shared" si="193"/>
        <v>8-Autres revenus</v>
      </c>
      <c r="R404" s="653" t="str">
        <f t="shared" si="194"/>
        <v>9163</v>
      </c>
      <c r="S404" s="654" t="str">
        <f t="shared" si="195"/>
        <v>_</v>
      </c>
      <c r="T404" s="656" t="str">
        <f>+VLOOKUP($L404,Data_Validation!$A:$D,1,0)</f>
        <v>9163</v>
      </c>
      <c r="U404" s="656" t="str">
        <f>+VLOOKUP($L404,Data_Validation!$A:$D,3,0)</f>
        <v>Véhicules usagés</v>
      </c>
      <c r="V404" s="656" t="str">
        <f>+VLOOKUP($L404,Data_Validation!$A:$D,4,0)</f>
        <v>Rev. Finances</v>
      </c>
      <c r="W404" s="656" t="str">
        <f>+VLOOKUP($L404,Data_Validation!$A:$E,5,0)</f>
        <v>$</v>
      </c>
      <c r="X404" s="656" t="str">
        <f>+VLOOKUP($L404,Data_Validation!$A:$F,6,0)</f>
        <v>Oui</v>
      </c>
    </row>
    <row r="405" spans="1:24" ht="15.75" customHeight="1">
      <c r="A405" s="1332" t="s">
        <v>1297</v>
      </c>
      <c r="B405" s="1332" t="s">
        <v>2763</v>
      </c>
      <c r="C405" s="1334">
        <v>-1493.7</v>
      </c>
      <c r="D405" s="1334">
        <v>-402.16</v>
      </c>
      <c r="E405" s="1334">
        <v>-1895.86</v>
      </c>
      <c r="F405" s="1332" t="s">
        <v>1285</v>
      </c>
      <c r="G405" s="1332" t="s">
        <v>1291</v>
      </c>
      <c r="H405" s="1332" t="s">
        <v>3942</v>
      </c>
      <c r="I405" s="1333"/>
      <c r="J405" s="1333"/>
      <c r="K405" s="1333"/>
      <c r="L405" s="653" t="str">
        <f t="shared" si="191"/>
        <v>9165</v>
      </c>
      <c r="M405" s="654" t="str">
        <f t="shared" si="192"/>
        <v>REV. ASSURANCES NEUF</v>
      </c>
      <c r="N405" s="655">
        <f>+IF(OR($Q405=Parametres!$G$2,$Q405=Parametres!$G$3),I405,C405)</f>
        <v>-1493.7</v>
      </c>
      <c r="O405" s="655">
        <f>+IF(OR($Q405=Parametres!$G$2,$Q405=Parametres!$G$3),J405,D405)</f>
        <v>-402.16</v>
      </c>
      <c r="P405" s="655">
        <f>+IF(OR($Q405=Parametres!$G$2,$Q405=Parametres!$G$3),K405,E405)</f>
        <v>-1895.86</v>
      </c>
      <c r="Q405" s="654" t="str">
        <f t="shared" si="193"/>
        <v>8-Autres revenus</v>
      </c>
      <c r="R405" s="653" t="str">
        <f t="shared" si="194"/>
        <v>9161</v>
      </c>
      <c r="S405" s="654" t="str">
        <f t="shared" si="195"/>
        <v>_</v>
      </c>
      <c r="T405" s="656" t="str">
        <f>+VLOOKUP($L405,Data_Validation!$A:$D,1,0)</f>
        <v>9165</v>
      </c>
      <c r="U405" s="656" t="str">
        <f>+VLOOKUP($L405,Data_Validation!$A:$D,3,0)</f>
        <v>Véhicules neufs</v>
      </c>
      <c r="V405" s="656" t="str">
        <f>+VLOOKUP($L405,Data_Validation!$A:$D,4,0)</f>
        <v>Rev. Autres</v>
      </c>
      <c r="W405" s="656" t="str">
        <f>+VLOOKUP($L405,Data_Validation!$A:$E,5,0)</f>
        <v>$</v>
      </c>
      <c r="X405" s="656" t="str">
        <f>+VLOOKUP($L405,Data_Validation!$A:$F,6,0)</f>
        <v>Oui</v>
      </c>
    </row>
    <row r="406" spans="1:24" ht="15.75" customHeight="1">
      <c r="A406" s="1332" t="s">
        <v>1298</v>
      </c>
      <c r="B406" s="1332" t="s">
        <v>2766</v>
      </c>
      <c r="C406" s="1334">
        <v>-1112.6500000000001</v>
      </c>
      <c r="D406" s="1334">
        <v>0</v>
      </c>
      <c r="E406" s="1334">
        <v>-1112.6500000000001</v>
      </c>
      <c r="F406" s="1332" t="s">
        <v>1285</v>
      </c>
      <c r="G406" s="1332" t="s">
        <v>1295</v>
      </c>
      <c r="H406" s="1332" t="s">
        <v>3942</v>
      </c>
      <c r="I406" s="1333"/>
      <c r="J406" s="1333"/>
      <c r="K406" s="1333"/>
      <c r="L406" s="653" t="str">
        <f t="shared" si="191"/>
        <v>9167</v>
      </c>
      <c r="M406" s="654" t="str">
        <f t="shared" si="192"/>
        <v>REV ASSURANCE USAGE</v>
      </c>
      <c r="N406" s="655">
        <f>+IF(OR($Q406=Parametres!$G$2,$Q406=Parametres!$G$3),I406,C406)</f>
        <v>-1112.6500000000001</v>
      </c>
      <c r="O406" s="655">
        <f>+IF(OR($Q406=Parametres!$G$2,$Q406=Parametres!$G$3),J406,D406)</f>
        <v>0</v>
      </c>
      <c r="P406" s="655">
        <f>+IF(OR($Q406=Parametres!$G$2,$Q406=Parametres!$G$3),K406,E406)</f>
        <v>-1112.6500000000001</v>
      </c>
      <c r="Q406" s="654" t="str">
        <f t="shared" si="193"/>
        <v>8-Autres revenus</v>
      </c>
      <c r="R406" s="653" t="str">
        <f t="shared" si="194"/>
        <v>9163</v>
      </c>
      <c r="S406" s="654" t="str">
        <f t="shared" si="195"/>
        <v>_</v>
      </c>
      <c r="T406" s="656" t="str">
        <f>+VLOOKUP($L406,Data_Validation!$A:$D,1,0)</f>
        <v>9167</v>
      </c>
      <c r="U406" s="656" t="str">
        <f>+VLOOKUP($L406,Data_Validation!$A:$D,3,0)</f>
        <v>Véhicules usagés</v>
      </c>
      <c r="V406" s="656" t="str">
        <f>+VLOOKUP($L406,Data_Validation!$A:$D,4,0)</f>
        <v>Rev. Autres</v>
      </c>
      <c r="W406" s="656" t="str">
        <f>+VLOOKUP($L406,Data_Validation!$A:$E,5,0)</f>
        <v>$</v>
      </c>
      <c r="X406" s="656" t="str">
        <f>+VLOOKUP($L406,Data_Validation!$A:$F,6,0)</f>
        <v>Oui</v>
      </c>
    </row>
    <row r="407" spans="1:24" ht="15.75" customHeight="1">
      <c r="A407" s="1332" t="s">
        <v>1301</v>
      </c>
      <c r="B407" s="1332" t="s">
        <v>2769</v>
      </c>
      <c r="C407" s="1334">
        <v>-10900</v>
      </c>
      <c r="D407" s="1334">
        <v>-6727</v>
      </c>
      <c r="E407" s="1334">
        <v>-17627</v>
      </c>
      <c r="F407" s="1332" t="s">
        <v>1285</v>
      </c>
      <c r="G407" s="1332" t="s">
        <v>1291</v>
      </c>
      <c r="H407" s="1332" t="s">
        <v>3942</v>
      </c>
      <c r="I407" s="1333"/>
      <c r="J407" s="1333"/>
      <c r="K407" s="1333"/>
      <c r="L407" s="653" t="str">
        <f t="shared" si="191"/>
        <v>9169</v>
      </c>
      <c r="M407" s="654" t="str">
        <f t="shared" si="192"/>
        <v>REV GARANTIE PROLONGEE NEUF</v>
      </c>
      <c r="N407" s="655">
        <f>+IF(OR($Q407=Parametres!$G$2,$Q407=Parametres!$G$3),I407,C407)</f>
        <v>-10900</v>
      </c>
      <c r="O407" s="655">
        <f>+IF(OR($Q407=Parametres!$G$2,$Q407=Parametres!$G$3),J407,D407)</f>
        <v>-6727</v>
      </c>
      <c r="P407" s="655">
        <f>+IF(OR($Q407=Parametres!$G$2,$Q407=Parametres!$G$3),K407,E407)</f>
        <v>-17627</v>
      </c>
      <c r="Q407" s="654" t="str">
        <f t="shared" si="193"/>
        <v>8-Autres revenus</v>
      </c>
      <c r="R407" s="653" t="str">
        <f t="shared" si="194"/>
        <v>9161</v>
      </c>
      <c r="S407" s="654" t="str">
        <f t="shared" si="195"/>
        <v>_</v>
      </c>
      <c r="T407" s="656" t="str">
        <f>+VLOOKUP($L407,Data_Validation!$A:$D,1,0)</f>
        <v>9169</v>
      </c>
      <c r="U407" s="656" t="str">
        <f>+VLOOKUP($L407,Data_Validation!$A:$D,3,0)</f>
        <v>Véhicules neufs</v>
      </c>
      <c r="V407" s="656" t="str">
        <f>+VLOOKUP($L407,Data_Validation!$A:$D,4,0)</f>
        <v>Rev. Protections</v>
      </c>
      <c r="W407" s="656" t="str">
        <f>+VLOOKUP($L407,Data_Validation!$A:$E,5,0)</f>
        <v>$</v>
      </c>
      <c r="X407" s="656" t="str">
        <f>+VLOOKUP($L407,Data_Validation!$A:$F,6,0)</f>
        <v>Oui</v>
      </c>
    </row>
    <row r="408" spans="1:24" ht="15.75" customHeight="1">
      <c r="A408" s="1332" t="s">
        <v>1302</v>
      </c>
      <c r="B408" s="1332" t="s">
        <v>2772</v>
      </c>
      <c r="C408" s="1334">
        <v>-65962.25</v>
      </c>
      <c r="D408" s="1334">
        <v>-47998.11</v>
      </c>
      <c r="E408" s="1334">
        <v>-113960.36</v>
      </c>
      <c r="F408" s="1332" t="s">
        <v>1285</v>
      </c>
      <c r="G408" s="1332" t="s">
        <v>1291</v>
      </c>
      <c r="H408" s="1332" t="s">
        <v>3942</v>
      </c>
      <c r="I408" s="1333"/>
      <c r="J408" s="1333"/>
      <c r="K408" s="1333"/>
      <c r="L408" s="653" t="str">
        <f t="shared" si="191"/>
        <v>9170</v>
      </c>
      <c r="M408" s="654" t="str">
        <f t="shared" si="192"/>
        <v>PROFIT PROTECTIONS - NEUFS</v>
      </c>
      <c r="N408" s="655">
        <f>+IF(OR($Q408=Parametres!$G$2,$Q408=Parametres!$G$3),I408,C408)</f>
        <v>-65962.25</v>
      </c>
      <c r="O408" s="655">
        <f>+IF(OR($Q408=Parametres!$G$2,$Q408=Parametres!$G$3),J408,D408)</f>
        <v>-47998.11</v>
      </c>
      <c r="P408" s="655">
        <f>+IF(OR($Q408=Parametres!$G$2,$Q408=Parametres!$G$3),K408,E408)</f>
        <v>-113960.36</v>
      </c>
      <c r="Q408" s="654" t="str">
        <f t="shared" si="193"/>
        <v>8-Autres revenus</v>
      </c>
      <c r="R408" s="653" t="str">
        <f t="shared" si="194"/>
        <v>9161</v>
      </c>
      <c r="S408" s="654" t="str">
        <f t="shared" si="195"/>
        <v>_</v>
      </c>
      <c r="T408" s="656" t="str">
        <f>+VLOOKUP($L408,Data_Validation!$A:$D,1,0)</f>
        <v>9170</v>
      </c>
      <c r="U408" s="656" t="str">
        <f>+VLOOKUP($L408,Data_Validation!$A:$D,3,0)</f>
        <v>Véhicules neufs</v>
      </c>
      <c r="V408" s="656" t="str">
        <f>+VLOOKUP($L408,Data_Validation!$A:$D,4,0)</f>
        <v>Rev. Protections</v>
      </c>
      <c r="W408" s="656" t="str">
        <f>+VLOOKUP($L408,Data_Validation!$A:$E,5,0)</f>
        <v>$</v>
      </c>
      <c r="X408" s="656" t="str">
        <f>+VLOOKUP($L408,Data_Validation!$A:$F,6,0)</f>
        <v>Oui</v>
      </c>
    </row>
    <row r="409" spans="1:24" ht="15.75" customHeight="1">
      <c r="A409" s="1332" t="s">
        <v>1303</v>
      </c>
      <c r="B409" s="1332" t="s">
        <v>2775</v>
      </c>
      <c r="C409" s="1334">
        <v>-40548</v>
      </c>
      <c r="D409" s="1334">
        <v>-10000</v>
      </c>
      <c r="E409" s="1334">
        <v>-50548</v>
      </c>
      <c r="F409" s="1332" t="s">
        <v>1285</v>
      </c>
      <c r="G409" s="1332" t="s">
        <v>1295</v>
      </c>
      <c r="H409" s="1332" t="s">
        <v>3942</v>
      </c>
      <c r="I409" s="1333"/>
      <c r="J409" s="1333"/>
      <c r="K409" s="1333"/>
      <c r="L409" s="653" t="str">
        <f t="shared" si="191"/>
        <v>9171</v>
      </c>
      <c r="M409" s="654" t="str">
        <f t="shared" si="192"/>
        <v>REV GARANTIE PROLONGEE USAGE</v>
      </c>
      <c r="N409" s="655">
        <f>+IF(OR($Q409=Parametres!$G$2,$Q409=Parametres!$G$3),I409,C409)</f>
        <v>-40548</v>
      </c>
      <c r="O409" s="655">
        <f>+IF(OR($Q409=Parametres!$G$2,$Q409=Parametres!$G$3),J409,D409)</f>
        <v>-10000</v>
      </c>
      <c r="P409" s="655">
        <f>+IF(OR($Q409=Parametres!$G$2,$Q409=Parametres!$G$3),K409,E409)</f>
        <v>-50548</v>
      </c>
      <c r="Q409" s="654" t="str">
        <f t="shared" si="193"/>
        <v>8-Autres revenus</v>
      </c>
      <c r="R409" s="653" t="str">
        <f t="shared" si="194"/>
        <v>9163</v>
      </c>
      <c r="S409" s="654" t="str">
        <f t="shared" si="195"/>
        <v>_</v>
      </c>
      <c r="T409" s="656" t="str">
        <f>+VLOOKUP($L409,Data_Validation!$A:$D,1,0)</f>
        <v>9171</v>
      </c>
      <c r="U409" s="656" t="str">
        <f>+VLOOKUP($L409,Data_Validation!$A:$D,3,0)</f>
        <v>Véhicules usagés</v>
      </c>
      <c r="V409" s="656" t="str">
        <f>+VLOOKUP($L409,Data_Validation!$A:$D,4,0)</f>
        <v>Rev. Protections</v>
      </c>
      <c r="W409" s="656" t="str">
        <f>+VLOOKUP($L409,Data_Validation!$A:$E,5,0)</f>
        <v>$</v>
      </c>
      <c r="X409" s="656" t="str">
        <f>+VLOOKUP($L409,Data_Validation!$A:$F,6,0)</f>
        <v>Oui</v>
      </c>
    </row>
    <row r="410" spans="1:24" ht="15.75" customHeight="1">
      <c r="A410" s="1332" t="s">
        <v>1306</v>
      </c>
      <c r="B410" s="1332" t="s">
        <v>2778</v>
      </c>
      <c r="C410" s="1334">
        <v>-24731.7</v>
      </c>
      <c r="D410" s="1334">
        <v>-11281.91</v>
      </c>
      <c r="E410" s="1334">
        <v>-36013.61</v>
      </c>
      <c r="F410" s="1332" t="s">
        <v>1285</v>
      </c>
      <c r="G410" s="1332" t="s">
        <v>1295</v>
      </c>
      <c r="H410" s="1332" t="s">
        <v>3942</v>
      </c>
      <c r="I410" s="1333"/>
      <c r="J410" s="1333"/>
      <c r="K410" s="1333"/>
      <c r="L410" s="653" t="str">
        <f t="shared" si="191"/>
        <v>9172</v>
      </c>
      <c r="M410" s="654" t="str">
        <f t="shared" si="192"/>
        <v>PROFIT PROTECTIONS - USAGES</v>
      </c>
      <c r="N410" s="655">
        <f>+IF(OR($Q410=Parametres!$G$2,$Q410=Parametres!$G$3),I410,C410)</f>
        <v>-24731.7</v>
      </c>
      <c r="O410" s="655">
        <f>+IF(OR($Q410=Parametres!$G$2,$Q410=Parametres!$G$3),J410,D410)</f>
        <v>-11281.91</v>
      </c>
      <c r="P410" s="655">
        <f>+IF(OR($Q410=Parametres!$G$2,$Q410=Parametres!$G$3),K410,E410)</f>
        <v>-36013.61</v>
      </c>
      <c r="Q410" s="654" t="str">
        <f t="shared" si="193"/>
        <v>8-Autres revenus</v>
      </c>
      <c r="R410" s="653" t="str">
        <f t="shared" si="194"/>
        <v>9163</v>
      </c>
      <c r="S410" s="654" t="str">
        <f t="shared" si="195"/>
        <v>_</v>
      </c>
      <c r="T410" s="656" t="str">
        <f>+VLOOKUP($L410,Data_Validation!$A:$D,1,0)</f>
        <v>9172</v>
      </c>
      <c r="U410" s="656" t="str">
        <f>+VLOOKUP($L410,Data_Validation!$A:$D,3,0)</f>
        <v>Véhicules usagés</v>
      </c>
      <c r="V410" s="656" t="str">
        <f>+VLOOKUP($L410,Data_Validation!$A:$D,4,0)</f>
        <v>Rev. Protections</v>
      </c>
      <c r="W410" s="656" t="str">
        <f>+VLOOKUP($L410,Data_Validation!$A:$E,5,0)</f>
        <v>$</v>
      </c>
      <c r="X410" s="656" t="str">
        <f>+VLOOKUP($L410,Data_Validation!$A:$F,6,0)</f>
        <v>Oui</v>
      </c>
    </row>
    <row r="411" spans="1:24" ht="15.75" customHeight="1">
      <c r="A411" s="1332" t="s">
        <v>1309</v>
      </c>
      <c r="B411" s="1332" t="s">
        <v>2781</v>
      </c>
      <c r="C411" s="1334">
        <v>-43017</v>
      </c>
      <c r="D411" s="1334">
        <v>-25691</v>
      </c>
      <c r="E411" s="1334">
        <v>-68708</v>
      </c>
      <c r="F411" s="1332" t="s">
        <v>1285</v>
      </c>
      <c r="G411" s="1332" t="s">
        <v>1310</v>
      </c>
      <c r="H411" s="1332" t="s">
        <v>3942</v>
      </c>
      <c r="I411" s="1333"/>
      <c r="J411" s="1333"/>
      <c r="K411" s="1333"/>
      <c r="L411" s="653" t="str">
        <f t="shared" si="191"/>
        <v>9173</v>
      </c>
      <c r="M411" s="654" t="str">
        <f t="shared" si="192"/>
        <v>FRAIS ADMIN. VOLKS</v>
      </c>
      <c r="N411" s="655">
        <f>+IF(OR($Q411=Parametres!$G$2,$Q411=Parametres!$G$3),I411,C411)</f>
        <v>-43017</v>
      </c>
      <c r="O411" s="655">
        <f>+IF(OR($Q411=Parametres!$G$2,$Q411=Parametres!$G$3),J411,D411)</f>
        <v>-25691</v>
      </c>
      <c r="P411" s="655">
        <f>+IF(OR($Q411=Parametres!$G$2,$Q411=Parametres!$G$3),K411,E411)</f>
        <v>-68708</v>
      </c>
      <c r="Q411" s="654" t="str">
        <f t="shared" si="193"/>
        <v>8-Autres revenus</v>
      </c>
      <c r="R411" s="653" t="str">
        <f t="shared" si="194"/>
        <v>9191</v>
      </c>
      <c r="S411" s="654" t="str">
        <f t="shared" si="195"/>
        <v>_</v>
      </c>
      <c r="T411" s="656" t="str">
        <f>+VLOOKUP($L411,Data_Validation!$A:$D,1,0)</f>
        <v>9173</v>
      </c>
      <c r="U411" s="656" t="str">
        <f>+VLOOKUP($L411,Data_Validation!$A:$D,3,0)</f>
        <v>Véhicules neufs</v>
      </c>
      <c r="V411" s="656" t="str">
        <f>+VLOOKUP($L411,Data_Validation!$A:$D,4,0)</f>
        <v>Frais administration</v>
      </c>
      <c r="W411" s="656" t="str">
        <f>+VLOOKUP($L411,Data_Validation!$A:$E,5,0)</f>
        <v>$</v>
      </c>
      <c r="X411" s="656">
        <f>+VLOOKUP($L411,Data_Validation!$A:$F,6,0)</f>
        <v>0</v>
      </c>
    </row>
    <row r="412" spans="1:24" ht="15.75" customHeight="1">
      <c r="A412" s="1332" t="s">
        <v>1311</v>
      </c>
      <c r="B412" s="1332" t="s">
        <v>3403</v>
      </c>
      <c r="C412" s="1334">
        <v>-24669</v>
      </c>
      <c r="D412" s="1334">
        <v>-8652</v>
      </c>
      <c r="E412" s="1334">
        <v>-33321</v>
      </c>
      <c r="F412" s="1332" t="s">
        <v>1285</v>
      </c>
      <c r="G412" s="1332" t="s">
        <v>1310</v>
      </c>
      <c r="H412" s="1332" t="s">
        <v>3942</v>
      </c>
      <c r="I412" s="1333"/>
      <c r="J412" s="1333"/>
      <c r="K412" s="1333"/>
      <c r="L412" s="653" t="str">
        <f t="shared" si="191"/>
        <v>9174</v>
      </c>
      <c r="M412" s="654" t="str">
        <f t="shared" si="192"/>
        <v>FRAIS ADMIN. VW USAGE</v>
      </c>
      <c r="N412" s="655">
        <f>+IF(OR($Q412=Parametres!$G$2,$Q412=Parametres!$G$3),I412,C412)</f>
        <v>-24669</v>
      </c>
      <c r="O412" s="655">
        <f>+IF(OR($Q412=Parametres!$G$2,$Q412=Parametres!$G$3),J412,D412)</f>
        <v>-8652</v>
      </c>
      <c r="P412" s="655">
        <f>+IF(OR($Q412=Parametres!$G$2,$Q412=Parametres!$G$3),K412,E412)</f>
        <v>-33321</v>
      </c>
      <c r="Q412" s="654" t="str">
        <f t="shared" si="193"/>
        <v>8-Autres revenus</v>
      </c>
      <c r="R412" s="653" t="str">
        <f t="shared" si="194"/>
        <v>9191</v>
      </c>
      <c r="S412" s="654" t="str">
        <f t="shared" si="195"/>
        <v>_</v>
      </c>
      <c r="T412" s="656" t="str">
        <f>+VLOOKUP($L412,Data_Validation!$A:$D,1,0)</f>
        <v>9174</v>
      </c>
      <c r="U412" s="656" t="str">
        <f>+VLOOKUP($L412,Data_Validation!$A:$D,3,0)</f>
        <v>Véhicules usagés</v>
      </c>
      <c r="V412" s="656" t="str">
        <f>+VLOOKUP($L412,Data_Validation!$A:$D,4,0)</f>
        <v>Frais administration</v>
      </c>
      <c r="W412" s="656" t="str">
        <f>+VLOOKUP($L412,Data_Validation!$A:$E,5,0)</f>
        <v>$</v>
      </c>
      <c r="X412" s="656">
        <f>+VLOOKUP($L412,Data_Validation!$A:$F,6,0)</f>
        <v>0</v>
      </c>
    </row>
    <row r="413" spans="1:24" ht="15.75" customHeight="1">
      <c r="A413" s="1332" t="s">
        <v>1312</v>
      </c>
      <c r="B413" s="1332" t="s">
        <v>1310</v>
      </c>
      <c r="C413" s="1334">
        <v>-9080.56</v>
      </c>
      <c r="D413" s="1334">
        <v>-50186.14</v>
      </c>
      <c r="E413" s="1334">
        <v>-59266.7</v>
      </c>
      <c r="F413" s="1332" t="s">
        <v>1285</v>
      </c>
      <c r="G413" s="1332" t="s">
        <v>1310</v>
      </c>
      <c r="H413" s="1332" t="s">
        <v>3942</v>
      </c>
      <c r="I413" s="1333"/>
      <c r="J413" s="1333"/>
      <c r="K413" s="1333"/>
      <c r="L413" s="653" t="str">
        <f t="shared" si="191"/>
        <v>9191</v>
      </c>
      <c r="M413" s="654" t="str">
        <f t="shared" si="192"/>
        <v>REVENUS DIVERS</v>
      </c>
      <c r="N413" s="655">
        <f>+IF(OR($Q413=Parametres!$G$2,$Q413=Parametres!$G$3),I413,C413)</f>
        <v>-9080.56</v>
      </c>
      <c r="O413" s="655">
        <f>+IF(OR($Q413=Parametres!$G$2,$Q413=Parametres!$G$3),J413,D413)</f>
        <v>-50186.14</v>
      </c>
      <c r="P413" s="655">
        <f>+IF(OR($Q413=Parametres!$G$2,$Q413=Parametres!$G$3),K413,E413)</f>
        <v>-59266.7</v>
      </c>
      <c r="Q413" s="654" t="str">
        <f t="shared" si="193"/>
        <v>8-Autres revenus</v>
      </c>
      <c r="R413" s="653" t="str">
        <f t="shared" si="194"/>
        <v>9191</v>
      </c>
      <c r="S413" s="654" t="str">
        <f t="shared" si="195"/>
        <v>_</v>
      </c>
      <c r="T413" s="656" t="str">
        <f>+VLOOKUP($L413,Data_Validation!$A:$D,1,0)</f>
        <v>9191</v>
      </c>
      <c r="U413" s="656" t="str">
        <f>+VLOOKUP($L413,Data_Validation!$A:$D,3,0)</f>
        <v>TOTAL  DES  REVENUS  ET  DÉPENSES</v>
      </c>
      <c r="V413" s="656" t="str">
        <f>+VLOOKUP($L413,Data_Validation!$A:$D,4,0)</f>
        <v>Revenus autres</v>
      </c>
      <c r="W413" s="656" t="str">
        <f>+VLOOKUP($L413,Data_Validation!$A:$E,5,0)</f>
        <v>$</v>
      </c>
      <c r="X413" s="656">
        <f>+VLOOKUP($L413,Data_Validation!$A:$F,6,0)</f>
        <v>0</v>
      </c>
    </row>
    <row r="414" spans="1:24" ht="15.75" customHeight="1">
      <c r="A414" s="1332" t="s">
        <v>1316</v>
      </c>
      <c r="B414" s="1332" t="s">
        <v>2791</v>
      </c>
      <c r="C414" s="1334">
        <v>21977.26</v>
      </c>
      <c r="D414" s="1334">
        <v>27446.79</v>
      </c>
      <c r="E414" s="1334">
        <v>49424.05</v>
      </c>
      <c r="F414" s="1332" t="s">
        <v>1314</v>
      </c>
      <c r="G414" s="1332" t="s">
        <v>1315</v>
      </c>
      <c r="H414" s="1332" t="s">
        <v>3942</v>
      </c>
      <c r="I414" s="1333"/>
      <c r="J414" s="1333"/>
      <c r="K414" s="1333"/>
      <c r="L414" s="653" t="str">
        <f t="shared" si="191"/>
        <v>9404</v>
      </c>
      <c r="M414" s="654" t="str">
        <f t="shared" si="192"/>
        <v>INTERETS SUR PRET</v>
      </c>
      <c r="N414" s="655">
        <f>+IF(OR($Q414=Parametres!$G$2,$Q414=Parametres!$G$3),I414,C414)</f>
        <v>21977.26</v>
      </c>
      <c r="O414" s="655">
        <f>+IF(OR($Q414=Parametres!$G$2,$Q414=Parametres!$G$3),J414,D414)</f>
        <v>27446.79</v>
      </c>
      <c r="P414" s="655">
        <f>+IF(OR($Q414=Parametres!$G$2,$Q414=Parametres!$G$3),K414,E414)</f>
        <v>49424.05</v>
      </c>
      <c r="Q414" s="654" t="str">
        <f t="shared" si="193"/>
        <v>9-Autres déductions</v>
      </c>
      <c r="R414" s="653" t="str">
        <f t="shared" si="194"/>
        <v>9402</v>
      </c>
      <c r="S414" s="654" t="str">
        <f t="shared" si="195"/>
        <v>_</v>
      </c>
      <c r="T414" s="656" t="str">
        <f>+VLOOKUP($L414,Data_Validation!$A:$D,1,0)</f>
        <v>9404</v>
      </c>
      <c r="U414" s="656" t="str">
        <f>+VLOOKUP($L414,Data_Validation!$A:$D,3,0)</f>
        <v>TOTAL  DES  REVENUS  ET  DÉPENSES</v>
      </c>
      <c r="V414" s="656" t="str">
        <f>+VLOOKUP($L414,Data_Validation!$A:$D,4,0)</f>
        <v>Intérêts sur prêt</v>
      </c>
      <c r="W414" s="656" t="str">
        <f>+VLOOKUP($L414,Data_Validation!$A:$E,5,0)</f>
        <v>$</v>
      </c>
      <c r="X414" s="656">
        <f>+VLOOKUP($L414,Data_Validation!$A:$F,6,0)</f>
        <v>0</v>
      </c>
    </row>
    <row r="415" spans="1:24" ht="15.75" customHeight="1">
      <c r="A415" s="1332" t="s">
        <v>3890</v>
      </c>
      <c r="B415" s="1332" t="s">
        <v>3891</v>
      </c>
      <c r="C415" s="1334">
        <v>0</v>
      </c>
      <c r="D415" s="1334">
        <v>-49424.05</v>
      </c>
      <c r="E415" s="1334">
        <v>-49424.05</v>
      </c>
      <c r="F415" s="1332" t="s">
        <v>1314</v>
      </c>
      <c r="G415" s="1332" t="s">
        <v>3964</v>
      </c>
      <c r="H415" s="1332" t="s">
        <v>3942</v>
      </c>
      <c r="I415" s="1333"/>
      <c r="J415" s="1333"/>
      <c r="K415" s="1333"/>
      <c r="L415" s="653" t="str">
        <f t="shared" si="191"/>
        <v>9405</v>
      </c>
      <c r="M415" s="654" t="str">
        <f t="shared" si="192"/>
        <v>Revenus d'interets floor plan</v>
      </c>
      <c r="N415" s="655">
        <f>+IF(OR($Q415=Parametres!$G$2,$Q415=Parametres!$G$3),I415,C415)</f>
        <v>0</v>
      </c>
      <c r="O415" s="655">
        <f>+IF(OR($Q415=Parametres!$G$2,$Q415=Parametres!$G$3),J415,D415)</f>
        <v>-49424.05</v>
      </c>
      <c r="P415" s="655">
        <f>+IF(OR($Q415=Parametres!$G$2,$Q415=Parametres!$G$3),K415,E415)</f>
        <v>-49424.05</v>
      </c>
      <c r="Q415" s="654" t="str">
        <f t="shared" si="193"/>
        <v>9-Autres déductions</v>
      </c>
      <c r="R415" s="653" t="str">
        <f t="shared" si="194"/>
        <v>940</v>
      </c>
      <c r="S415" s="654" t="str">
        <f t="shared" si="195"/>
        <v>_</v>
      </c>
      <c r="T415" s="656" t="str">
        <f>+VLOOKUP($L415,Data_Validation!$A:$D,1,0)</f>
        <v>9405</v>
      </c>
      <c r="U415" s="656" t="str">
        <f>+VLOOKUP($L415,Data_Validation!$A:$D,3,0)</f>
        <v>Autres</v>
      </c>
      <c r="V415" s="656" t="str">
        <f>+VLOOKUP($L415,Data_Validation!$A:$D,4,0)</f>
        <v>Revenus d'intérêts floor plan</v>
      </c>
      <c r="W415" s="656" t="str">
        <f>+VLOOKUP($L415,Data_Validation!$A:$E,5,0)</f>
        <v>$</v>
      </c>
      <c r="X415" s="656">
        <f>+VLOOKUP($L415,Data_Validation!$A:$F,6,0)</f>
        <v>0</v>
      </c>
    </row>
    <row r="416" spans="1:24" ht="15.75" customHeight="1">
      <c r="A416" s="1332" t="s">
        <v>1299</v>
      </c>
      <c r="B416" s="1332" t="s">
        <v>1300</v>
      </c>
      <c r="C416" s="1333"/>
      <c r="D416" s="1333"/>
      <c r="E416" s="1333"/>
      <c r="F416" s="1332" t="s">
        <v>7</v>
      </c>
      <c r="G416" s="1332" t="s">
        <v>1295</v>
      </c>
      <c r="H416" s="1332" t="s">
        <v>3942</v>
      </c>
      <c r="I416" s="1334">
        <v>-2</v>
      </c>
      <c r="J416" s="1334">
        <v>0</v>
      </c>
      <c r="K416" s="1334">
        <v>-2</v>
      </c>
      <c r="L416" s="653" t="str">
        <f t="shared" si="191"/>
        <v>9167@</v>
      </c>
      <c r="M416" s="654" t="str">
        <f t="shared" si="192"/>
        <v>ASSURANCE VIE USAGE</v>
      </c>
      <c r="N416" s="655">
        <f>+IF(OR($Q416=Parametres!$G$2,$Q416=Parametres!$G$3),I416,C416)</f>
        <v>-2</v>
      </c>
      <c r="O416" s="655">
        <f>+IF(OR($Q416=Parametres!$G$2,$Q416=Parametres!$G$3),J416,D416)</f>
        <v>0</v>
      </c>
      <c r="P416" s="655">
        <f>+IF(OR($Q416=Parametres!$G$2,$Q416=Parametres!$G$3),K416,E416)</f>
        <v>-2</v>
      </c>
      <c r="Q416" s="654" t="str">
        <f t="shared" si="193"/>
        <v>10-Compte compteur</v>
      </c>
      <c r="R416" s="653" t="str">
        <f t="shared" si="194"/>
        <v>9163</v>
      </c>
      <c r="S416" s="654" t="str">
        <f t="shared" si="195"/>
        <v>_</v>
      </c>
      <c r="T416" s="656" t="str">
        <f>+VLOOKUP($L416,Data_Validation!$A:$D,1,0)</f>
        <v>9167@</v>
      </c>
      <c r="U416" s="656" t="str">
        <f>+VLOOKUP($L416,Data_Validation!$A:$D,3,0)</f>
        <v>Véhicules usagés</v>
      </c>
      <c r="V416" s="656">
        <f>+VLOOKUP($L416,Data_Validation!$A:$D,4,0)</f>
        <v>0</v>
      </c>
      <c r="W416" s="656" t="str">
        <f>+VLOOKUP($L416,Data_Validation!$A:$E,5,0)</f>
        <v>NB</v>
      </c>
      <c r="X416" s="656">
        <f>+VLOOKUP($L416,Data_Validation!$A:$F,6,0)</f>
        <v>0</v>
      </c>
    </row>
    <row r="417" spans="1:24" ht="15.75" customHeight="1">
      <c r="A417" s="1332" t="s">
        <v>3344</v>
      </c>
      <c r="B417" s="1332" t="s">
        <v>3345</v>
      </c>
      <c r="C417" s="1333"/>
      <c r="D417" s="1333"/>
      <c r="E417" s="1333"/>
      <c r="F417" s="1332" t="s">
        <v>7</v>
      </c>
      <c r="G417" s="1332" t="s">
        <v>1291</v>
      </c>
      <c r="H417" s="1332" t="s">
        <v>3942</v>
      </c>
      <c r="I417" s="1334">
        <v>-8</v>
      </c>
      <c r="J417" s="1334">
        <v>-5</v>
      </c>
      <c r="K417" s="1334">
        <v>-13</v>
      </c>
      <c r="L417" s="653" t="str">
        <f t="shared" si="191"/>
        <v>9169@</v>
      </c>
      <c r="M417" s="654" t="str">
        <f t="shared" si="192"/>
        <v>VENTES PEINTURE</v>
      </c>
      <c r="N417" s="655">
        <f>+IF(OR($Q417=Parametres!$G$2,$Q417=Parametres!$G$3),I417,C417)</f>
        <v>-8</v>
      </c>
      <c r="O417" s="655">
        <f>+IF(OR($Q417=Parametres!$G$2,$Q417=Parametres!$G$3),J417,D417)</f>
        <v>-5</v>
      </c>
      <c r="P417" s="655">
        <f>+IF(OR($Q417=Parametres!$G$2,$Q417=Parametres!$G$3),K417,E417)</f>
        <v>-13</v>
      </c>
      <c r="Q417" s="654" t="str">
        <f t="shared" si="193"/>
        <v>10-Compte compteur</v>
      </c>
      <c r="R417" s="653" t="str">
        <f t="shared" si="194"/>
        <v>9161</v>
      </c>
      <c r="S417" s="654" t="str">
        <f t="shared" si="195"/>
        <v>_</v>
      </c>
      <c r="T417" s="656" t="str">
        <f>+VLOOKUP($L417,Data_Validation!$A:$D,1,0)</f>
        <v>9169@</v>
      </c>
      <c r="U417" s="656">
        <f>+VLOOKUP($L417,Data_Validation!$A:$D,3,0)</f>
        <v>0</v>
      </c>
      <c r="V417" s="656">
        <f>+VLOOKUP($L417,Data_Validation!$A:$D,4,0)</f>
        <v>0</v>
      </c>
      <c r="W417" s="656" t="str">
        <f>+VLOOKUP($L417,Data_Validation!$A:$E,5,0)</f>
        <v>NB</v>
      </c>
      <c r="X417" s="656">
        <f>+VLOOKUP($L417,Data_Validation!$A:$F,6,0)</f>
        <v>0</v>
      </c>
    </row>
    <row r="418" spans="1:24" ht="15.75" customHeight="1">
      <c r="A418" s="1332" t="s">
        <v>1304</v>
      </c>
      <c r="B418" s="1332" t="s">
        <v>1305</v>
      </c>
      <c r="C418" s="1333"/>
      <c r="D418" s="1333"/>
      <c r="E418" s="1333"/>
      <c r="F418" s="1332" t="s">
        <v>7</v>
      </c>
      <c r="G418" s="1332" t="s">
        <v>1295</v>
      </c>
      <c r="H418" s="1332" t="s">
        <v>3942</v>
      </c>
      <c r="I418" s="1334">
        <v>-27</v>
      </c>
      <c r="J418" s="1334">
        <v>-7</v>
      </c>
      <c r="K418" s="1334">
        <v>-34</v>
      </c>
      <c r="L418" s="653" t="str">
        <f t="shared" si="191"/>
        <v>9171@</v>
      </c>
      <c r="M418" s="654" t="str">
        <f t="shared" si="192"/>
        <v>VENTE CHIMIQUE USAGE</v>
      </c>
      <c r="N418" s="655">
        <f>+IF(OR($Q418=Parametres!$G$2,$Q418=Parametres!$G$3),I418,C418)</f>
        <v>-27</v>
      </c>
      <c r="O418" s="655">
        <f>+IF(OR($Q418=Parametres!$G$2,$Q418=Parametres!$G$3),J418,D418)</f>
        <v>-7</v>
      </c>
      <c r="P418" s="655">
        <f>+IF(OR($Q418=Parametres!$G$2,$Q418=Parametres!$G$3),K418,E418)</f>
        <v>-34</v>
      </c>
      <c r="Q418" s="654" t="str">
        <f t="shared" si="193"/>
        <v>10-Compte compteur</v>
      </c>
      <c r="R418" s="653" t="str">
        <f t="shared" si="194"/>
        <v>9163</v>
      </c>
      <c r="S418" s="654" t="str">
        <f t="shared" si="195"/>
        <v>_</v>
      </c>
      <c r="T418" s="656" t="str">
        <f>+VLOOKUP($L418,Data_Validation!$A:$D,1,0)</f>
        <v>9171@</v>
      </c>
      <c r="U418" s="656" t="str">
        <f>+VLOOKUP($L418,Data_Validation!$A:$D,3,0)</f>
        <v>Véhicules usagés</v>
      </c>
      <c r="V418" s="656">
        <f>+VLOOKUP($L418,Data_Validation!$A:$D,4,0)</f>
        <v>0</v>
      </c>
      <c r="W418" s="656" t="str">
        <f>+VLOOKUP($L418,Data_Validation!$A:$E,5,0)</f>
        <v>NB</v>
      </c>
      <c r="X418" s="656">
        <f>+VLOOKUP($L418,Data_Validation!$A:$F,6,0)</f>
        <v>0</v>
      </c>
    </row>
    <row r="419" spans="1:24" ht="15.75" customHeight="1">
      <c r="A419" s="1332" t="s">
        <v>842</v>
      </c>
      <c r="B419" s="1332" t="s">
        <v>843</v>
      </c>
      <c r="C419" s="1333"/>
      <c r="D419" s="1333"/>
      <c r="E419" s="1333"/>
      <c r="F419" s="1332" t="s">
        <v>7</v>
      </c>
      <c r="G419" s="1332" t="s">
        <v>841</v>
      </c>
      <c r="H419" s="1332" t="s">
        <v>3942</v>
      </c>
      <c r="I419" s="1334">
        <v>179</v>
      </c>
      <c r="J419" s="1334">
        <v>11</v>
      </c>
      <c r="K419" s="1334">
        <v>190</v>
      </c>
      <c r="L419" s="653" t="str">
        <f t="shared" si="191"/>
        <v>1402@</v>
      </c>
      <c r="M419" s="654" t="str">
        <f t="shared" si="192"/>
        <v># DE INVENTAIRE VEH.NEUFS VW</v>
      </c>
      <c r="N419" s="655">
        <f>+IF(OR($Q419=Parametres!$G$2,$Q419=Parametres!$G$3),I419,C419)</f>
        <v>179</v>
      </c>
      <c r="O419" s="655">
        <f>+IF(OR($Q419=Parametres!$G$2,$Q419=Parametres!$G$3),J419,D419)</f>
        <v>11</v>
      </c>
      <c r="P419" s="655">
        <f>+IF(OR($Q419=Parametres!$G$2,$Q419=Parametres!$G$3),K419,E419)</f>
        <v>190</v>
      </c>
      <c r="Q419" s="654" t="str">
        <f t="shared" si="193"/>
        <v>10-Compte compteur</v>
      </c>
      <c r="R419" s="653" t="str">
        <f t="shared" si="194"/>
        <v>1402</v>
      </c>
      <c r="S419" s="654" t="str">
        <f t="shared" si="195"/>
        <v>_</v>
      </c>
      <c r="T419" s="656" t="str">
        <f>+VLOOKUP($L419,Data_Validation!$A:$D,1,0)</f>
        <v>1402@</v>
      </c>
      <c r="U419" s="656" t="str">
        <f>+VLOOKUP($L419,Data_Validation!$A:$D,3,0)</f>
        <v>Bilan</v>
      </c>
      <c r="V419" s="656">
        <f>+VLOOKUP($L419,Data_Validation!$A:$D,4,0)</f>
        <v>0</v>
      </c>
      <c r="W419" s="656" t="str">
        <f>+VLOOKUP($L419,Data_Validation!$A:$E,5,0)</f>
        <v>NB</v>
      </c>
      <c r="X419" s="656">
        <f>+VLOOKUP($L419,Data_Validation!$A:$F,6,0)</f>
        <v>0</v>
      </c>
    </row>
    <row r="420" spans="1:24" ht="15.75" customHeight="1">
      <c r="A420" s="1332" t="s">
        <v>849</v>
      </c>
      <c r="B420" s="1332" t="s">
        <v>850</v>
      </c>
      <c r="C420" s="1333"/>
      <c r="D420" s="1333"/>
      <c r="E420" s="1333"/>
      <c r="F420" s="1332" t="s">
        <v>7</v>
      </c>
      <c r="G420" s="1332" t="s">
        <v>848</v>
      </c>
      <c r="H420" s="1332" t="s">
        <v>3942</v>
      </c>
      <c r="I420" s="1334">
        <v>48</v>
      </c>
      <c r="J420" s="1334">
        <v>0</v>
      </c>
      <c r="K420" s="1334">
        <v>48</v>
      </c>
      <c r="L420" s="653" t="str">
        <f t="shared" si="191"/>
        <v>1416@</v>
      </c>
      <c r="M420" s="654" t="str">
        <f t="shared" si="192"/>
        <v># DE INV. VEH. USAGE VW</v>
      </c>
      <c r="N420" s="655">
        <f>+IF(OR($Q420=Parametres!$G$2,$Q420=Parametres!$G$3),I420,C420)</f>
        <v>48</v>
      </c>
      <c r="O420" s="655">
        <f>+IF(OR($Q420=Parametres!$G$2,$Q420=Parametres!$G$3),J420,D420)</f>
        <v>0</v>
      </c>
      <c r="P420" s="655">
        <f>+IF(OR($Q420=Parametres!$G$2,$Q420=Parametres!$G$3),K420,E420)</f>
        <v>48</v>
      </c>
      <c r="Q420" s="654" t="str">
        <f t="shared" si="193"/>
        <v>10-Compte compteur</v>
      </c>
      <c r="R420" s="653" t="str">
        <f t="shared" si="194"/>
        <v>1416</v>
      </c>
      <c r="S420" s="654" t="str">
        <f t="shared" si="195"/>
        <v>_</v>
      </c>
      <c r="T420" s="656" t="str">
        <f>+VLOOKUP($L420,Data_Validation!$A:$D,1,0)</f>
        <v>1416@</v>
      </c>
      <c r="U420" s="656" t="str">
        <f>+VLOOKUP($L420,Data_Validation!$A:$D,3,0)</f>
        <v>Bilan</v>
      </c>
      <c r="V420" s="656">
        <f>+VLOOKUP($L420,Data_Validation!$A:$D,4,0)</f>
        <v>0</v>
      </c>
      <c r="W420" s="656" t="str">
        <f>+VLOOKUP($L420,Data_Validation!$A:$E,5,0)</f>
        <v>NB</v>
      </c>
      <c r="X420" s="656">
        <f>+VLOOKUP($L420,Data_Validation!$A:$F,6,0)</f>
        <v>0</v>
      </c>
    </row>
    <row r="421" spans="1:24" ht="15.75" customHeight="1">
      <c r="A421" s="1332" t="s">
        <v>965</v>
      </c>
      <c r="B421" s="1332" t="s">
        <v>966</v>
      </c>
      <c r="C421" s="1333"/>
      <c r="D421" s="1333"/>
      <c r="E421" s="1333"/>
      <c r="F421" s="1332" t="s">
        <v>7</v>
      </c>
      <c r="G421" s="1332" t="s">
        <v>964</v>
      </c>
      <c r="H421" s="1332" t="s">
        <v>3942</v>
      </c>
      <c r="I421" s="1334">
        <v>-14</v>
      </c>
      <c r="J421" s="1334">
        <v>-8</v>
      </c>
      <c r="K421" s="1334">
        <v>-22</v>
      </c>
      <c r="L421" s="653" t="str">
        <f t="shared" si="191"/>
        <v>4100@</v>
      </c>
      <c r="M421" s="654" t="str">
        <f t="shared" si="192"/>
        <v>RESERVE</v>
      </c>
      <c r="N421" s="655">
        <f>+IF(OR($Q421=Parametres!$G$2,$Q421=Parametres!$G$3),I421,C421)</f>
        <v>-14</v>
      </c>
      <c r="O421" s="655">
        <f>+IF(OR($Q421=Parametres!$G$2,$Q421=Parametres!$G$3),J421,D421)</f>
        <v>-8</v>
      </c>
      <c r="P421" s="655">
        <f>+IF(OR($Q421=Parametres!$G$2,$Q421=Parametres!$G$3),K421,E421)</f>
        <v>-22</v>
      </c>
      <c r="Q421" s="654" t="str">
        <f t="shared" si="193"/>
        <v>10-Compte compteur</v>
      </c>
      <c r="R421" s="653" t="str">
        <f t="shared" si="194"/>
        <v>4100</v>
      </c>
      <c r="S421" s="654" t="str">
        <f t="shared" si="195"/>
        <v>_</v>
      </c>
      <c r="T421" s="656" t="str">
        <f>+VLOOKUP($L421,Data_Validation!$A:$D,1,0)</f>
        <v>4100@</v>
      </c>
      <c r="U421" s="656" t="str">
        <f>+VLOOKUP($L421,Data_Validation!$A:$D,3,0)</f>
        <v>Véhicules neufs</v>
      </c>
      <c r="V421" s="656" t="str">
        <f>+VLOOKUP($L421,Data_Validation!$A:$D,4,0)</f>
        <v>Rachat bail</v>
      </c>
      <c r="W421" s="656" t="str">
        <f>+VLOOKUP($L421,Data_Validation!$A:$E,5,0)</f>
        <v>NB</v>
      </c>
      <c r="X421" s="656">
        <f>+VLOOKUP($L421,Data_Validation!$A:$F,6,0)</f>
        <v>0</v>
      </c>
    </row>
    <row r="422" spans="1:24" ht="15.75" customHeight="1">
      <c r="A422" s="1332" t="s">
        <v>969</v>
      </c>
      <c r="B422" s="1332" t="s">
        <v>970</v>
      </c>
      <c r="C422" s="1333"/>
      <c r="D422" s="1333"/>
      <c r="E422" s="1333"/>
      <c r="F422" s="1332" t="s">
        <v>7</v>
      </c>
      <c r="G422" s="1332" t="s">
        <v>968</v>
      </c>
      <c r="H422" s="1332" t="s">
        <v>3942</v>
      </c>
      <c r="I422" s="1334">
        <v>-1</v>
      </c>
      <c r="J422" s="1334">
        <v>-3</v>
      </c>
      <c r="K422" s="1334">
        <v>-4</v>
      </c>
      <c r="L422" s="653" t="str">
        <f t="shared" si="191"/>
        <v>4109@</v>
      </c>
      <c r="M422" s="654" t="str">
        <f t="shared" si="192"/>
        <v># DE VENTE - GOLF R</v>
      </c>
      <c r="N422" s="655">
        <f>+IF(OR($Q422=Parametres!$G$2,$Q422=Parametres!$G$3),I422,C422)</f>
        <v>-1</v>
      </c>
      <c r="O422" s="655">
        <f>+IF(OR($Q422=Parametres!$G$2,$Q422=Parametres!$G$3),J422,D422)</f>
        <v>-3</v>
      </c>
      <c r="P422" s="655">
        <f>+IF(OR($Q422=Parametres!$G$2,$Q422=Parametres!$G$3),K422,E422)</f>
        <v>-4</v>
      </c>
      <c r="Q422" s="654" t="str">
        <f t="shared" si="193"/>
        <v>10-Compte compteur</v>
      </c>
      <c r="R422" s="653" t="str">
        <f t="shared" si="194"/>
        <v>4109</v>
      </c>
      <c r="S422" s="654" t="str">
        <f t="shared" si="195"/>
        <v>_</v>
      </c>
      <c r="T422" s="656" t="str">
        <f>+VLOOKUP($L422,Data_Validation!$A:$D,1,0)</f>
        <v>4109@</v>
      </c>
      <c r="U422" s="656" t="str">
        <f>+VLOOKUP($L422,Data_Validation!$A:$D,3,0)</f>
        <v>Véhicules neufs</v>
      </c>
      <c r="V422" s="656" t="str">
        <f>+VLOOKUP($L422,Data_Validation!$A:$D,4,0)</f>
        <v>Autos détail</v>
      </c>
      <c r="W422" s="656" t="str">
        <f>+VLOOKUP($L422,Data_Validation!$A:$E,5,0)</f>
        <v>NB</v>
      </c>
      <c r="X422" s="656">
        <f>+VLOOKUP($L422,Data_Validation!$A:$F,6,0)</f>
        <v>0</v>
      </c>
    </row>
    <row r="423" spans="1:24" ht="15.75" customHeight="1">
      <c r="A423" s="1332" t="s">
        <v>971</v>
      </c>
      <c r="B423" s="1332" t="s">
        <v>973</v>
      </c>
      <c r="C423" s="1333"/>
      <c r="D423" s="1333"/>
      <c r="E423" s="1333"/>
      <c r="F423" s="1332" t="s">
        <v>7</v>
      </c>
      <c r="G423" s="1332" t="s">
        <v>972</v>
      </c>
      <c r="H423" s="1332" t="s">
        <v>3942</v>
      </c>
      <c r="I423" s="1334">
        <v>-8</v>
      </c>
      <c r="J423" s="1334">
        <v>-3</v>
      </c>
      <c r="K423" s="1334">
        <v>-11</v>
      </c>
      <c r="L423" s="653" t="str">
        <f t="shared" si="191"/>
        <v>4111@</v>
      </c>
      <c r="M423" s="654" t="str">
        <f t="shared" si="192"/>
        <v>JETTA/ JETTA GLI</v>
      </c>
      <c r="N423" s="655">
        <f>+IF(OR($Q423=Parametres!$G$2,$Q423=Parametres!$G$3),I423,C423)</f>
        <v>-8</v>
      </c>
      <c r="O423" s="655">
        <f>+IF(OR($Q423=Parametres!$G$2,$Q423=Parametres!$G$3),J423,D423)</f>
        <v>-3</v>
      </c>
      <c r="P423" s="655">
        <f>+IF(OR($Q423=Parametres!$G$2,$Q423=Parametres!$G$3),K423,E423)</f>
        <v>-11</v>
      </c>
      <c r="Q423" s="654" t="str">
        <f t="shared" si="193"/>
        <v>10-Compte compteur</v>
      </c>
      <c r="R423" s="653" t="str">
        <f t="shared" si="194"/>
        <v>4111</v>
      </c>
      <c r="S423" s="654" t="str">
        <f t="shared" si="195"/>
        <v>_</v>
      </c>
      <c r="T423" s="656" t="str">
        <f>+VLOOKUP($L423,Data_Validation!$A:$D,1,0)</f>
        <v>4111@</v>
      </c>
      <c r="U423" s="656" t="str">
        <f>+VLOOKUP($L423,Data_Validation!$A:$D,3,0)</f>
        <v>Véhicules neufs</v>
      </c>
      <c r="V423" s="656" t="str">
        <f>+VLOOKUP($L423,Data_Validation!$A:$D,4,0)</f>
        <v>Autos détail</v>
      </c>
      <c r="W423" s="656" t="str">
        <f>+VLOOKUP($L423,Data_Validation!$A:$E,5,0)</f>
        <v>NB</v>
      </c>
      <c r="X423" s="656">
        <f>+VLOOKUP($L423,Data_Validation!$A:$F,6,0)</f>
        <v>0</v>
      </c>
    </row>
    <row r="424" spans="1:24" ht="15.75" customHeight="1">
      <c r="A424" s="1332" t="s">
        <v>976</v>
      </c>
      <c r="B424" s="1332" t="s">
        <v>977</v>
      </c>
      <c r="C424" s="1333"/>
      <c r="D424" s="1333"/>
      <c r="E424" s="1333"/>
      <c r="F424" s="1332" t="s">
        <v>7</v>
      </c>
      <c r="G424" s="1332" t="s">
        <v>978</v>
      </c>
      <c r="H424" s="1332" t="s">
        <v>3942</v>
      </c>
      <c r="I424" s="1334">
        <v>-25</v>
      </c>
      <c r="J424" s="1334">
        <v>-9</v>
      </c>
      <c r="K424" s="1334">
        <v>-34</v>
      </c>
      <c r="L424" s="653" t="str">
        <f t="shared" si="191"/>
        <v>4118@</v>
      </c>
      <c r="M424" s="654" t="str">
        <f t="shared" si="192"/>
        <v>TAOS</v>
      </c>
      <c r="N424" s="655">
        <f>+IF(OR($Q424=Parametres!$G$2,$Q424=Parametres!$G$3),I424,C424)</f>
        <v>-25</v>
      </c>
      <c r="O424" s="655">
        <f>+IF(OR($Q424=Parametres!$G$2,$Q424=Parametres!$G$3),J424,D424)</f>
        <v>-9</v>
      </c>
      <c r="P424" s="655">
        <f>+IF(OR($Q424=Parametres!$G$2,$Q424=Parametres!$G$3),K424,E424)</f>
        <v>-34</v>
      </c>
      <c r="Q424" s="654" t="str">
        <f t="shared" si="193"/>
        <v>10-Compte compteur</v>
      </c>
      <c r="R424" s="653" t="str">
        <f t="shared" si="194"/>
        <v>411</v>
      </c>
      <c r="S424" s="654" t="str">
        <f t="shared" si="195"/>
        <v>_</v>
      </c>
      <c r="T424" s="656" t="str">
        <f>+VLOOKUP($L424,Data_Validation!$A:$D,1,0)</f>
        <v>4118@</v>
      </c>
      <c r="U424" s="656" t="str">
        <f>+VLOOKUP($L424,Data_Validation!$A:$D,3,0)</f>
        <v>Véhicules neufs</v>
      </c>
      <c r="V424" s="656" t="str">
        <f>+VLOOKUP($L424,Data_Validation!$A:$D,4,0)</f>
        <v>Camions détail</v>
      </c>
      <c r="W424" s="656" t="str">
        <f>+VLOOKUP($L424,Data_Validation!$A:$E,5,0)</f>
        <v>NB</v>
      </c>
      <c r="X424" s="656">
        <f>+VLOOKUP($L424,Data_Validation!$A:$F,6,0)</f>
        <v>0</v>
      </c>
    </row>
    <row r="425" spans="1:24" ht="15.75" customHeight="1">
      <c r="A425" s="1332" t="s">
        <v>981</v>
      </c>
      <c r="B425" s="1332" t="s">
        <v>982</v>
      </c>
      <c r="C425" s="1333"/>
      <c r="D425" s="1333"/>
      <c r="E425" s="1333"/>
      <c r="F425" s="1332" t="s">
        <v>7</v>
      </c>
      <c r="G425" s="1332" t="s">
        <v>980</v>
      </c>
      <c r="H425" s="1332" t="s">
        <v>3942</v>
      </c>
      <c r="I425" s="1334">
        <v>-5</v>
      </c>
      <c r="J425" s="1334">
        <v>-10</v>
      </c>
      <c r="K425" s="1334">
        <v>-15</v>
      </c>
      <c r="L425" s="653" t="str">
        <f t="shared" si="191"/>
        <v>4119@</v>
      </c>
      <c r="M425" s="654" t="str">
        <f t="shared" si="192"/>
        <v># DE VTE - ATLAS</v>
      </c>
      <c r="N425" s="655">
        <f>+IF(OR($Q425=Parametres!$G$2,$Q425=Parametres!$G$3),I425,C425)</f>
        <v>-5</v>
      </c>
      <c r="O425" s="655">
        <f>+IF(OR($Q425=Parametres!$G$2,$Q425=Parametres!$G$3),J425,D425)</f>
        <v>-10</v>
      </c>
      <c r="P425" s="655">
        <f>+IF(OR($Q425=Parametres!$G$2,$Q425=Parametres!$G$3),K425,E425)</f>
        <v>-15</v>
      </c>
      <c r="Q425" s="654" t="str">
        <f t="shared" si="193"/>
        <v>10-Compte compteur</v>
      </c>
      <c r="R425" s="653" t="str">
        <f t="shared" si="194"/>
        <v>4119</v>
      </c>
      <c r="S425" s="654" t="str">
        <f t="shared" si="195"/>
        <v>_</v>
      </c>
      <c r="T425" s="656" t="str">
        <f>+VLOOKUP($L425,Data_Validation!$A:$D,1,0)</f>
        <v>4119@</v>
      </c>
      <c r="U425" s="656" t="str">
        <f>+VLOOKUP($L425,Data_Validation!$A:$D,3,0)</f>
        <v>Véhicules neufs</v>
      </c>
      <c r="V425" s="656" t="str">
        <f>+VLOOKUP($L425,Data_Validation!$A:$D,4,0)</f>
        <v>Camions détail</v>
      </c>
      <c r="W425" s="656" t="str">
        <f>+VLOOKUP($L425,Data_Validation!$A:$E,5,0)</f>
        <v>NB</v>
      </c>
      <c r="X425" s="656">
        <f>+VLOOKUP($L425,Data_Validation!$A:$F,6,0)</f>
        <v>0</v>
      </c>
    </row>
    <row r="426" spans="1:24" ht="15.75" customHeight="1">
      <c r="A426" s="1332" t="s">
        <v>984</v>
      </c>
      <c r="B426" s="1332" t="s">
        <v>985</v>
      </c>
      <c r="C426" s="1333"/>
      <c r="D426" s="1333"/>
      <c r="E426" s="1333"/>
      <c r="F426" s="1332" t="s">
        <v>7</v>
      </c>
      <c r="G426" s="1332" t="s">
        <v>3348</v>
      </c>
      <c r="H426" s="1332" t="s">
        <v>3942</v>
      </c>
      <c r="I426" s="1334">
        <v>-2</v>
      </c>
      <c r="J426" s="1334">
        <v>-2</v>
      </c>
      <c r="K426" s="1334">
        <v>-4</v>
      </c>
      <c r="L426" s="653" t="str">
        <f t="shared" si="191"/>
        <v>4121@</v>
      </c>
      <c r="M426" s="654" t="str">
        <f t="shared" si="192"/>
        <v># DE VTE - ATLAS CROSS SPORT</v>
      </c>
      <c r="N426" s="655">
        <f>+IF(OR($Q426=Parametres!$G$2,$Q426=Parametres!$G$3),I426,C426)</f>
        <v>-2</v>
      </c>
      <c r="O426" s="655">
        <f>+IF(OR($Q426=Parametres!$G$2,$Q426=Parametres!$G$3),J426,D426)</f>
        <v>-2</v>
      </c>
      <c r="P426" s="655">
        <f>+IF(OR($Q426=Parametres!$G$2,$Q426=Parametres!$G$3),K426,E426)</f>
        <v>-4</v>
      </c>
      <c r="Q426" s="654" t="str">
        <f t="shared" si="193"/>
        <v>10-Compte compteur</v>
      </c>
      <c r="R426" s="653" t="str">
        <f t="shared" si="194"/>
        <v>4121</v>
      </c>
      <c r="S426" s="654" t="str">
        <f t="shared" si="195"/>
        <v>_</v>
      </c>
      <c r="T426" s="656" t="str">
        <f>+VLOOKUP($L426,Data_Validation!$A:$D,1,0)</f>
        <v>4121@</v>
      </c>
      <c r="U426" s="656" t="str">
        <f>+VLOOKUP($L426,Data_Validation!$A:$D,3,0)</f>
        <v>Véhicules neufs</v>
      </c>
      <c r="V426" s="656" t="str">
        <f>+VLOOKUP($L426,Data_Validation!$A:$D,4,0)</f>
        <v>Camions détail</v>
      </c>
      <c r="W426" s="656" t="str">
        <f>+VLOOKUP($L426,Data_Validation!$A:$E,5,0)</f>
        <v>NB</v>
      </c>
      <c r="X426" s="656">
        <f>+VLOOKUP($L426,Data_Validation!$A:$F,6,0)</f>
        <v>0</v>
      </c>
    </row>
    <row r="427" spans="1:24" ht="15.75" customHeight="1">
      <c r="A427" s="1332" t="s">
        <v>988</v>
      </c>
      <c r="B427" s="1332" t="s">
        <v>989</v>
      </c>
      <c r="C427" s="1333"/>
      <c r="D427" s="1333"/>
      <c r="E427" s="1333"/>
      <c r="F427" s="1332" t="s">
        <v>7</v>
      </c>
      <c r="G427" s="1332" t="s">
        <v>987</v>
      </c>
      <c r="H427" s="1332" t="s">
        <v>3942</v>
      </c>
      <c r="I427" s="1334">
        <v>-3</v>
      </c>
      <c r="J427" s="1334">
        <v>0</v>
      </c>
      <c r="K427" s="1334">
        <v>-3</v>
      </c>
      <c r="L427" s="653" t="str">
        <f t="shared" si="191"/>
        <v>4127@</v>
      </c>
      <c r="M427" s="654" t="str">
        <f t="shared" si="192"/>
        <v># DE VENTE - GOLF GTI</v>
      </c>
      <c r="N427" s="655">
        <f>+IF(OR($Q427=Parametres!$G$2,$Q427=Parametres!$G$3),I427,C427)</f>
        <v>-3</v>
      </c>
      <c r="O427" s="655">
        <f>+IF(OR($Q427=Parametres!$G$2,$Q427=Parametres!$G$3),J427,D427)</f>
        <v>0</v>
      </c>
      <c r="P427" s="655">
        <f>+IF(OR($Q427=Parametres!$G$2,$Q427=Parametres!$G$3),K427,E427)</f>
        <v>-3</v>
      </c>
      <c r="Q427" s="654" t="str">
        <f t="shared" si="193"/>
        <v>10-Compte compteur</v>
      </c>
      <c r="R427" s="653" t="str">
        <f t="shared" si="194"/>
        <v>4127</v>
      </c>
      <c r="S427" s="654" t="str">
        <f t="shared" si="195"/>
        <v>_</v>
      </c>
      <c r="T427" s="656" t="str">
        <f>+VLOOKUP($L427,Data_Validation!$A:$D,1,0)</f>
        <v>4127@</v>
      </c>
      <c r="U427" s="656" t="str">
        <f>+VLOOKUP($L427,Data_Validation!$A:$D,3,0)</f>
        <v>Véhicules neufs</v>
      </c>
      <c r="V427" s="656" t="str">
        <f>+VLOOKUP($L427,Data_Validation!$A:$D,4,0)</f>
        <v>Autos détail</v>
      </c>
      <c r="W427" s="656" t="str">
        <f>+VLOOKUP($L427,Data_Validation!$A:$E,5,0)</f>
        <v>NB</v>
      </c>
      <c r="X427" s="656">
        <f>+VLOOKUP($L427,Data_Validation!$A:$F,6,0)</f>
        <v>0</v>
      </c>
    </row>
    <row r="428" spans="1:24" ht="15.75" customHeight="1">
      <c r="A428" s="1332" t="s">
        <v>992</v>
      </c>
      <c r="B428" s="1332" t="s">
        <v>993</v>
      </c>
      <c r="C428" s="1333"/>
      <c r="D428" s="1333"/>
      <c r="E428" s="1333"/>
      <c r="F428" s="1332" t="s">
        <v>7</v>
      </c>
      <c r="G428" s="1332" t="s">
        <v>991</v>
      </c>
      <c r="H428" s="1332" t="s">
        <v>3942</v>
      </c>
      <c r="I428" s="1334">
        <v>-35</v>
      </c>
      <c r="J428" s="1334">
        <v>-24</v>
      </c>
      <c r="K428" s="1334">
        <v>-59</v>
      </c>
      <c r="L428" s="653" t="str">
        <f t="shared" si="191"/>
        <v>4131@</v>
      </c>
      <c r="M428" s="654" t="str">
        <f t="shared" si="192"/>
        <v># DE VTE - TIGUAN LWB</v>
      </c>
      <c r="N428" s="655">
        <f>+IF(OR($Q428=Parametres!$G$2,$Q428=Parametres!$G$3),I428,C428)</f>
        <v>-35</v>
      </c>
      <c r="O428" s="655">
        <f>+IF(OR($Q428=Parametres!$G$2,$Q428=Parametres!$G$3),J428,D428)</f>
        <v>-24</v>
      </c>
      <c r="P428" s="655">
        <f>+IF(OR($Q428=Parametres!$G$2,$Q428=Parametres!$G$3),K428,E428)</f>
        <v>-59</v>
      </c>
      <c r="Q428" s="654" t="str">
        <f t="shared" si="193"/>
        <v>10-Compte compteur</v>
      </c>
      <c r="R428" s="653" t="str">
        <f t="shared" si="194"/>
        <v>4131</v>
      </c>
      <c r="S428" s="654" t="str">
        <f t="shared" si="195"/>
        <v>_</v>
      </c>
      <c r="T428" s="656" t="str">
        <f>+VLOOKUP($L428,Data_Validation!$A:$D,1,0)</f>
        <v>4131@</v>
      </c>
      <c r="U428" s="656" t="str">
        <f>+VLOOKUP($L428,Data_Validation!$A:$D,3,0)</f>
        <v>Véhicules neufs</v>
      </c>
      <c r="V428" s="656" t="str">
        <f>+VLOOKUP($L428,Data_Validation!$A:$D,4,0)</f>
        <v>Camions détail</v>
      </c>
      <c r="W428" s="656" t="str">
        <f>+VLOOKUP($L428,Data_Validation!$A:$E,5,0)</f>
        <v>NB</v>
      </c>
      <c r="X428" s="656">
        <f>+VLOOKUP($L428,Data_Validation!$A:$F,6,0)</f>
        <v>0</v>
      </c>
    </row>
    <row r="429" spans="1:24" ht="15.75" customHeight="1">
      <c r="A429" s="1332" t="s">
        <v>996</v>
      </c>
      <c r="B429" s="1332" t="s">
        <v>997</v>
      </c>
      <c r="C429" s="1333"/>
      <c r="D429" s="1333"/>
      <c r="E429" s="1333"/>
      <c r="F429" s="1332" t="s">
        <v>7</v>
      </c>
      <c r="G429" s="1332" t="s">
        <v>995</v>
      </c>
      <c r="H429" s="1332" t="s">
        <v>3942</v>
      </c>
      <c r="I429" s="1334">
        <v>-13</v>
      </c>
      <c r="J429" s="1334">
        <v>-24</v>
      </c>
      <c r="K429" s="1334">
        <v>-37</v>
      </c>
      <c r="L429" s="653" t="str">
        <f t="shared" si="191"/>
        <v>4137@</v>
      </c>
      <c r="M429" s="654" t="str">
        <f t="shared" si="192"/>
        <v>VW FLOTTE/VENTE ENTR/EMPLOYE/VEH DEMONST</v>
      </c>
      <c r="N429" s="655">
        <f>+IF(OR($Q429=Parametres!$G$2,$Q429=Parametres!$G$3),I429,C429)</f>
        <v>-13</v>
      </c>
      <c r="O429" s="655">
        <f>+IF(OR($Q429=Parametres!$G$2,$Q429=Parametres!$G$3),J429,D429)</f>
        <v>-24</v>
      </c>
      <c r="P429" s="655">
        <f>+IF(OR($Q429=Parametres!$G$2,$Q429=Parametres!$G$3),K429,E429)</f>
        <v>-37</v>
      </c>
      <c r="Q429" s="654" t="str">
        <f t="shared" si="193"/>
        <v>10-Compte compteur</v>
      </c>
      <c r="R429" s="653" t="str">
        <f t="shared" si="194"/>
        <v>4137</v>
      </c>
      <c r="S429" s="654" t="str">
        <f t="shared" si="195"/>
        <v>_</v>
      </c>
      <c r="T429" s="656" t="str">
        <f>+VLOOKUP($L429,Data_Validation!$A:$D,1,0)</f>
        <v>4137@</v>
      </c>
      <c r="U429" s="656" t="str">
        <f>+VLOOKUP($L429,Data_Validation!$A:$D,3,0)</f>
        <v>Véhicules neufs</v>
      </c>
      <c r="V429" s="656" t="str">
        <f>+VLOOKUP($L429,Data_Validation!$A:$D,4,0)</f>
        <v>Flottes</v>
      </c>
      <c r="W429" s="656" t="str">
        <f>+VLOOKUP($L429,Data_Validation!$A:$E,5,0)</f>
        <v>NB</v>
      </c>
      <c r="X429" s="656">
        <f>+VLOOKUP($L429,Data_Validation!$A:$F,6,0)</f>
        <v>0</v>
      </c>
    </row>
    <row r="430" spans="1:24" ht="15.75" customHeight="1">
      <c r="A430" s="1332" t="s">
        <v>1000</v>
      </c>
      <c r="B430" s="1332" t="s">
        <v>1001</v>
      </c>
      <c r="C430" s="1333"/>
      <c r="D430" s="1333"/>
      <c r="E430" s="1333"/>
      <c r="F430" s="1332" t="s">
        <v>7</v>
      </c>
      <c r="G430" s="1332" t="s">
        <v>999</v>
      </c>
      <c r="H430" s="1332" t="s">
        <v>3942</v>
      </c>
      <c r="I430" s="1334">
        <v>-2</v>
      </c>
      <c r="J430" s="1334">
        <v>-1</v>
      </c>
      <c r="K430" s="1334">
        <v>-3</v>
      </c>
      <c r="L430" s="653" t="str">
        <f t="shared" si="191"/>
        <v>4139@</v>
      </c>
      <c r="M430" s="654" t="str">
        <f t="shared" si="192"/>
        <v>VENTES A PARK AVENUE LOCATION</v>
      </c>
      <c r="N430" s="655">
        <f>+IF(OR($Q430=Parametres!$G$2,$Q430=Parametres!$G$3),I430,C430)</f>
        <v>-2</v>
      </c>
      <c r="O430" s="655">
        <f>+IF(OR($Q430=Parametres!$G$2,$Q430=Parametres!$G$3),J430,D430)</f>
        <v>-1</v>
      </c>
      <c r="P430" s="655">
        <f>+IF(OR($Q430=Parametres!$G$2,$Q430=Parametres!$G$3),K430,E430)</f>
        <v>-3</v>
      </c>
      <c r="Q430" s="654" t="str">
        <f t="shared" si="193"/>
        <v>10-Compte compteur</v>
      </c>
      <c r="R430" s="653" t="str">
        <f t="shared" si="194"/>
        <v>4139</v>
      </c>
      <c r="S430" s="654" t="str">
        <f t="shared" si="195"/>
        <v>_</v>
      </c>
      <c r="T430" s="656" t="str">
        <f>+VLOOKUP($L430,Data_Validation!$A:$D,1,0)</f>
        <v>4139@</v>
      </c>
      <c r="U430" s="656" t="str">
        <f>+VLOOKUP($L430,Data_Validation!$A:$D,3,0)</f>
        <v>Véhicules neufs</v>
      </c>
      <c r="V430" s="656" t="str">
        <f>+VLOOKUP($L430,Data_Validation!$A:$D,4,0)</f>
        <v>Ex-Démos et courtoisies</v>
      </c>
      <c r="W430" s="656" t="str">
        <f>+VLOOKUP($L430,Data_Validation!$A:$E,5,0)</f>
        <v>NB</v>
      </c>
      <c r="X430" s="656">
        <f>+VLOOKUP($L430,Data_Validation!$A:$F,6,0)</f>
        <v>0</v>
      </c>
    </row>
    <row r="431" spans="1:24" ht="15.75" customHeight="1">
      <c r="A431" s="1332" t="s">
        <v>3896</v>
      </c>
      <c r="B431" s="1332" t="s">
        <v>3897</v>
      </c>
      <c r="C431" s="1333"/>
      <c r="D431" s="1333"/>
      <c r="E431" s="1333"/>
      <c r="F431" s="1332" t="s">
        <v>7</v>
      </c>
      <c r="G431" s="1332" t="s">
        <v>3893</v>
      </c>
      <c r="H431" s="1332" t="s">
        <v>3942</v>
      </c>
      <c r="I431" s="1334">
        <v>0</v>
      </c>
      <c r="J431" s="1334">
        <v>-2</v>
      </c>
      <c r="K431" s="1334">
        <v>-2</v>
      </c>
      <c r="L431" s="653" t="str">
        <f t="shared" si="191"/>
        <v>4141@</v>
      </c>
      <c r="M431" s="654" t="str">
        <f t="shared" si="192"/>
        <v># DE VTW - ID4</v>
      </c>
      <c r="N431" s="655">
        <f>+IF(OR($Q431=Parametres!$G$2,$Q431=Parametres!$G$3),I431,C431)</f>
        <v>0</v>
      </c>
      <c r="O431" s="655">
        <f>+IF(OR($Q431=Parametres!$G$2,$Q431=Parametres!$G$3),J431,D431)</f>
        <v>-2</v>
      </c>
      <c r="P431" s="655">
        <f>+IF(OR($Q431=Parametres!$G$2,$Q431=Parametres!$G$3),K431,E431)</f>
        <v>-2</v>
      </c>
      <c r="Q431" s="654" t="str">
        <f t="shared" si="193"/>
        <v>10-Compte compteur</v>
      </c>
      <c r="R431" s="653" t="str">
        <f t="shared" si="194"/>
        <v>4141</v>
      </c>
      <c r="S431" s="654" t="str">
        <f t="shared" si="195"/>
        <v>_</v>
      </c>
      <c r="T431" s="656" t="str">
        <f>+VLOOKUP($L431,Data_Validation!$A:$D,1,0)</f>
        <v>4141@</v>
      </c>
      <c r="U431" s="656" t="str">
        <f>+VLOOKUP($L431,Data_Validation!$A:$D,3,0)</f>
        <v>Véhicules neufs</v>
      </c>
      <c r="V431" s="656" t="str">
        <f>+VLOOKUP($L431,Data_Validation!$A:$D,4,0)</f>
        <v>Camions détail</v>
      </c>
      <c r="W431" s="656" t="str">
        <f>+VLOOKUP($L431,Data_Validation!$A:$E,5,0)</f>
        <v>NB</v>
      </c>
      <c r="X431" s="656">
        <f>+VLOOKUP($L431,Data_Validation!$A:$F,6,0)</f>
        <v>0</v>
      </c>
    </row>
    <row r="432" spans="1:24" ht="15.75" customHeight="1">
      <c r="A432" s="1332" t="s">
        <v>1004</v>
      </c>
      <c r="B432" s="1332" t="s">
        <v>1005</v>
      </c>
      <c r="C432" s="1333"/>
      <c r="D432" s="1333"/>
      <c r="E432" s="1333"/>
      <c r="F432" s="1332" t="s">
        <v>7</v>
      </c>
      <c r="G432" s="1332" t="s">
        <v>1003</v>
      </c>
      <c r="H432" s="1332" t="s">
        <v>3942</v>
      </c>
      <c r="I432" s="1334">
        <v>-2</v>
      </c>
      <c r="J432" s="1334">
        <v>-1</v>
      </c>
      <c r="K432" s="1334">
        <v>-3</v>
      </c>
      <c r="L432" s="653" t="str">
        <f t="shared" si="191"/>
        <v>4144@</v>
      </c>
      <c r="M432" s="654" t="str">
        <f t="shared" si="192"/>
        <v># OF VTES -JETTA GLI</v>
      </c>
      <c r="N432" s="655">
        <f>+IF(OR($Q432=Parametres!$G$2,$Q432=Parametres!$G$3),I432,C432)</f>
        <v>-2</v>
      </c>
      <c r="O432" s="655">
        <f>+IF(OR($Q432=Parametres!$G$2,$Q432=Parametres!$G$3),J432,D432)</f>
        <v>-1</v>
      </c>
      <c r="P432" s="655">
        <f>+IF(OR($Q432=Parametres!$G$2,$Q432=Parametres!$G$3),K432,E432)</f>
        <v>-3</v>
      </c>
      <c r="Q432" s="654" t="str">
        <f t="shared" si="193"/>
        <v>10-Compte compteur</v>
      </c>
      <c r="R432" s="653" t="str">
        <f t="shared" si="194"/>
        <v>414</v>
      </c>
      <c r="S432" s="654" t="str">
        <f t="shared" si="195"/>
        <v>_</v>
      </c>
      <c r="T432" s="656" t="str">
        <f>+VLOOKUP($L432,Data_Validation!$A:$D,1,0)</f>
        <v>4144@</v>
      </c>
      <c r="U432" s="656" t="str">
        <f>+VLOOKUP($L432,Data_Validation!$A:$D,3,0)</f>
        <v>Véhicules neufs</v>
      </c>
      <c r="V432" s="656" t="str">
        <f>+VLOOKUP($L432,Data_Validation!$A:$D,4,0)</f>
        <v>Autos détail</v>
      </c>
      <c r="W432" s="656" t="str">
        <f>+VLOOKUP($L432,Data_Validation!$A:$E,5,0)</f>
        <v>NB</v>
      </c>
      <c r="X432" s="656">
        <f>+VLOOKUP($L432,Data_Validation!$A:$F,6,0)</f>
        <v>0</v>
      </c>
    </row>
    <row r="433" spans="1:24" ht="15.75" customHeight="1">
      <c r="A433" s="1332" t="s">
        <v>3944</v>
      </c>
      <c r="B433" s="1332" t="s">
        <v>3947</v>
      </c>
      <c r="C433" s="1333"/>
      <c r="D433" s="1333"/>
      <c r="E433" s="1333"/>
      <c r="F433" s="1332" t="s">
        <v>7</v>
      </c>
      <c r="G433" s="1332" t="s">
        <v>3962</v>
      </c>
      <c r="H433" s="1332" t="s">
        <v>3942</v>
      </c>
      <c r="I433" s="1334">
        <v>0</v>
      </c>
      <c r="J433" s="1334">
        <v>-1</v>
      </c>
      <c r="K433" s="1334">
        <v>-1</v>
      </c>
      <c r="L433" s="653" t="str">
        <f t="shared" si="191"/>
        <v>4145@</v>
      </c>
      <c r="M433" s="654" t="str">
        <f t="shared" si="192"/>
        <v>ID BUZZ</v>
      </c>
      <c r="N433" s="655">
        <f>+IF(OR($Q433=Parametres!$G$2,$Q433=Parametres!$G$3),I433,C433)</f>
        <v>0</v>
      </c>
      <c r="O433" s="655">
        <f>+IF(OR($Q433=Parametres!$G$2,$Q433=Parametres!$G$3),J433,D433)</f>
        <v>-1</v>
      </c>
      <c r="P433" s="655">
        <f>+IF(OR($Q433=Parametres!$G$2,$Q433=Parametres!$G$3),K433,E433)</f>
        <v>-1</v>
      </c>
      <c r="Q433" s="654" t="str">
        <f t="shared" si="193"/>
        <v>10-Compte compteur</v>
      </c>
      <c r="R433" s="653" t="str">
        <f t="shared" si="194"/>
        <v>84137</v>
      </c>
      <c r="S433" s="654" t="str">
        <f t="shared" si="195"/>
        <v>_</v>
      </c>
      <c r="T433" s="656" t="str">
        <f>+VLOOKUP($L433,Data_Validation!$A:$D,1,0)</f>
        <v>4145@</v>
      </c>
      <c r="U433" s="656" t="str">
        <f>+VLOOKUP($L433,Data_Validation!$A:$D,3,0)</f>
        <v>Véhicules neufs</v>
      </c>
      <c r="V433" s="656" t="str">
        <f>+VLOOKUP($L433,Data_Validation!$A:$D,4,0)</f>
        <v>Camions détail</v>
      </c>
      <c r="W433" s="656" t="str">
        <f>+VLOOKUP($L433,Data_Validation!$A:$E,5,0)</f>
        <v>NB</v>
      </c>
      <c r="X433" s="656">
        <f>+VLOOKUP($L433,Data_Validation!$A:$F,6,0)</f>
        <v>0</v>
      </c>
    </row>
    <row r="434" spans="1:24" ht="15.75" customHeight="1">
      <c r="A434" s="1332" t="s">
        <v>1008</v>
      </c>
      <c r="B434" s="1332" t="s">
        <v>1009</v>
      </c>
      <c r="C434" s="1333"/>
      <c r="D434" s="1333"/>
      <c r="E434" s="1333"/>
      <c r="F434" s="1332" t="s">
        <v>7</v>
      </c>
      <c r="G434" s="1332" t="s">
        <v>1007</v>
      </c>
      <c r="H434" s="1332" t="s">
        <v>3942</v>
      </c>
      <c r="I434" s="1334">
        <v>-51</v>
      </c>
      <c r="J434" s="1334">
        <v>-15</v>
      </c>
      <c r="K434" s="1334">
        <v>-66</v>
      </c>
      <c r="L434" s="653" t="str">
        <f t="shared" si="191"/>
        <v>4201@</v>
      </c>
      <c r="M434" s="654" t="str">
        <f t="shared" si="192"/>
        <v># DE VTE - VEH.USAGE VW DET.CERT.</v>
      </c>
      <c r="N434" s="655">
        <f>+IF(OR($Q434=Parametres!$G$2,$Q434=Parametres!$G$3),I434,C434)</f>
        <v>-51</v>
      </c>
      <c r="O434" s="655">
        <f>+IF(OR($Q434=Parametres!$G$2,$Q434=Parametres!$G$3),J434,D434)</f>
        <v>-15</v>
      </c>
      <c r="P434" s="655">
        <f>+IF(OR($Q434=Parametres!$G$2,$Q434=Parametres!$G$3),K434,E434)</f>
        <v>-66</v>
      </c>
      <c r="Q434" s="654" t="str">
        <f t="shared" si="193"/>
        <v>10-Compte compteur</v>
      </c>
      <c r="R434" s="653" t="str">
        <f t="shared" si="194"/>
        <v>4201</v>
      </c>
      <c r="S434" s="654" t="str">
        <f t="shared" si="195"/>
        <v>_</v>
      </c>
      <c r="T434" s="656" t="str">
        <f>+VLOOKUP($L434,Data_Validation!$A:$D,1,0)</f>
        <v>4201@</v>
      </c>
      <c r="U434" s="656" t="str">
        <f>+VLOOKUP($L434,Data_Validation!$A:$D,3,0)</f>
        <v>Véhicules usagés</v>
      </c>
      <c r="V434" s="656" t="str">
        <f>+VLOOKUP($L434,Data_Validation!$A:$D,4,0)</f>
        <v>Certifié</v>
      </c>
      <c r="W434" s="656" t="str">
        <f>+VLOOKUP($L434,Data_Validation!$A:$E,5,0)</f>
        <v>NB</v>
      </c>
      <c r="X434" s="656">
        <f>+VLOOKUP($L434,Data_Validation!$A:$F,6,0)</f>
        <v>0</v>
      </c>
    </row>
    <row r="435" spans="1:24" ht="15.75" customHeight="1">
      <c r="A435" s="1332" t="s">
        <v>1016</v>
      </c>
      <c r="B435" s="1332" t="s">
        <v>1017</v>
      </c>
      <c r="C435" s="1333"/>
      <c r="D435" s="1333"/>
      <c r="E435" s="1333"/>
      <c r="F435" s="1332" t="s">
        <v>7</v>
      </c>
      <c r="G435" s="1332" t="s">
        <v>1015</v>
      </c>
      <c r="H435" s="1332" t="s">
        <v>3942</v>
      </c>
      <c r="I435" s="1334">
        <v>-2</v>
      </c>
      <c r="J435" s="1334">
        <v>-3</v>
      </c>
      <c r="K435" s="1334">
        <v>-5</v>
      </c>
      <c r="L435" s="653" t="str">
        <f t="shared" si="191"/>
        <v>4285@</v>
      </c>
      <c r="M435" s="654" t="str">
        <f t="shared" si="192"/>
        <v>AUTRE MARQUES DETAIL - USAGE</v>
      </c>
      <c r="N435" s="655">
        <f>+IF(OR($Q435=Parametres!$G$2,$Q435=Parametres!$G$3),I435,C435)</f>
        <v>-2</v>
      </c>
      <c r="O435" s="655">
        <f>+IF(OR($Q435=Parametres!$G$2,$Q435=Parametres!$G$3),J435,D435)</f>
        <v>-3</v>
      </c>
      <c r="P435" s="655">
        <f>+IF(OR($Q435=Parametres!$G$2,$Q435=Parametres!$G$3),K435,E435)</f>
        <v>-5</v>
      </c>
      <c r="Q435" s="654" t="str">
        <f t="shared" si="193"/>
        <v>10-Compte compteur</v>
      </c>
      <c r="R435" s="653" t="str">
        <f t="shared" si="194"/>
        <v>4261</v>
      </c>
      <c r="S435" s="654" t="str">
        <f t="shared" si="195"/>
        <v>_</v>
      </c>
      <c r="T435" s="656" t="str">
        <f>+VLOOKUP($L435,Data_Validation!$A:$D,1,0)</f>
        <v>4285@</v>
      </c>
      <c r="U435" s="656" t="str">
        <f>+VLOOKUP($L435,Data_Validation!$A:$D,3,0)</f>
        <v>Véhicules usagés</v>
      </c>
      <c r="V435" s="656" t="str">
        <f>+VLOOKUP($L435,Data_Validation!$A:$D,4,0)</f>
        <v>Autres Marques</v>
      </c>
      <c r="W435" s="656" t="str">
        <f>+VLOOKUP($L435,Data_Validation!$A:$E,5,0)</f>
        <v>NB</v>
      </c>
      <c r="X435" s="656">
        <f>+VLOOKUP($L435,Data_Validation!$A:$F,6,0)</f>
        <v>0</v>
      </c>
    </row>
    <row r="436" spans="1:24" ht="15.75" customHeight="1">
      <c r="A436" s="1332" t="s">
        <v>1020</v>
      </c>
      <c r="B436" s="1332" t="s">
        <v>1021</v>
      </c>
      <c r="C436" s="1333"/>
      <c r="D436" s="1333"/>
      <c r="E436" s="1333"/>
      <c r="F436" s="1332" t="s">
        <v>7</v>
      </c>
      <c r="G436" s="1332" t="s">
        <v>1019</v>
      </c>
      <c r="H436" s="1332" t="s">
        <v>3942</v>
      </c>
      <c r="I436" s="1334">
        <v>-43</v>
      </c>
      <c r="J436" s="1334">
        <v>-28</v>
      </c>
      <c r="K436" s="1334">
        <v>-71</v>
      </c>
      <c r="L436" s="653" t="str">
        <f t="shared" si="191"/>
        <v>4291@</v>
      </c>
      <c r="M436" s="654" t="str">
        <f t="shared" si="192"/>
        <v>VENTE AU GROS - USAGES</v>
      </c>
      <c r="N436" s="655">
        <f>+IF(OR($Q436=Parametres!$G$2,$Q436=Parametres!$G$3),I436,C436)</f>
        <v>-43</v>
      </c>
      <c r="O436" s="655">
        <f>+IF(OR($Q436=Parametres!$G$2,$Q436=Parametres!$G$3),J436,D436)</f>
        <v>-28</v>
      </c>
      <c r="P436" s="655">
        <f>+IF(OR($Q436=Parametres!$G$2,$Q436=Parametres!$G$3),K436,E436)</f>
        <v>-71</v>
      </c>
      <c r="Q436" s="654" t="str">
        <f t="shared" si="193"/>
        <v>10-Compte compteur</v>
      </c>
      <c r="R436" s="653" t="str">
        <f t="shared" si="194"/>
        <v>4281</v>
      </c>
      <c r="S436" s="654" t="str">
        <f t="shared" si="195"/>
        <v>_</v>
      </c>
      <c r="T436" s="656" t="str">
        <f>+VLOOKUP($L436,Data_Validation!$A:$D,1,0)</f>
        <v>4291@</v>
      </c>
      <c r="U436" s="656" t="str">
        <f>+VLOOKUP($L436,Data_Validation!$A:$D,3,0)</f>
        <v>Véhicules usagés</v>
      </c>
      <c r="V436" s="656" t="str">
        <f>+VLOOKUP($L436,Data_Validation!$A:$D,4,0)</f>
        <v>Ventes au Gros</v>
      </c>
      <c r="W436" s="656" t="str">
        <f>+VLOOKUP($L436,Data_Validation!$A:$E,5,0)</f>
        <v>NB</v>
      </c>
      <c r="X436" s="656">
        <f>+VLOOKUP($L436,Data_Validation!$A:$F,6,0)</f>
        <v>0</v>
      </c>
    </row>
    <row r="437" spans="1:24" ht="15.75" customHeight="1">
      <c r="A437" s="1332" t="s">
        <v>3670</v>
      </c>
      <c r="B437" s="1332" t="s">
        <v>1024</v>
      </c>
      <c r="C437" s="1333"/>
      <c r="D437" s="1333"/>
      <c r="E437" s="1333"/>
      <c r="F437" s="1332" t="s">
        <v>7</v>
      </c>
      <c r="G437" s="1332" t="s">
        <v>1023</v>
      </c>
      <c r="H437" s="1332" t="s">
        <v>3942</v>
      </c>
      <c r="I437" s="1334">
        <v>-559</v>
      </c>
      <c r="J437" s="1334">
        <v>-329</v>
      </c>
      <c r="K437" s="1334">
        <v>-888</v>
      </c>
      <c r="L437" s="653" t="str">
        <f t="shared" si="191"/>
        <v>4401@</v>
      </c>
      <c r="M437" s="654" t="str">
        <f t="shared" si="192"/>
        <v>MAIN-D'OEUVRE - CLIENT VW - MCI</v>
      </c>
      <c r="N437" s="655">
        <f>+IF(OR($Q437=Parametres!$G$2,$Q437=Parametres!$G$3),I437,C437)</f>
        <v>-559</v>
      </c>
      <c r="O437" s="655">
        <f>+IF(OR($Q437=Parametres!$G$2,$Q437=Parametres!$G$3),J437,D437)</f>
        <v>-329</v>
      </c>
      <c r="P437" s="655">
        <f>+IF(OR($Q437=Parametres!$G$2,$Q437=Parametres!$G$3),K437,E437)</f>
        <v>-888</v>
      </c>
      <c r="Q437" s="654" t="str">
        <f t="shared" si="193"/>
        <v>10-Compte compteur</v>
      </c>
      <c r="R437" s="653" t="str">
        <f t="shared" si="194"/>
        <v>4401</v>
      </c>
      <c r="S437" s="654" t="str">
        <f t="shared" si="195"/>
        <v>_</v>
      </c>
      <c r="T437" s="656" t="str">
        <f>+VLOOKUP($L437,Data_Validation!$A:$D,1,0)</f>
        <v>4401@</v>
      </c>
      <c r="U437" s="656" t="str">
        <f>+VLOOKUP($L437,Data_Validation!$A:$D,3,0)</f>
        <v>Service</v>
      </c>
      <c r="V437" s="656" t="str">
        <f>+VLOOKUP($L437,Data_Validation!$A:$D,4,0)</f>
        <v>M/O Client</v>
      </c>
      <c r="W437" s="656" t="str">
        <f>+VLOOKUP($L437,Data_Validation!$A:$E,5,0)</f>
        <v>NB</v>
      </c>
      <c r="X437" s="656">
        <f>+VLOOKUP($L437,Data_Validation!$A:$F,6,0)</f>
        <v>0</v>
      </c>
    </row>
    <row r="438" spans="1:24" ht="15.75" customHeight="1">
      <c r="A438" s="1332" t="s">
        <v>3671</v>
      </c>
      <c r="B438" s="1332" t="s">
        <v>1029</v>
      </c>
      <c r="C438" s="1333"/>
      <c r="D438" s="1333"/>
      <c r="E438" s="1333"/>
      <c r="F438" s="1332" t="s">
        <v>7</v>
      </c>
      <c r="G438" s="1332" t="s">
        <v>1028</v>
      </c>
      <c r="H438" s="1332" t="s">
        <v>3942</v>
      </c>
      <c r="I438" s="1334">
        <v>-388</v>
      </c>
      <c r="J438" s="1334">
        <v>-170</v>
      </c>
      <c r="K438" s="1334">
        <v>-558</v>
      </c>
      <c r="L438" s="653" t="str">
        <f t="shared" ref="L438:L446" si="196">TEXT(B438,0)</f>
        <v>4403@</v>
      </c>
      <c r="M438" s="654" t="str">
        <f t="shared" ref="M438:M446" si="197">+A438</f>
        <v>MAIN-D'OEUVRE - GARANTIE VW - MCI</v>
      </c>
      <c r="N438" s="655">
        <f>+IF(OR($Q438=Parametres!$G$2,$Q438=Parametres!$G$3),I438,C438)</f>
        <v>-388</v>
      </c>
      <c r="O438" s="655">
        <f>+IF(OR($Q438=Parametres!$G$2,$Q438=Parametres!$G$3),J438,D438)</f>
        <v>-170</v>
      </c>
      <c r="P438" s="655">
        <f>+IF(OR($Q438=Parametres!$G$2,$Q438=Parametres!$G$3),K438,E438)</f>
        <v>-558</v>
      </c>
      <c r="Q438" s="654" t="str">
        <f t="shared" ref="Q438:Q446" si="198">+F438</f>
        <v>10-Compte compteur</v>
      </c>
      <c r="R438" s="653" t="str">
        <f t="shared" ref="R438:R446" si="199">+G438</f>
        <v>4403</v>
      </c>
      <c r="S438" s="654" t="str">
        <f t="shared" ref="S438:S446" si="200">+H438</f>
        <v>_</v>
      </c>
      <c r="T438" s="656" t="str">
        <f>+VLOOKUP($L438,Data_Validation!$A:$D,1,0)</f>
        <v>4403@</v>
      </c>
      <c r="U438" s="656" t="str">
        <f>+VLOOKUP($L438,Data_Validation!$A:$D,3,0)</f>
        <v>Service</v>
      </c>
      <c r="V438" s="656" t="str">
        <f>+VLOOKUP($L438,Data_Validation!$A:$D,4,0)</f>
        <v>M/O Garantie</v>
      </c>
      <c r="W438" s="656" t="str">
        <f>+VLOOKUP($L438,Data_Validation!$A:$E,5,0)</f>
        <v>NB</v>
      </c>
      <c r="X438" s="656">
        <f>+VLOOKUP($L438,Data_Validation!$A:$F,6,0)</f>
        <v>0</v>
      </c>
    </row>
    <row r="439" spans="1:24" ht="15.75" customHeight="1">
      <c r="A439" s="1332" t="s">
        <v>3672</v>
      </c>
      <c r="B439" s="1332" t="s">
        <v>1032</v>
      </c>
      <c r="C439" s="1333"/>
      <c r="D439" s="1333"/>
      <c r="E439" s="1333"/>
      <c r="F439" s="1332" t="s">
        <v>7</v>
      </c>
      <c r="G439" s="1332" t="s">
        <v>1031</v>
      </c>
      <c r="H439" s="1332" t="s">
        <v>3942</v>
      </c>
      <c r="I439" s="1334">
        <v>-524</v>
      </c>
      <c r="J439" s="1334">
        <v>-350</v>
      </c>
      <c r="K439" s="1334">
        <v>-874</v>
      </c>
      <c r="L439" s="653" t="str">
        <f t="shared" si="196"/>
        <v>4405@</v>
      </c>
      <c r="M439" s="654" t="str">
        <f t="shared" si="197"/>
        <v>MAIN-D'OEUVRE - INTERNE VW - MCI</v>
      </c>
      <c r="N439" s="655">
        <f>+IF(OR($Q439=Parametres!$G$2,$Q439=Parametres!$G$3),I439,C439)</f>
        <v>-524</v>
      </c>
      <c r="O439" s="655">
        <f>+IF(OR($Q439=Parametres!$G$2,$Q439=Parametres!$G$3),J439,D439)</f>
        <v>-350</v>
      </c>
      <c r="P439" s="655">
        <f>+IF(OR($Q439=Parametres!$G$2,$Q439=Parametres!$G$3),K439,E439)</f>
        <v>-874</v>
      </c>
      <c r="Q439" s="654" t="str">
        <f t="shared" si="198"/>
        <v>10-Compte compteur</v>
      </c>
      <c r="R439" s="653" t="str">
        <f t="shared" si="199"/>
        <v>4405</v>
      </c>
      <c r="S439" s="654" t="str">
        <f t="shared" si="200"/>
        <v>_</v>
      </c>
      <c r="T439" s="656" t="str">
        <f>+VLOOKUP($L439,Data_Validation!$A:$D,1,0)</f>
        <v>4405@</v>
      </c>
      <c r="U439" s="656" t="str">
        <f>+VLOOKUP($L439,Data_Validation!$A:$D,3,0)</f>
        <v>Service</v>
      </c>
      <c r="V439" s="656" t="str">
        <f>+VLOOKUP($L439,Data_Validation!$A:$D,4,0)</f>
        <v>M/O Interne</v>
      </c>
      <c r="W439" s="656" t="str">
        <f>+VLOOKUP($L439,Data_Validation!$A:$E,5,0)</f>
        <v>NB</v>
      </c>
      <c r="X439" s="656">
        <f>+VLOOKUP($L439,Data_Validation!$A:$F,6,0)</f>
        <v>0</v>
      </c>
    </row>
    <row r="440" spans="1:24" ht="15.75" customHeight="1">
      <c r="A440" s="1332" t="s">
        <v>1033</v>
      </c>
      <c r="B440" s="1332" t="s">
        <v>1035</v>
      </c>
      <c r="C440" s="1333"/>
      <c r="D440" s="1333"/>
      <c r="E440" s="1333"/>
      <c r="F440" s="1332" t="s">
        <v>7</v>
      </c>
      <c r="G440" s="1332" t="s">
        <v>1034</v>
      </c>
      <c r="H440" s="1332" t="s">
        <v>3942</v>
      </c>
      <c r="I440" s="1334">
        <v>-554</v>
      </c>
      <c r="J440" s="1334">
        <v>-310</v>
      </c>
      <c r="K440" s="1334">
        <v>-864</v>
      </c>
      <c r="L440" s="653" t="str">
        <f t="shared" si="196"/>
        <v>4451@</v>
      </c>
      <c r="M440" s="654" t="str">
        <f t="shared" si="197"/>
        <v>CARBURANT/HUILE/GRAISSE</v>
      </c>
      <c r="N440" s="655">
        <f>+IF(OR($Q440=Parametres!$G$2,$Q440=Parametres!$G$3),I440,C440)</f>
        <v>-554</v>
      </c>
      <c r="O440" s="655">
        <f>+IF(OR($Q440=Parametres!$G$2,$Q440=Parametres!$G$3),J440,D440)</f>
        <v>-310</v>
      </c>
      <c r="P440" s="655">
        <f>+IF(OR($Q440=Parametres!$G$2,$Q440=Parametres!$G$3),K440,E440)</f>
        <v>-864</v>
      </c>
      <c r="Q440" s="654" t="str">
        <f t="shared" si="198"/>
        <v>10-Compte compteur</v>
      </c>
      <c r="R440" s="653" t="str">
        <f t="shared" si="199"/>
        <v>4782</v>
      </c>
      <c r="S440" s="654" t="str">
        <f t="shared" si="200"/>
        <v>_</v>
      </c>
      <c r="T440" s="656" t="str">
        <f>+VLOOKUP($L440,Data_Validation!$A:$D,1,0)</f>
        <v>4451@</v>
      </c>
      <c r="U440" s="656" t="str">
        <f>+VLOOKUP($L440,Data_Validation!$A:$D,3,0)</f>
        <v>Pièces</v>
      </c>
      <c r="V440" s="656" t="str">
        <f>+VLOOKUP($L440,Data_Validation!$A:$D,4,0)</f>
        <v>Huiles et Graisse</v>
      </c>
      <c r="W440" s="656" t="str">
        <f>+VLOOKUP($L440,Data_Validation!$A:$E,5,0)</f>
        <v>NB</v>
      </c>
      <c r="X440" s="656">
        <f>+VLOOKUP($L440,Data_Validation!$A:$F,6,0)</f>
        <v>0</v>
      </c>
    </row>
    <row r="441" spans="1:24" ht="15.75" customHeight="1">
      <c r="A441" s="1332" t="s">
        <v>1036</v>
      </c>
      <c r="B441" s="1332" t="s">
        <v>1038</v>
      </c>
      <c r="C441" s="1333"/>
      <c r="D441" s="1333"/>
      <c r="E441" s="1333"/>
      <c r="F441" s="1332" t="s">
        <v>7</v>
      </c>
      <c r="G441" s="1332" t="s">
        <v>1037</v>
      </c>
      <c r="H441" s="1332" t="s">
        <v>3942</v>
      </c>
      <c r="I441" s="1334">
        <v>-119</v>
      </c>
      <c r="J441" s="1334">
        <v>-37</v>
      </c>
      <c r="K441" s="1334">
        <v>-156</v>
      </c>
      <c r="L441" s="653" t="str">
        <f t="shared" si="196"/>
        <v>4491@</v>
      </c>
      <c r="M441" s="654" t="str">
        <f t="shared" si="197"/>
        <v>REPARATION SOUS-LOC. - GENERAL</v>
      </c>
      <c r="N441" s="655">
        <f>+IF(OR($Q441=Parametres!$G$2,$Q441=Parametres!$G$3),I441,C441)</f>
        <v>-119</v>
      </c>
      <c r="O441" s="655">
        <f>+IF(OR($Q441=Parametres!$G$2,$Q441=Parametres!$G$3),J441,D441)</f>
        <v>-37</v>
      </c>
      <c r="P441" s="655">
        <f>+IF(OR($Q441=Parametres!$G$2,$Q441=Parametres!$G$3),K441,E441)</f>
        <v>-156</v>
      </c>
      <c r="Q441" s="654" t="str">
        <f t="shared" si="198"/>
        <v>10-Compte compteur</v>
      </c>
      <c r="R441" s="653" t="str">
        <f t="shared" si="199"/>
        <v>4491</v>
      </c>
      <c r="S441" s="654" t="str">
        <f t="shared" si="200"/>
        <v>_</v>
      </c>
      <c r="T441" s="656" t="str">
        <f>+VLOOKUP($L441,Data_Validation!$A:$D,1,0)</f>
        <v>4491@</v>
      </c>
      <c r="U441" s="656" t="str">
        <f>+VLOOKUP($L441,Data_Validation!$A:$D,3,0)</f>
        <v>Service</v>
      </c>
      <c r="V441" s="656" t="str">
        <f>+VLOOKUP($L441,Data_Validation!$A:$D,4,0)</f>
        <v>Sous-traitement</v>
      </c>
      <c r="W441" s="656" t="str">
        <f>+VLOOKUP($L441,Data_Validation!$A:$E,5,0)</f>
        <v>NB</v>
      </c>
      <c r="X441" s="656">
        <f>+VLOOKUP($L441,Data_Validation!$A:$F,6,0)</f>
        <v>0</v>
      </c>
    </row>
    <row r="442" spans="1:24" ht="15.75" customHeight="1">
      <c r="A442" s="1332" t="s">
        <v>1041</v>
      </c>
      <c r="B442" s="1332" t="s">
        <v>1042</v>
      </c>
      <c r="C442" s="1333"/>
      <c r="D442" s="1333"/>
      <c r="E442" s="1333"/>
      <c r="F442" s="1332" t="s">
        <v>7</v>
      </c>
      <c r="G442" s="1332" t="s">
        <v>1040</v>
      </c>
      <c r="H442" s="1332" t="s">
        <v>3942</v>
      </c>
      <c r="I442" s="1334">
        <v>0</v>
      </c>
      <c r="J442" s="1334">
        <v>-1</v>
      </c>
      <c r="K442" s="1334">
        <v>-1</v>
      </c>
      <c r="L442" s="653" t="str">
        <f t="shared" si="196"/>
        <v>4493@</v>
      </c>
      <c r="M442" s="654" t="str">
        <f t="shared" si="197"/>
        <v># DE VTE - SOUS-TRAITANCE GARANTIE</v>
      </c>
      <c r="N442" s="655">
        <f>+IF(OR($Q442=Parametres!$G$2,$Q442=Parametres!$G$3),I442,C442)</f>
        <v>0</v>
      </c>
      <c r="O442" s="655">
        <f>+IF(OR($Q442=Parametres!$G$2,$Q442=Parametres!$G$3),J442,D442)</f>
        <v>-1</v>
      </c>
      <c r="P442" s="655">
        <f>+IF(OR($Q442=Parametres!$G$2,$Q442=Parametres!$G$3),K442,E442)</f>
        <v>-1</v>
      </c>
      <c r="Q442" s="654" t="str">
        <f t="shared" si="198"/>
        <v>10-Compte compteur</v>
      </c>
      <c r="R442" s="653" t="str">
        <f t="shared" si="199"/>
        <v>4493</v>
      </c>
      <c r="S442" s="654" t="str">
        <f t="shared" si="200"/>
        <v>_</v>
      </c>
      <c r="T442" s="656" t="str">
        <f>+VLOOKUP($L442,Data_Validation!$A:$D,1,0)</f>
        <v>4493@</v>
      </c>
      <c r="U442" s="656" t="str">
        <f>+VLOOKUP($L442,Data_Validation!$A:$D,3,0)</f>
        <v>Service</v>
      </c>
      <c r="V442" s="656" t="str">
        <f>+VLOOKUP($L442,Data_Validation!$A:$D,4,0)</f>
        <v>Sous-traitement</v>
      </c>
      <c r="W442" s="656" t="str">
        <f>+VLOOKUP($L442,Data_Validation!$A:$E,5,0)</f>
        <v>NB</v>
      </c>
      <c r="X442" s="656">
        <f>+VLOOKUP($L442,Data_Validation!$A:$F,6,0)</f>
        <v>0</v>
      </c>
    </row>
    <row r="443" spans="1:24" ht="15.75" customHeight="1">
      <c r="A443" s="1332" t="s">
        <v>1045</v>
      </c>
      <c r="B443" s="1332" t="s">
        <v>1046</v>
      </c>
      <c r="C443" s="1333"/>
      <c r="D443" s="1333"/>
      <c r="E443" s="1333"/>
      <c r="F443" s="1332" t="s">
        <v>7</v>
      </c>
      <c r="G443" s="1332" t="s">
        <v>1044</v>
      </c>
      <c r="H443" s="1332" t="s">
        <v>3942</v>
      </c>
      <c r="I443" s="1334">
        <v>-81</v>
      </c>
      <c r="J443" s="1334">
        <v>-45</v>
      </c>
      <c r="K443" s="1334">
        <v>-126</v>
      </c>
      <c r="L443" s="653" t="str">
        <f t="shared" si="196"/>
        <v>4495@</v>
      </c>
      <c r="M443" s="654" t="str">
        <f t="shared" si="197"/>
        <v># DE VTE - S-TRAITANCE MEC.INTERNE VW</v>
      </c>
      <c r="N443" s="655">
        <f>+IF(OR($Q443=Parametres!$G$2,$Q443=Parametres!$G$3),I443,C443)</f>
        <v>-81</v>
      </c>
      <c r="O443" s="655">
        <f>+IF(OR($Q443=Parametres!$G$2,$Q443=Parametres!$G$3),J443,D443)</f>
        <v>-45</v>
      </c>
      <c r="P443" s="655">
        <f>+IF(OR($Q443=Parametres!$G$2,$Q443=Parametres!$G$3),K443,E443)</f>
        <v>-126</v>
      </c>
      <c r="Q443" s="654" t="str">
        <f t="shared" si="198"/>
        <v>10-Compte compteur</v>
      </c>
      <c r="R443" s="653" t="str">
        <f t="shared" si="199"/>
        <v>4495</v>
      </c>
      <c r="S443" s="654" t="str">
        <f t="shared" si="200"/>
        <v>_</v>
      </c>
      <c r="T443" s="656" t="str">
        <f>+VLOOKUP($L443,Data_Validation!$A:$D,1,0)</f>
        <v>4495@</v>
      </c>
      <c r="U443" s="656" t="str">
        <f>+VLOOKUP($L443,Data_Validation!$A:$D,3,0)</f>
        <v>Service</v>
      </c>
      <c r="V443" s="656" t="str">
        <f>+VLOOKUP($L443,Data_Validation!$A:$D,4,0)</f>
        <v>Sous-traitement</v>
      </c>
      <c r="W443" s="656" t="str">
        <f>+VLOOKUP($L443,Data_Validation!$A:$E,5,0)</f>
        <v>NB</v>
      </c>
      <c r="X443" s="656">
        <f>+VLOOKUP($L443,Data_Validation!$A:$F,6,0)</f>
        <v>0</v>
      </c>
    </row>
    <row r="444" spans="1:24" ht="15.75" customHeight="1">
      <c r="A444" s="1332" t="s">
        <v>3429</v>
      </c>
      <c r="B444" s="1332" t="s">
        <v>3430</v>
      </c>
      <c r="C444" s="1333"/>
      <c r="D444" s="1333"/>
      <c r="E444" s="1333"/>
      <c r="F444" s="1332" t="s">
        <v>7</v>
      </c>
      <c r="G444" s="1332" t="s">
        <v>3426</v>
      </c>
      <c r="H444" s="1332" t="s">
        <v>3942</v>
      </c>
      <c r="I444" s="1334">
        <v>-44</v>
      </c>
      <c r="J444" s="1334">
        <v>-30</v>
      </c>
      <c r="K444" s="1334">
        <v>-74</v>
      </c>
      <c r="L444" s="653" t="str">
        <f t="shared" si="196"/>
        <v>4505@</v>
      </c>
      <c r="M444" s="654" t="str">
        <f t="shared" si="197"/>
        <v># DE VTE - M.O. INTERNE CARROSSERIE</v>
      </c>
      <c r="N444" s="655">
        <f>+IF(OR($Q444=Parametres!$G$2,$Q444=Parametres!$G$3),I444,C444)</f>
        <v>-44</v>
      </c>
      <c r="O444" s="655">
        <f>+IF(OR($Q444=Parametres!$G$2,$Q444=Parametres!$G$3),J444,D444)</f>
        <v>-30</v>
      </c>
      <c r="P444" s="655">
        <f>+IF(OR($Q444=Parametres!$G$2,$Q444=Parametres!$G$3),K444,E444)</f>
        <v>-74</v>
      </c>
      <c r="Q444" s="654" t="str">
        <f t="shared" si="198"/>
        <v>10-Compte compteur</v>
      </c>
      <c r="R444" s="653" t="str">
        <f t="shared" si="199"/>
        <v>4505</v>
      </c>
      <c r="S444" s="654" t="str">
        <f t="shared" si="200"/>
        <v>_</v>
      </c>
      <c r="T444" s="656" t="str">
        <f>+VLOOKUP($L444,Data_Validation!$A:$D,1,0)</f>
        <v>4505@</v>
      </c>
      <c r="U444" s="656" t="str">
        <f>+VLOOKUP($L444,Data_Validation!$A:$D,3,0)</f>
        <v>Service</v>
      </c>
      <c r="V444" s="656" t="str">
        <f>+VLOOKUP($L444,Data_Validation!$A:$D,4,0)</f>
        <v>M.O. Recond. MCPA</v>
      </c>
      <c r="W444" s="656" t="str">
        <f>+VLOOKUP($L444,Data_Validation!$A:$E,5,0)</f>
        <v>NB</v>
      </c>
      <c r="X444" s="656">
        <f>+VLOOKUP($L444,Data_Validation!$A:$F,6,0)</f>
        <v>0</v>
      </c>
    </row>
    <row r="445" spans="1:24" ht="15.75" customHeight="1">
      <c r="A445" s="1332" t="s">
        <v>1052</v>
      </c>
      <c r="B445" s="1332" t="s">
        <v>1053</v>
      </c>
      <c r="C445" s="1333"/>
      <c r="D445" s="1333"/>
      <c r="E445" s="1333"/>
      <c r="F445" s="1332" t="s">
        <v>7</v>
      </c>
      <c r="G445" s="1332" t="s">
        <v>1051</v>
      </c>
      <c r="H445" s="1332" t="s">
        <v>3942</v>
      </c>
      <c r="I445" s="1334">
        <v>-30</v>
      </c>
      <c r="J445" s="1334">
        <v>-6</v>
      </c>
      <c r="K445" s="1334">
        <v>-36</v>
      </c>
      <c r="L445" s="653" t="str">
        <f t="shared" si="196"/>
        <v>4591@</v>
      </c>
      <c r="M445" s="654" t="str">
        <f t="shared" si="197"/>
        <v>REPARATION SOUS-LOC.-PEINT/DEB</v>
      </c>
      <c r="N445" s="655">
        <f>+IF(OR($Q445=Parametres!$G$2,$Q445=Parametres!$G$3),I445,C445)</f>
        <v>-30</v>
      </c>
      <c r="O445" s="655">
        <f>+IF(OR($Q445=Parametres!$G$2,$Q445=Parametres!$G$3),J445,D445)</f>
        <v>-6</v>
      </c>
      <c r="P445" s="655">
        <f>+IF(OR($Q445=Parametres!$G$2,$Q445=Parametres!$G$3),K445,E445)</f>
        <v>-36</v>
      </c>
      <c r="Q445" s="654" t="str">
        <f t="shared" si="198"/>
        <v>10-Compte compteur</v>
      </c>
      <c r="R445" s="653" t="str">
        <f t="shared" si="199"/>
        <v>4591</v>
      </c>
      <c r="S445" s="654" t="str">
        <f t="shared" si="200"/>
        <v>_</v>
      </c>
      <c r="T445" s="656" t="str">
        <f>+VLOOKUP($L445,Data_Validation!$A:$D,1,0)</f>
        <v>4591@</v>
      </c>
      <c r="U445" s="656" t="str">
        <f>+VLOOKUP($L445,Data_Validation!$A:$D,3,0)</f>
        <v>Carrosserie</v>
      </c>
      <c r="V445" s="656" t="str">
        <f>+VLOOKUP($L445,Data_Validation!$A:$D,4,0)</f>
        <v>M/O Sous-traitement</v>
      </c>
      <c r="W445" s="656" t="str">
        <f>+VLOOKUP($L445,Data_Validation!$A:$E,5,0)</f>
        <v>NB</v>
      </c>
      <c r="X445" s="656">
        <f>+VLOOKUP($L445,Data_Validation!$A:$F,6,0)</f>
        <v>0</v>
      </c>
    </row>
    <row r="446" spans="1:24" ht="15.75" customHeight="1">
      <c r="A446" s="1332" t="s">
        <v>1056</v>
      </c>
      <c r="B446" s="1332" t="s">
        <v>1057</v>
      </c>
      <c r="C446" s="1333"/>
      <c r="D446" s="1333"/>
      <c r="E446" s="1333"/>
      <c r="F446" s="1332" t="s">
        <v>7</v>
      </c>
      <c r="G446" s="1332" t="s">
        <v>1055</v>
      </c>
      <c r="H446" s="1332" t="s">
        <v>3942</v>
      </c>
      <c r="I446" s="1334">
        <v>-68</v>
      </c>
      <c r="J446" s="1334">
        <v>-19</v>
      </c>
      <c r="K446" s="1334">
        <v>-87</v>
      </c>
      <c r="L446" s="653" t="str">
        <f t="shared" si="196"/>
        <v>4593@</v>
      </c>
      <c r="M446" s="654" t="str">
        <f t="shared" si="197"/>
        <v># DE VTE - S-TRAITANCE GAR.CARR.</v>
      </c>
      <c r="N446" s="655">
        <f>+IF(OR($Q446=Parametres!$G$2,$Q446=Parametres!$G$3),I446,C446)</f>
        <v>-68</v>
      </c>
      <c r="O446" s="655">
        <f>+IF(OR($Q446=Parametres!$G$2,$Q446=Parametres!$G$3),J446,D446)</f>
        <v>-19</v>
      </c>
      <c r="P446" s="655">
        <f>+IF(OR($Q446=Parametres!$G$2,$Q446=Parametres!$G$3),K446,E446)</f>
        <v>-87</v>
      </c>
      <c r="Q446" s="654" t="str">
        <f t="shared" si="198"/>
        <v>10-Compte compteur</v>
      </c>
      <c r="R446" s="653" t="str">
        <f t="shared" si="199"/>
        <v>4593</v>
      </c>
      <c r="S446" s="654" t="str">
        <f t="shared" si="200"/>
        <v>_</v>
      </c>
      <c r="T446" s="656" t="str">
        <f>+VLOOKUP($L446,Data_Validation!$A:$D,1,0)</f>
        <v>4593@</v>
      </c>
      <c r="U446" s="656" t="str">
        <f>+VLOOKUP($L446,Data_Validation!$A:$D,3,0)</f>
        <v>Carrosserie</v>
      </c>
      <c r="V446" s="656" t="str">
        <f>+VLOOKUP($L446,Data_Validation!$A:$D,4,0)</f>
        <v>M/O Sous-traitement</v>
      </c>
      <c r="W446" s="656" t="str">
        <f>+VLOOKUP($L446,Data_Validation!$A:$E,5,0)</f>
        <v>NB</v>
      </c>
      <c r="X446" s="656">
        <f>+VLOOKUP($L446,Data_Validation!$A:$F,6,0)</f>
        <v>0</v>
      </c>
    </row>
    <row r="447" spans="1:24" ht="15.75" customHeight="1">
      <c r="A447" s="1332" t="s">
        <v>1060</v>
      </c>
      <c r="B447" s="1332" t="s">
        <v>1061</v>
      </c>
      <c r="C447" s="1333"/>
      <c r="D447" s="1333"/>
      <c r="E447" s="1333"/>
      <c r="F447" s="1332" t="s">
        <v>7</v>
      </c>
      <c r="G447" s="1332" t="s">
        <v>1059</v>
      </c>
      <c r="H447" s="1332" t="s">
        <v>3942</v>
      </c>
      <c r="I447" s="1334">
        <v>-2</v>
      </c>
      <c r="J447" s="1334">
        <v>-1</v>
      </c>
      <c r="K447" s="1334">
        <v>-3</v>
      </c>
      <c r="L447" s="653" t="str">
        <f t="shared" ref="L447:L460" si="201">TEXT(B447,0)</f>
        <v>4595@</v>
      </c>
      <c r="M447" s="654" t="str">
        <f t="shared" ref="M447:M460" si="202">+A447</f>
        <v># DE VTE - S-TRAIT.INTERNE CARR.</v>
      </c>
      <c r="N447" s="655">
        <f>+IF(OR($Q447=Parametres!$G$2,$Q447=Parametres!$G$3),I447,C447)</f>
        <v>-2</v>
      </c>
      <c r="O447" s="655">
        <f>+IF(OR($Q447=Parametres!$G$2,$Q447=Parametres!$G$3),J447,D447)</f>
        <v>-1</v>
      </c>
      <c r="P447" s="655">
        <f>+IF(OR($Q447=Parametres!$G$2,$Q447=Parametres!$G$3),K447,E447)</f>
        <v>-3</v>
      </c>
      <c r="Q447" s="654" t="str">
        <f t="shared" ref="Q447:Q460" si="203">+F447</f>
        <v>10-Compte compteur</v>
      </c>
      <c r="R447" s="653" t="str">
        <f t="shared" ref="R447:R460" si="204">+G447</f>
        <v>4595</v>
      </c>
      <c r="S447" s="654" t="str">
        <f t="shared" ref="S447:S460" si="205">+H447</f>
        <v>_</v>
      </c>
      <c r="T447" s="656" t="str">
        <f>+VLOOKUP($L447,Data_Validation!$A:$D,1,0)</f>
        <v>4595@</v>
      </c>
      <c r="U447" s="656" t="str">
        <f>+VLOOKUP($L447,Data_Validation!$A:$D,3,0)</f>
        <v>Carrosserie</v>
      </c>
      <c r="V447" s="656" t="str">
        <f>+VLOOKUP($L447,Data_Validation!$A:$D,4,0)</f>
        <v>M/O Sous-traitement</v>
      </c>
      <c r="W447" s="656" t="str">
        <f>+VLOOKUP($L447,Data_Validation!$A:$E,5,0)</f>
        <v>NB</v>
      </c>
      <c r="X447" s="656">
        <f>+VLOOKUP($L447,Data_Validation!$A:$F,6,0)</f>
        <v>0</v>
      </c>
    </row>
    <row r="448" spans="1:24" ht="15.75" customHeight="1">
      <c r="A448" s="1332" t="s">
        <v>3673</v>
      </c>
      <c r="B448" s="1332" t="s">
        <v>1065</v>
      </c>
      <c r="C448" s="1333"/>
      <c r="D448" s="1333"/>
      <c r="E448" s="1333"/>
      <c r="F448" s="1332" t="s">
        <v>7</v>
      </c>
      <c r="G448" s="1332" t="s">
        <v>1063</v>
      </c>
      <c r="H448" s="1332" t="s">
        <v>3942</v>
      </c>
      <c r="I448" s="1334">
        <v>-546</v>
      </c>
      <c r="J448" s="1334">
        <v>-328</v>
      </c>
      <c r="K448" s="1334">
        <v>-874</v>
      </c>
      <c r="L448" s="653" t="str">
        <f t="shared" si="201"/>
        <v>4701@</v>
      </c>
      <c r="M448" s="654" t="str">
        <f t="shared" si="202"/>
        <v>VW P&amp;A - BR - CLIENT - MCI</v>
      </c>
      <c r="N448" s="655">
        <f>+IF(OR($Q448=Parametres!$G$2,$Q448=Parametres!$G$3),I448,C448)</f>
        <v>-546</v>
      </c>
      <c r="O448" s="655">
        <f>+IF(OR($Q448=Parametres!$G$2,$Q448=Parametres!$G$3),J448,D448)</f>
        <v>-328</v>
      </c>
      <c r="P448" s="655">
        <f>+IF(OR($Q448=Parametres!$G$2,$Q448=Parametres!$G$3),K448,E448)</f>
        <v>-874</v>
      </c>
      <c r="Q448" s="654" t="str">
        <f t="shared" si="203"/>
        <v>10-Compte compteur</v>
      </c>
      <c r="R448" s="653" t="str">
        <f t="shared" si="204"/>
        <v>4701</v>
      </c>
      <c r="S448" s="654" t="str">
        <f t="shared" si="205"/>
        <v>_</v>
      </c>
      <c r="T448" s="656" t="str">
        <f>+VLOOKUP($L448,Data_Validation!$A:$D,1,0)</f>
        <v>4701@</v>
      </c>
      <c r="U448" s="656" t="str">
        <f>+VLOOKUP($L448,Data_Validation!$A:$D,3,0)</f>
        <v>Pièces</v>
      </c>
      <c r="V448" s="656" t="str">
        <f>+VLOOKUP($L448,Data_Validation!$A:$D,4,0)</f>
        <v>Pièces Ro Clients</v>
      </c>
      <c r="W448" s="656" t="str">
        <f>+VLOOKUP($L448,Data_Validation!$A:$E,5,0)</f>
        <v>NB</v>
      </c>
      <c r="X448" s="656">
        <f>+VLOOKUP($L448,Data_Validation!$A:$F,6,0)</f>
        <v>0</v>
      </c>
    </row>
    <row r="449" spans="1:24" ht="15.75" customHeight="1">
      <c r="A449" s="1332" t="s">
        <v>3674</v>
      </c>
      <c r="B449" s="1332" t="s">
        <v>1071</v>
      </c>
      <c r="C449" s="1333"/>
      <c r="D449" s="1333"/>
      <c r="E449" s="1333"/>
      <c r="F449" s="1332" t="s">
        <v>7</v>
      </c>
      <c r="G449" s="1332" t="s">
        <v>1069</v>
      </c>
      <c r="H449" s="1332" t="s">
        <v>3942</v>
      </c>
      <c r="I449" s="1334">
        <v>-313</v>
      </c>
      <c r="J449" s="1334">
        <v>-117</v>
      </c>
      <c r="K449" s="1334">
        <v>-430</v>
      </c>
      <c r="L449" s="653" t="str">
        <f t="shared" si="201"/>
        <v>4703@</v>
      </c>
      <c r="M449" s="654" t="str">
        <f t="shared" si="202"/>
        <v>VW P&amp;A - BR - GARANTIE - MCI</v>
      </c>
      <c r="N449" s="655">
        <f>+IF(OR($Q449=Parametres!$G$2,$Q449=Parametres!$G$3),I449,C449)</f>
        <v>-313</v>
      </c>
      <c r="O449" s="655">
        <f>+IF(OR($Q449=Parametres!$G$2,$Q449=Parametres!$G$3),J449,D449)</f>
        <v>-117</v>
      </c>
      <c r="P449" s="655">
        <f>+IF(OR($Q449=Parametres!$G$2,$Q449=Parametres!$G$3),K449,E449)</f>
        <v>-430</v>
      </c>
      <c r="Q449" s="654" t="str">
        <f t="shared" si="203"/>
        <v>10-Compte compteur</v>
      </c>
      <c r="R449" s="653" t="str">
        <f t="shared" si="204"/>
        <v>4703</v>
      </c>
      <c r="S449" s="654" t="str">
        <f t="shared" si="205"/>
        <v>_</v>
      </c>
      <c r="T449" s="656" t="str">
        <f>+VLOOKUP($L449,Data_Validation!$A:$D,1,0)</f>
        <v>4703@</v>
      </c>
      <c r="U449" s="656" t="str">
        <f>+VLOOKUP($L449,Data_Validation!$A:$D,3,0)</f>
        <v>Pièces</v>
      </c>
      <c r="V449" s="656" t="str">
        <f>+VLOOKUP($L449,Data_Validation!$A:$D,4,0)</f>
        <v>P/A Garantie</v>
      </c>
      <c r="W449" s="656" t="str">
        <f>+VLOOKUP($L449,Data_Validation!$A:$E,5,0)</f>
        <v>NB</v>
      </c>
      <c r="X449" s="656">
        <f>+VLOOKUP($L449,Data_Validation!$A:$F,6,0)</f>
        <v>0</v>
      </c>
    </row>
    <row r="450" spans="1:24" ht="15.75" customHeight="1">
      <c r="A450" s="1332" t="s">
        <v>3675</v>
      </c>
      <c r="B450" s="1332" t="s">
        <v>1075</v>
      </c>
      <c r="C450" s="1333"/>
      <c r="D450" s="1333"/>
      <c r="E450" s="1333"/>
      <c r="F450" s="1332" t="s">
        <v>7</v>
      </c>
      <c r="G450" s="1332" t="s">
        <v>1073</v>
      </c>
      <c r="H450" s="1332" t="s">
        <v>3942</v>
      </c>
      <c r="I450" s="1334">
        <v>-510</v>
      </c>
      <c r="J450" s="1334">
        <v>-331</v>
      </c>
      <c r="K450" s="1334">
        <v>-841</v>
      </c>
      <c r="L450" s="653" t="str">
        <f t="shared" si="201"/>
        <v>4705@</v>
      </c>
      <c r="M450" s="654" t="str">
        <f t="shared" si="202"/>
        <v>VW P&amp;A - BR - INTERNE - MCI</v>
      </c>
      <c r="N450" s="655">
        <f>+IF(OR($Q450=Parametres!$G$2,$Q450=Parametres!$G$3),I450,C450)</f>
        <v>-510</v>
      </c>
      <c r="O450" s="655">
        <f>+IF(OR($Q450=Parametres!$G$2,$Q450=Parametres!$G$3),J450,D450)</f>
        <v>-331</v>
      </c>
      <c r="P450" s="655">
        <f>+IF(OR($Q450=Parametres!$G$2,$Q450=Parametres!$G$3),K450,E450)</f>
        <v>-841</v>
      </c>
      <c r="Q450" s="654" t="str">
        <f t="shared" si="203"/>
        <v>10-Compte compteur</v>
      </c>
      <c r="R450" s="653" t="str">
        <f t="shared" si="204"/>
        <v>4705</v>
      </c>
      <c r="S450" s="654" t="str">
        <f t="shared" si="205"/>
        <v>_</v>
      </c>
      <c r="T450" s="656" t="str">
        <f>+VLOOKUP($L450,Data_Validation!$A:$D,1,0)</f>
        <v>4705@</v>
      </c>
      <c r="U450" s="656" t="str">
        <f>+VLOOKUP($L450,Data_Validation!$A:$D,3,0)</f>
        <v>Pièces</v>
      </c>
      <c r="V450" s="656" t="str">
        <f>+VLOOKUP($L450,Data_Validation!$A:$D,4,0)</f>
        <v>Ventes Internes</v>
      </c>
      <c r="W450" s="656" t="str">
        <f>+VLOOKUP($L450,Data_Validation!$A:$E,5,0)</f>
        <v>NB</v>
      </c>
      <c r="X450" s="656">
        <f>+VLOOKUP($L450,Data_Validation!$A:$F,6,0)</f>
        <v>0</v>
      </c>
    </row>
    <row r="451" spans="1:24" ht="15.75" customHeight="1">
      <c r="A451" s="1332" t="s">
        <v>1079</v>
      </c>
      <c r="B451" s="1332" t="s">
        <v>1080</v>
      </c>
      <c r="C451" s="1333"/>
      <c r="D451" s="1333"/>
      <c r="E451" s="1333"/>
      <c r="F451" s="1332" t="s">
        <v>7</v>
      </c>
      <c r="G451" s="1332" t="s">
        <v>1078</v>
      </c>
      <c r="H451" s="1332" t="s">
        <v>3942</v>
      </c>
      <c r="I451" s="1334">
        <v>-426</v>
      </c>
      <c r="J451" s="1334">
        <v>-266</v>
      </c>
      <c r="K451" s="1334">
        <v>-692</v>
      </c>
      <c r="L451" s="653" t="str">
        <f t="shared" si="201"/>
        <v>4711@</v>
      </c>
      <c r="M451" s="654" t="str">
        <f t="shared" si="202"/>
        <v># DE VTE - P&amp;A B.T. CLIENT AUDI</v>
      </c>
      <c r="N451" s="655">
        <f>+IF(OR($Q451=Parametres!$G$2,$Q451=Parametres!$G$3),I451,C451)</f>
        <v>-426</v>
      </c>
      <c r="O451" s="655">
        <f>+IF(OR($Q451=Parametres!$G$2,$Q451=Parametres!$G$3),J451,D451)</f>
        <v>-266</v>
      </c>
      <c r="P451" s="655">
        <f>+IF(OR($Q451=Parametres!$G$2,$Q451=Parametres!$G$3),K451,E451)</f>
        <v>-692</v>
      </c>
      <c r="Q451" s="654" t="str">
        <f t="shared" si="203"/>
        <v>10-Compte compteur</v>
      </c>
      <c r="R451" s="653" t="str">
        <f t="shared" si="204"/>
        <v>84711</v>
      </c>
      <c r="S451" s="654" t="str">
        <f t="shared" si="205"/>
        <v>_</v>
      </c>
      <c r="T451" s="656" t="str">
        <f>+VLOOKUP($L451,Data_Validation!$A:$D,1,0)</f>
        <v>4711@</v>
      </c>
      <c r="U451" s="656" t="str">
        <f>+VLOOKUP($L451,Data_Validation!$A:$D,3,0)</f>
        <v>Pièces</v>
      </c>
      <c r="V451" s="656" t="str">
        <f>+VLOOKUP($L451,Data_Validation!$A:$D,4,0)</f>
        <v>Pièces Ro Clients</v>
      </c>
      <c r="W451" s="656" t="str">
        <f>+VLOOKUP($L451,Data_Validation!$A:$E,5,0)</f>
        <v>NB</v>
      </c>
      <c r="X451" s="656">
        <f>+VLOOKUP($L451,Data_Validation!$A:$F,6,0)</f>
        <v>0</v>
      </c>
    </row>
    <row r="452" spans="1:24" ht="15.75" customHeight="1">
      <c r="A452" s="1332" t="s">
        <v>1087</v>
      </c>
      <c r="B452" s="1332" t="s">
        <v>1088</v>
      </c>
      <c r="C452" s="1333"/>
      <c r="D452" s="1333"/>
      <c r="E452" s="1333"/>
      <c r="F452" s="1332" t="s">
        <v>7</v>
      </c>
      <c r="G452" s="1332" t="s">
        <v>1086</v>
      </c>
      <c r="H452" s="1332" t="s">
        <v>3942</v>
      </c>
      <c r="I452" s="1334">
        <v>-14</v>
      </c>
      <c r="J452" s="1334">
        <v>-4</v>
      </c>
      <c r="K452" s="1334">
        <v>-18</v>
      </c>
      <c r="L452" s="653" t="str">
        <f t="shared" si="201"/>
        <v>4731@</v>
      </c>
      <c r="M452" s="654" t="str">
        <f t="shared" si="202"/>
        <v>PIECES-BON REPAR. PEINT/DEBOS</v>
      </c>
      <c r="N452" s="655">
        <f>+IF(OR($Q452=Parametres!$G$2,$Q452=Parametres!$G$3),I452,C452)</f>
        <v>-14</v>
      </c>
      <c r="O452" s="655">
        <f>+IF(OR($Q452=Parametres!$G$2,$Q452=Parametres!$G$3),J452,D452)</f>
        <v>-4</v>
      </c>
      <c r="P452" s="655">
        <f>+IF(OR($Q452=Parametres!$G$2,$Q452=Parametres!$G$3),K452,E452)</f>
        <v>-18</v>
      </c>
      <c r="Q452" s="654" t="str">
        <f t="shared" si="203"/>
        <v>10-Compte compteur</v>
      </c>
      <c r="R452" s="653" t="str">
        <f t="shared" si="204"/>
        <v>4731</v>
      </c>
      <c r="S452" s="654" t="str">
        <f t="shared" si="205"/>
        <v>_</v>
      </c>
      <c r="T452" s="656" t="str">
        <f>+VLOOKUP($L452,Data_Validation!$A:$D,1,0)</f>
        <v>4731@</v>
      </c>
      <c r="U452" s="656" t="str">
        <f>+VLOOKUP($L452,Data_Validation!$A:$D,3,0)</f>
        <v>Pièces</v>
      </c>
      <c r="V452" s="656" t="str">
        <f>+VLOOKUP($L452,Data_Validation!$A:$D,4,0)</f>
        <v>Pièces Ro Carrosserie</v>
      </c>
      <c r="W452" s="656" t="str">
        <f>+VLOOKUP($L452,Data_Validation!$A:$E,5,0)</f>
        <v>NB</v>
      </c>
      <c r="X452" s="656">
        <f>+VLOOKUP($L452,Data_Validation!$A:$F,6,0)</f>
        <v>0</v>
      </c>
    </row>
    <row r="453" spans="1:24" ht="15" customHeight="1">
      <c r="A453" s="1332" t="s">
        <v>1091</v>
      </c>
      <c r="B453" s="1332" t="s">
        <v>1092</v>
      </c>
      <c r="C453" s="1333"/>
      <c r="D453" s="1333"/>
      <c r="E453" s="1333"/>
      <c r="F453" s="1332" t="s">
        <v>7</v>
      </c>
      <c r="G453" s="1332" t="s">
        <v>1090</v>
      </c>
      <c r="H453" s="1332" t="s">
        <v>3942</v>
      </c>
      <c r="I453" s="1334">
        <v>-62</v>
      </c>
      <c r="J453" s="1334">
        <v>-19</v>
      </c>
      <c r="K453" s="1334">
        <v>-81</v>
      </c>
      <c r="L453" s="653" t="str">
        <f t="shared" si="201"/>
        <v>4733@</v>
      </c>
      <c r="M453" s="654" t="str">
        <f t="shared" si="202"/>
        <v># DE VTE - P&amp;A B.T. GARANTIE CARR.</v>
      </c>
      <c r="N453" s="655">
        <f>+IF(OR($Q453=Parametres!$G$2,$Q453=Parametres!$G$3),I453,C453)</f>
        <v>-62</v>
      </c>
      <c r="O453" s="655">
        <f>+IF(OR($Q453=Parametres!$G$2,$Q453=Parametres!$G$3),J453,D453)</f>
        <v>-19</v>
      </c>
      <c r="P453" s="655">
        <f>+IF(OR($Q453=Parametres!$G$2,$Q453=Parametres!$G$3),K453,E453)</f>
        <v>-81</v>
      </c>
      <c r="Q453" s="654" t="str">
        <f t="shared" si="203"/>
        <v>10-Compte compteur</v>
      </c>
      <c r="R453" s="653" t="str">
        <f t="shared" si="204"/>
        <v>4733</v>
      </c>
      <c r="S453" s="654" t="str">
        <f t="shared" si="205"/>
        <v>_</v>
      </c>
      <c r="T453" s="656" t="str">
        <f>+VLOOKUP($L453,Data_Validation!$A:$D,1,0)</f>
        <v>4733@</v>
      </c>
      <c r="U453" s="656" t="str">
        <f>+VLOOKUP($L453,Data_Validation!$A:$D,3,0)</f>
        <v>Pièces</v>
      </c>
      <c r="V453" s="656" t="str">
        <f>+VLOOKUP($L453,Data_Validation!$A:$D,4,0)</f>
        <v>Pièces Ro Carrosserie</v>
      </c>
      <c r="W453" s="656" t="str">
        <f>+VLOOKUP($L453,Data_Validation!$A:$E,5,0)</f>
        <v>NB</v>
      </c>
      <c r="X453" s="656">
        <f>+VLOOKUP($L453,Data_Validation!$A:$F,6,0)</f>
        <v>0</v>
      </c>
    </row>
    <row r="454" spans="1:24" ht="15" customHeight="1">
      <c r="A454" s="1332" t="s">
        <v>1095</v>
      </c>
      <c r="B454" s="1332" t="s">
        <v>1096</v>
      </c>
      <c r="C454" s="1333"/>
      <c r="D454" s="1333"/>
      <c r="E454" s="1333"/>
      <c r="F454" s="1332" t="s">
        <v>7</v>
      </c>
      <c r="G454" s="1332" t="s">
        <v>1094</v>
      </c>
      <c r="H454" s="1332" t="s">
        <v>3942</v>
      </c>
      <c r="I454" s="1334">
        <v>-9</v>
      </c>
      <c r="J454" s="1334">
        <v>-5</v>
      </c>
      <c r="K454" s="1334">
        <v>-14</v>
      </c>
      <c r="L454" s="653" t="str">
        <f t="shared" si="201"/>
        <v>4735@</v>
      </c>
      <c r="M454" s="654" t="str">
        <f t="shared" si="202"/>
        <v># DE VTE - P&amp;A B.T. INTERNE CARROS.</v>
      </c>
      <c r="N454" s="655">
        <f>+IF(OR($Q454=Parametres!$G$2,$Q454=Parametres!$G$3),I454,C454)</f>
        <v>-9</v>
      </c>
      <c r="O454" s="655">
        <f>+IF(OR($Q454=Parametres!$G$2,$Q454=Parametres!$G$3),J454,D454)</f>
        <v>-5</v>
      </c>
      <c r="P454" s="655">
        <f>+IF(OR($Q454=Parametres!$G$2,$Q454=Parametres!$G$3),K454,E454)</f>
        <v>-14</v>
      </c>
      <c r="Q454" s="654" t="str">
        <f t="shared" si="203"/>
        <v>10-Compte compteur</v>
      </c>
      <c r="R454" s="653" t="str">
        <f t="shared" si="204"/>
        <v>4735</v>
      </c>
      <c r="S454" s="654" t="str">
        <f t="shared" si="205"/>
        <v>_</v>
      </c>
      <c r="T454" s="656" t="str">
        <f>+VLOOKUP($L454,Data_Validation!$A:$D,1,0)</f>
        <v>4735@</v>
      </c>
      <c r="U454" s="656" t="str">
        <f>+VLOOKUP($L454,Data_Validation!$A:$D,3,0)</f>
        <v>Pièces</v>
      </c>
      <c r="V454" s="656" t="str">
        <f>+VLOOKUP($L454,Data_Validation!$A:$D,4,0)</f>
        <v>Pièces Ro Carrosserie</v>
      </c>
      <c r="W454" s="656" t="str">
        <f>+VLOOKUP($L454,Data_Validation!$A:$E,5,0)</f>
        <v>NB</v>
      </c>
      <c r="X454" s="656">
        <f>+VLOOKUP($L454,Data_Validation!$A:$F,6,0)</f>
        <v>0</v>
      </c>
    </row>
    <row r="455" spans="1:24" ht="15" customHeight="1">
      <c r="A455" s="1332" t="s">
        <v>1099</v>
      </c>
      <c r="B455" s="1332" t="s">
        <v>1100</v>
      </c>
      <c r="C455" s="1333"/>
      <c r="D455" s="1333"/>
      <c r="E455" s="1333"/>
      <c r="F455" s="1332" t="s">
        <v>7</v>
      </c>
      <c r="G455" s="1332" t="s">
        <v>1098</v>
      </c>
      <c r="H455" s="1332" t="s">
        <v>3942</v>
      </c>
      <c r="I455" s="1334">
        <v>-229</v>
      </c>
      <c r="J455" s="1334">
        <v>-94</v>
      </c>
      <c r="K455" s="1334">
        <v>-323</v>
      </c>
      <c r="L455" s="653" t="str">
        <f t="shared" si="201"/>
        <v>4761@</v>
      </c>
      <c r="M455" s="654" t="str">
        <f t="shared" si="202"/>
        <v>PIECES-COMPTOIR-DETAIL</v>
      </c>
      <c r="N455" s="655">
        <f>+IF(OR($Q455=Parametres!$G$2,$Q455=Parametres!$G$3),I455,C455)</f>
        <v>-229</v>
      </c>
      <c r="O455" s="655">
        <f>+IF(OR($Q455=Parametres!$G$2,$Q455=Parametres!$G$3),J455,D455)</f>
        <v>-94</v>
      </c>
      <c r="P455" s="655">
        <f>+IF(OR($Q455=Parametres!$G$2,$Q455=Parametres!$G$3),K455,E455)</f>
        <v>-323</v>
      </c>
      <c r="Q455" s="654" t="str">
        <f t="shared" si="203"/>
        <v>10-Compte compteur</v>
      </c>
      <c r="R455" s="653" t="str">
        <f t="shared" si="204"/>
        <v>4761</v>
      </c>
      <c r="S455" s="654" t="str">
        <f t="shared" si="205"/>
        <v>_</v>
      </c>
      <c r="T455" s="656" t="str">
        <f>+VLOOKUP($L455,Data_Validation!$A:$D,1,0)</f>
        <v>4761@</v>
      </c>
      <c r="U455" s="656" t="str">
        <f>+VLOOKUP($L455,Data_Validation!$A:$D,3,0)</f>
        <v>Pièces</v>
      </c>
      <c r="V455" s="656" t="str">
        <f>+VLOOKUP($L455,Data_Validation!$A:$D,4,0)</f>
        <v>Ventes Détails</v>
      </c>
      <c r="W455" s="656" t="str">
        <f>+VLOOKUP($L455,Data_Validation!$A:$E,5,0)</f>
        <v>NB</v>
      </c>
      <c r="X455" s="656">
        <f>+VLOOKUP($L455,Data_Validation!$A:$F,6,0)</f>
        <v>0</v>
      </c>
    </row>
    <row r="456" spans="1:24" ht="15" customHeight="1">
      <c r="A456" s="1332" t="s">
        <v>1103</v>
      </c>
      <c r="B456" s="1332" t="s">
        <v>1104</v>
      </c>
      <c r="C456" s="1333"/>
      <c r="D456" s="1333"/>
      <c r="E456" s="1333"/>
      <c r="F456" s="1332" t="s">
        <v>7</v>
      </c>
      <c r="G456" s="1332" t="s">
        <v>1102</v>
      </c>
      <c r="H456" s="1332" t="s">
        <v>3942</v>
      </c>
      <c r="I456" s="1334">
        <v>-876</v>
      </c>
      <c r="J456" s="1334">
        <v>-409</v>
      </c>
      <c r="K456" s="1334">
        <v>-1285</v>
      </c>
      <c r="L456" s="653" t="str">
        <f t="shared" si="201"/>
        <v>4763@</v>
      </c>
      <c r="M456" s="654" t="str">
        <f t="shared" si="202"/>
        <v>PIECES-COMPTOIR-COMM. GROS</v>
      </c>
      <c r="N456" s="655">
        <f>+IF(OR($Q456=Parametres!$G$2,$Q456=Parametres!$G$3),I456,C456)</f>
        <v>-876</v>
      </c>
      <c r="O456" s="655">
        <f>+IF(OR($Q456=Parametres!$G$2,$Q456=Parametres!$G$3),J456,D456)</f>
        <v>-409</v>
      </c>
      <c r="P456" s="655">
        <f>+IF(OR($Q456=Parametres!$G$2,$Q456=Parametres!$G$3),K456,E456)</f>
        <v>-1285</v>
      </c>
      <c r="Q456" s="654" t="str">
        <f t="shared" si="203"/>
        <v>10-Compte compteur</v>
      </c>
      <c r="R456" s="653" t="str">
        <f t="shared" si="204"/>
        <v>4763</v>
      </c>
      <c r="S456" s="654" t="str">
        <f t="shared" si="205"/>
        <v>_</v>
      </c>
      <c r="T456" s="656" t="str">
        <f>+VLOOKUP($L456,Data_Validation!$A:$D,1,0)</f>
        <v>4763@</v>
      </c>
      <c r="U456" s="656" t="str">
        <f>+VLOOKUP($L456,Data_Validation!$A:$D,3,0)</f>
        <v>Pièces</v>
      </c>
      <c r="V456" s="656" t="str">
        <f>+VLOOKUP($L456,Data_Validation!$A:$D,4,0)</f>
        <v>Ventes de Gros</v>
      </c>
      <c r="W456" s="656" t="str">
        <f>+VLOOKUP($L456,Data_Validation!$A:$E,5,0)</f>
        <v>NB</v>
      </c>
      <c r="X456" s="656">
        <f>+VLOOKUP($L456,Data_Validation!$A:$F,6,0)</f>
        <v>0</v>
      </c>
    </row>
    <row r="457" spans="1:24" ht="15" customHeight="1">
      <c r="A457" s="1332" t="s">
        <v>1105</v>
      </c>
      <c r="B457" s="1332" t="s">
        <v>1107</v>
      </c>
      <c r="C457" s="1333"/>
      <c r="D457" s="1333"/>
      <c r="E457" s="1333"/>
      <c r="F457" s="1332" t="s">
        <v>7</v>
      </c>
      <c r="G457" s="1332" t="s">
        <v>1106</v>
      </c>
      <c r="H457" s="1332" t="s">
        <v>3942</v>
      </c>
      <c r="I457" s="1334">
        <v>-117</v>
      </c>
      <c r="J457" s="1334">
        <v>-40</v>
      </c>
      <c r="K457" s="1334">
        <v>-157</v>
      </c>
      <c r="L457" s="653" t="str">
        <f t="shared" si="201"/>
        <v>4781@</v>
      </c>
      <c r="M457" s="654" t="str">
        <f t="shared" si="202"/>
        <v>VENTES PNEUS</v>
      </c>
      <c r="N457" s="655">
        <f>+IF(OR($Q457=Parametres!$G$2,$Q457=Parametres!$G$3),I457,C457)</f>
        <v>-117</v>
      </c>
      <c r="O457" s="655">
        <f>+IF(OR($Q457=Parametres!$G$2,$Q457=Parametres!$G$3),J457,D457)</f>
        <v>-40</v>
      </c>
      <c r="P457" s="655">
        <f>+IF(OR($Q457=Parametres!$G$2,$Q457=Parametres!$G$3),K457,E457)</f>
        <v>-157</v>
      </c>
      <c r="Q457" s="654" t="str">
        <f t="shared" si="203"/>
        <v>10-Compte compteur</v>
      </c>
      <c r="R457" s="653" t="str">
        <f t="shared" si="204"/>
        <v>4781</v>
      </c>
      <c r="S457" s="654" t="str">
        <f t="shared" si="205"/>
        <v>_</v>
      </c>
      <c r="T457" s="656" t="str">
        <f>+VLOOKUP($L457,Data_Validation!$A:$D,1,0)</f>
        <v>4781@</v>
      </c>
      <c r="U457" s="656" t="str">
        <f>+VLOOKUP($L457,Data_Validation!$A:$D,3,0)</f>
        <v>Pièces</v>
      </c>
      <c r="V457" s="656" t="str">
        <f>+VLOOKUP($L457,Data_Validation!$A:$D,4,0)</f>
        <v>Ventes Pneus</v>
      </c>
      <c r="W457" s="656" t="str">
        <f>+VLOOKUP($L457,Data_Validation!$A:$E,5,0)</f>
        <v>NB</v>
      </c>
      <c r="X457" s="656">
        <f>+VLOOKUP($L457,Data_Validation!$A:$F,6,0)</f>
        <v>0</v>
      </c>
    </row>
    <row r="458" spans="1:24" ht="15" customHeight="1">
      <c r="A458" s="1332" t="s">
        <v>1294</v>
      </c>
      <c r="B458" s="1332" t="s">
        <v>1296</v>
      </c>
      <c r="C458" s="1333"/>
      <c r="D458" s="1333"/>
      <c r="E458" s="1333"/>
      <c r="F458" s="1332" t="s">
        <v>7</v>
      </c>
      <c r="G458" s="1332" t="s">
        <v>1295</v>
      </c>
      <c r="H458" s="1332" t="s">
        <v>3942</v>
      </c>
      <c r="I458" s="1334">
        <v>-13</v>
      </c>
      <c r="J458" s="1334">
        <v>-5</v>
      </c>
      <c r="K458" s="1334">
        <v>-18</v>
      </c>
      <c r="L458" s="653" t="str">
        <f t="shared" si="201"/>
        <v>9163@</v>
      </c>
      <c r="M458" s="654" t="str">
        <f t="shared" si="202"/>
        <v>RESERVE FIN ET ASS VEH OCCASION</v>
      </c>
      <c r="N458" s="655">
        <f>+IF(OR($Q458=Parametres!$G$2,$Q458=Parametres!$G$3),I458,C458)</f>
        <v>-13</v>
      </c>
      <c r="O458" s="655">
        <f>+IF(OR($Q458=Parametres!$G$2,$Q458=Parametres!$G$3),J458,D458)</f>
        <v>-5</v>
      </c>
      <c r="P458" s="655">
        <f>+IF(OR($Q458=Parametres!$G$2,$Q458=Parametres!$G$3),K458,E458)</f>
        <v>-18</v>
      </c>
      <c r="Q458" s="654" t="str">
        <f t="shared" si="203"/>
        <v>10-Compte compteur</v>
      </c>
      <c r="R458" s="653" t="str">
        <f t="shared" si="204"/>
        <v>9163</v>
      </c>
      <c r="S458" s="654" t="str">
        <f t="shared" si="205"/>
        <v>_</v>
      </c>
      <c r="T458" s="656" t="str">
        <f>+VLOOKUP($L458,Data_Validation!$A:$D,1,0)</f>
        <v>9163@</v>
      </c>
      <c r="U458" s="656" t="str">
        <f>+VLOOKUP($L458,Data_Validation!$A:$D,3,0)</f>
        <v>Véhicules usagés</v>
      </c>
      <c r="V458" s="656">
        <f>+VLOOKUP($L458,Data_Validation!$A:$D,4,0)</f>
        <v>0</v>
      </c>
      <c r="W458" s="656" t="str">
        <f>+VLOOKUP($L458,Data_Validation!$A:$E,5,0)</f>
        <v>NB</v>
      </c>
      <c r="X458" s="656">
        <f>+VLOOKUP($L458,Data_Validation!$A:$F,6,0)</f>
        <v>0</v>
      </c>
    </row>
    <row r="459" spans="1:24" ht="15" customHeight="1">
      <c r="A459" s="1332" t="s">
        <v>3346</v>
      </c>
      <c r="B459" s="1332" t="s">
        <v>3347</v>
      </c>
      <c r="C459" s="1333"/>
      <c r="D459" s="1333"/>
      <c r="E459" s="1333"/>
      <c r="F459" s="1332" t="s">
        <v>7</v>
      </c>
      <c r="G459" s="1332" t="s">
        <v>1291</v>
      </c>
      <c r="H459" s="1332" t="s">
        <v>3942</v>
      </c>
      <c r="I459" s="1334">
        <v>-87</v>
      </c>
      <c r="J459" s="1334">
        <v>-54</v>
      </c>
      <c r="K459" s="1334">
        <v>-141</v>
      </c>
      <c r="L459" s="653" t="str">
        <f t="shared" si="201"/>
        <v>9170@</v>
      </c>
      <c r="M459" s="654" t="str">
        <f t="shared" si="202"/>
        <v># DE PROFIT PROTECTIONS - NEUFS</v>
      </c>
      <c r="N459" s="655">
        <f>+IF(OR($Q459=Parametres!$G$2,$Q459=Parametres!$G$3),I459,C459)</f>
        <v>-87</v>
      </c>
      <c r="O459" s="655">
        <f>+IF(OR($Q459=Parametres!$G$2,$Q459=Parametres!$G$3),J459,D459)</f>
        <v>-54</v>
      </c>
      <c r="P459" s="655">
        <f>+IF(OR($Q459=Parametres!$G$2,$Q459=Parametres!$G$3),K459,E459)</f>
        <v>-141</v>
      </c>
      <c r="Q459" s="654" t="str">
        <f t="shared" si="203"/>
        <v>10-Compte compteur</v>
      </c>
      <c r="R459" s="653" t="str">
        <f t="shared" si="204"/>
        <v>9161</v>
      </c>
      <c r="S459" s="654" t="str">
        <f t="shared" si="205"/>
        <v>_</v>
      </c>
      <c r="T459" s="656" t="str">
        <f>+VLOOKUP($L459,Data_Validation!$A:$D,1,0)</f>
        <v>9170@</v>
      </c>
      <c r="U459" s="656" t="str">
        <f>+VLOOKUP($L459,Data_Validation!$A:$D,3,0)</f>
        <v>Véhicules neufs</v>
      </c>
      <c r="V459" s="656">
        <f>+VLOOKUP($L459,Data_Validation!$A:$D,4,0)</f>
        <v>0</v>
      </c>
      <c r="W459" s="656" t="str">
        <f>+VLOOKUP($L459,Data_Validation!$A:$E,5,0)</f>
        <v>NB</v>
      </c>
      <c r="X459" s="656">
        <f>+VLOOKUP($L459,Data_Validation!$A:$F,6,0)</f>
        <v>0</v>
      </c>
    </row>
    <row r="460" spans="1:24" ht="15" customHeight="1">
      <c r="A460" s="1332" t="s">
        <v>1307</v>
      </c>
      <c r="B460" s="1332" t="s">
        <v>1308</v>
      </c>
      <c r="C460" s="1333"/>
      <c r="D460" s="1333"/>
      <c r="E460" s="1333"/>
      <c r="F460" s="1332" t="s">
        <v>7</v>
      </c>
      <c r="G460" s="1332" t="s">
        <v>1295</v>
      </c>
      <c r="H460" s="1332" t="s">
        <v>3942</v>
      </c>
      <c r="I460" s="1334">
        <v>-50</v>
      </c>
      <c r="J460" s="1334">
        <v>-19</v>
      </c>
      <c r="K460" s="1334">
        <v>-69</v>
      </c>
      <c r="L460" s="653" t="str">
        <f t="shared" si="201"/>
        <v>9172@</v>
      </c>
      <c r="M460" s="654" t="str">
        <f t="shared" si="202"/>
        <v># DE PROFIT PROTECTIONS - USAGES</v>
      </c>
      <c r="N460" s="655">
        <f>+IF(OR($Q460=Parametres!$G$2,$Q460=Parametres!$G$3),I460,C460)</f>
        <v>-50</v>
      </c>
      <c r="O460" s="655">
        <f>+IF(OR($Q460=Parametres!$G$2,$Q460=Parametres!$G$3),J460,D460)</f>
        <v>-19</v>
      </c>
      <c r="P460" s="655">
        <f>+IF(OR($Q460=Parametres!$G$2,$Q460=Parametres!$G$3),K460,E460)</f>
        <v>-69</v>
      </c>
      <c r="Q460" s="654" t="str">
        <f t="shared" si="203"/>
        <v>10-Compte compteur</v>
      </c>
      <c r="R460" s="653" t="str">
        <f t="shared" si="204"/>
        <v>9163</v>
      </c>
      <c r="S460" s="654" t="str">
        <f t="shared" si="205"/>
        <v>_</v>
      </c>
      <c r="T460" s="656" t="str">
        <f>+VLOOKUP($L460,Data_Validation!$A:$D,1,0)</f>
        <v>9172@</v>
      </c>
      <c r="U460" s="656" t="str">
        <f>+VLOOKUP($L460,Data_Validation!$A:$D,3,0)</f>
        <v>Véhicules usagés</v>
      </c>
      <c r="V460" s="656">
        <f>+VLOOKUP($L460,Data_Validation!$A:$D,4,0)</f>
        <v>0</v>
      </c>
      <c r="W460" s="656" t="str">
        <f>+VLOOKUP($L460,Data_Validation!$A:$E,5,0)</f>
        <v>NB</v>
      </c>
      <c r="X460" s="656">
        <f>+VLOOKUP($L460,Data_Validation!$A:$F,6,0)</f>
        <v>0</v>
      </c>
    </row>
  </sheetData>
  <autoFilter ref="A1:X460" xr:uid="{00000000-0009-0000-0000-00000E000000}">
    <sortState xmlns:xlrd2="http://schemas.microsoft.com/office/spreadsheetml/2017/richdata2" ref="A180:X364">
      <sortCondition ref="O1:O364"/>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8"/>
  <sheetViews>
    <sheetView topLeftCell="A79" workbookViewId="0">
      <selection activeCell="E103" sqref="E103:G103"/>
    </sheetView>
  </sheetViews>
  <sheetFormatPr baseColWidth="10" defaultColWidth="12.59765625" defaultRowHeight="15" customHeight="1" outlineLevelCol="1"/>
  <cols>
    <col min="1" max="1" width="9.19921875" customWidth="1"/>
    <col min="2" max="2" width="42.5" customWidth="1"/>
    <col min="3" max="3" width="20.69921875" customWidth="1"/>
    <col min="4" max="4" width="29.8984375" customWidth="1"/>
    <col min="5" max="8" width="21.69921875" customWidth="1"/>
    <col min="9" max="9" width="28.59765625" customWidth="1" outlineLevel="1"/>
    <col min="10" max="10" width="3.19921875" customWidth="1" outlineLevel="1"/>
    <col min="11" max="11" width="35.3984375" customWidth="1" outlineLevel="1"/>
    <col min="12" max="29" width="9.3984375" customWidth="1"/>
  </cols>
  <sheetData>
    <row r="1" spans="1:13" ht="14.4">
      <c r="A1" s="961"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3355</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3356</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3357</v>
      </c>
      <c r="B8" s="678" t="s">
        <v>1340</v>
      </c>
      <c r="C8" s="679" t="s">
        <v>1321</v>
      </c>
      <c r="D8" s="679" t="s">
        <v>25</v>
      </c>
      <c r="E8" s="680" t="s">
        <v>303</v>
      </c>
      <c r="F8" s="681"/>
      <c r="G8" s="680" t="e">
        <v>#N/A</v>
      </c>
      <c r="H8" s="33"/>
      <c r="I8" s="683" t="str">
        <f>Print_Mois!K291</f>
        <v>Pièces</v>
      </c>
      <c r="K8" s="683" t="s">
        <v>85</v>
      </c>
      <c r="M8" s="138" t="s">
        <v>161</v>
      </c>
    </row>
    <row r="9" spans="1:13" ht="15" customHeight="1">
      <c r="A9" s="690" t="s">
        <v>3961</v>
      </c>
      <c r="B9" s="678" t="s">
        <v>3960</v>
      </c>
      <c r="C9" s="679" t="s">
        <v>1321</v>
      </c>
      <c r="D9" s="679" t="s">
        <v>25</v>
      </c>
      <c r="E9" s="680" t="s">
        <v>303</v>
      </c>
      <c r="F9" s="681"/>
      <c r="G9" s="682" t="s">
        <v>816</v>
      </c>
      <c r="H9" s="33"/>
      <c r="I9" s="683"/>
      <c r="K9" s="683"/>
      <c r="M9" s="138"/>
    </row>
    <row r="10" spans="1:13" ht="15" customHeight="1">
      <c r="A10" s="690" t="s">
        <v>3358</v>
      </c>
      <c r="B10" s="678" t="s">
        <v>1341</v>
      </c>
      <c r="C10" s="679" t="s">
        <v>1321</v>
      </c>
      <c r="D10" s="679" t="s">
        <v>25</v>
      </c>
      <c r="E10" s="680" t="s">
        <v>303</v>
      </c>
      <c r="F10" s="681"/>
      <c r="G10" s="680" t="s">
        <v>816</v>
      </c>
      <c r="H10" s="33"/>
      <c r="I10" s="683" t="s">
        <v>1325</v>
      </c>
      <c r="K10" s="683" t="str">
        <f>Print_Mois!V457</f>
        <v>Assurances</v>
      </c>
      <c r="M10" s="138" t="s">
        <v>180</v>
      </c>
    </row>
    <row r="11" spans="1:13" ht="15" customHeight="1">
      <c r="A11" s="690" t="s">
        <v>3887</v>
      </c>
      <c r="B11" s="678" t="s">
        <v>3886</v>
      </c>
      <c r="C11" s="679" t="s">
        <v>1321</v>
      </c>
      <c r="D11" s="679" t="s">
        <v>25</v>
      </c>
      <c r="E11" s="680" t="s">
        <v>303</v>
      </c>
      <c r="F11" s="681"/>
      <c r="G11" s="680" t="s">
        <v>2</v>
      </c>
      <c r="H11" s="33"/>
      <c r="I11" s="683"/>
      <c r="K11" s="683"/>
      <c r="M11" s="138"/>
    </row>
    <row r="12" spans="1:13" ht="15" customHeight="1">
      <c r="A12" s="690" t="s">
        <v>3359</v>
      </c>
      <c r="B12" s="678" t="s">
        <v>819</v>
      </c>
      <c r="C12" s="679" t="s">
        <v>1321</v>
      </c>
      <c r="D12" s="679" t="s">
        <v>25</v>
      </c>
      <c r="E12" s="680" t="s">
        <v>303</v>
      </c>
      <c r="F12" s="681"/>
      <c r="G12" s="682" t="s">
        <v>2</v>
      </c>
      <c r="H12" s="33"/>
      <c r="I12" s="683"/>
      <c r="K12" s="683" t="s">
        <v>1326</v>
      </c>
      <c r="M12" s="138" t="s">
        <v>176</v>
      </c>
    </row>
    <row r="13" spans="1:13" ht="15" customHeight="1">
      <c r="A13" s="690" t="s">
        <v>1449</v>
      </c>
      <c r="B13" s="678" t="s">
        <v>1342</v>
      </c>
      <c r="C13" s="679" t="s">
        <v>1321</v>
      </c>
      <c r="D13" s="679" t="s">
        <v>25</v>
      </c>
      <c r="E13" s="680" t="s">
        <v>303</v>
      </c>
      <c r="F13" s="681"/>
      <c r="G13" s="680" t="s">
        <v>902</v>
      </c>
      <c r="H13" s="33"/>
      <c r="I13" s="683"/>
      <c r="K13" s="683" t="s">
        <v>1327</v>
      </c>
      <c r="M13" s="684" t="s">
        <v>1328</v>
      </c>
    </row>
    <row r="14" spans="1:13" ht="15" customHeight="1">
      <c r="A14" s="690" t="s">
        <v>1452</v>
      </c>
      <c r="B14" s="678" t="s">
        <v>820</v>
      </c>
      <c r="C14" s="679" t="s">
        <v>1321</v>
      </c>
      <c r="D14" s="679" t="s">
        <v>25</v>
      </c>
      <c r="E14" s="680" t="s">
        <v>303</v>
      </c>
      <c r="F14" s="681"/>
      <c r="G14" s="682" t="s">
        <v>902</v>
      </c>
      <c r="H14" s="33"/>
      <c r="K14" s="683" t="str">
        <f>Print_Mois!C6</f>
        <v>Autos détail</v>
      </c>
      <c r="M14" s="5" t="s">
        <v>1324</v>
      </c>
    </row>
    <row r="15" spans="1:13" ht="15" customHeight="1">
      <c r="A15" s="690" t="s">
        <v>3360</v>
      </c>
      <c r="B15" s="678" t="s">
        <v>1343</v>
      </c>
      <c r="C15" s="679" t="s">
        <v>1321</v>
      </c>
      <c r="D15" s="679" t="s">
        <v>25</v>
      </c>
      <c r="E15" s="680" t="s">
        <v>303</v>
      </c>
      <c r="F15" s="681"/>
      <c r="G15" s="680" t="e">
        <v>#N/A</v>
      </c>
      <c r="H15" s="33"/>
      <c r="K15" s="683" t="s">
        <v>173</v>
      </c>
    </row>
    <row r="16" spans="1:13" ht="15" customHeight="1">
      <c r="A16" s="690" t="s">
        <v>3361</v>
      </c>
      <c r="B16" s="678" t="s">
        <v>820</v>
      </c>
      <c r="C16" s="679" t="s">
        <v>1321</v>
      </c>
      <c r="D16" s="679" t="s">
        <v>25</v>
      </c>
      <c r="E16" s="680" t="s">
        <v>303</v>
      </c>
      <c r="F16" s="681"/>
      <c r="G16" s="682" t="e">
        <v>#N/A</v>
      </c>
      <c r="H16" s="33"/>
      <c r="K16" s="683" t="str">
        <f>Print_Mois!C312</f>
        <v>Autostock</v>
      </c>
      <c r="M16" s="5" t="s">
        <v>304</v>
      </c>
    </row>
    <row r="17" spans="1:13" ht="15" customHeight="1">
      <c r="A17" s="690" t="s">
        <v>3351</v>
      </c>
      <c r="B17" s="678" t="s">
        <v>731</v>
      </c>
      <c r="C17" s="679"/>
      <c r="D17" s="679"/>
      <c r="E17" s="680"/>
      <c r="F17" s="681"/>
      <c r="G17" s="682" t="e">
        <v>#N/A</v>
      </c>
      <c r="H17" s="33"/>
      <c r="K17" s="683" t="s">
        <v>43</v>
      </c>
    </row>
    <row r="18" spans="1:13" ht="15" customHeight="1">
      <c r="A18" s="690" t="s">
        <v>823</v>
      </c>
      <c r="B18" s="678" t="s">
        <v>822</v>
      </c>
      <c r="C18" s="679" t="s">
        <v>1321</v>
      </c>
      <c r="D18" s="679" t="s">
        <v>29</v>
      </c>
      <c r="E18" s="680" t="s">
        <v>303</v>
      </c>
      <c r="F18" s="681"/>
      <c r="G18" s="682" t="e">
        <v>#N/A</v>
      </c>
      <c r="H18" s="33"/>
      <c r="K18" s="683" t="s">
        <v>57</v>
      </c>
      <c r="M18" s="684" t="s">
        <v>1329</v>
      </c>
    </row>
    <row r="19" spans="1:13" ht="15" customHeight="1">
      <c r="A19" s="690" t="s">
        <v>825</v>
      </c>
      <c r="B19" s="678" t="s">
        <v>824</v>
      </c>
      <c r="C19" s="679" t="s">
        <v>1321</v>
      </c>
      <c r="D19" s="679" t="s">
        <v>30</v>
      </c>
      <c r="E19" s="680" t="s">
        <v>303</v>
      </c>
      <c r="F19" s="681"/>
      <c r="G19" s="682" t="s">
        <v>902</v>
      </c>
      <c r="H19" s="33"/>
      <c r="K19" s="683" t="s">
        <v>73</v>
      </c>
      <c r="M19" s="5" t="s">
        <v>1324</v>
      </c>
    </row>
    <row r="20" spans="1:13" ht="15" customHeight="1">
      <c r="A20" s="690" t="s">
        <v>1459</v>
      </c>
      <c r="B20" s="678" t="s">
        <v>826</v>
      </c>
      <c r="C20" s="679" t="s">
        <v>1321</v>
      </c>
      <c r="D20" s="679" t="s">
        <v>30</v>
      </c>
      <c r="E20" s="680" t="s">
        <v>303</v>
      </c>
      <c r="F20" s="681"/>
      <c r="G20" s="682" t="s">
        <v>902</v>
      </c>
      <c r="H20" s="33"/>
      <c r="K20" s="683" t="s">
        <v>31</v>
      </c>
      <c r="M20" s="5" t="s">
        <v>304</v>
      </c>
    </row>
    <row r="21" spans="1:13" ht="15" customHeight="1">
      <c r="A21" s="690" t="s">
        <v>828</v>
      </c>
      <c r="B21" s="678" t="s">
        <v>827</v>
      </c>
      <c r="C21" s="679" t="s">
        <v>1321</v>
      </c>
      <c r="D21" s="679" t="s">
        <v>34</v>
      </c>
      <c r="E21" s="680" t="s">
        <v>303</v>
      </c>
      <c r="F21" s="681"/>
      <c r="G21" s="682" t="s">
        <v>902</v>
      </c>
      <c r="H21" s="33"/>
      <c r="K21" s="683" t="s">
        <v>54</v>
      </c>
    </row>
    <row r="22" spans="1:13" ht="15" customHeight="1">
      <c r="A22" s="690" t="s">
        <v>1464</v>
      </c>
      <c r="B22" s="678" t="s">
        <v>829</v>
      </c>
      <c r="C22" s="679" t="s">
        <v>1321</v>
      </c>
      <c r="D22" s="679" t="s">
        <v>38</v>
      </c>
      <c r="E22" s="680" t="s">
        <v>303</v>
      </c>
      <c r="F22" s="681"/>
      <c r="G22" s="682" t="s">
        <v>902</v>
      </c>
      <c r="H22" s="33"/>
      <c r="K22" s="683" t="s">
        <v>82</v>
      </c>
    </row>
    <row r="23" spans="1:13" ht="15" customHeight="1">
      <c r="A23" s="690" t="s">
        <v>3362</v>
      </c>
      <c r="B23" s="678" t="s">
        <v>830</v>
      </c>
      <c r="C23" s="679" t="s">
        <v>1321</v>
      </c>
      <c r="D23" s="679" t="s">
        <v>40</v>
      </c>
      <c r="E23" s="680" t="s">
        <v>303</v>
      </c>
      <c r="F23" s="681"/>
      <c r="G23" s="682" t="s">
        <v>902</v>
      </c>
      <c r="H23" s="33"/>
      <c r="K23" s="683" t="s">
        <v>67</v>
      </c>
    </row>
    <row r="24" spans="1:13" ht="15" customHeight="1">
      <c r="A24" s="690" t="s">
        <v>3363</v>
      </c>
      <c r="B24" s="678" t="s">
        <v>831</v>
      </c>
      <c r="C24" s="679" t="s">
        <v>1321</v>
      </c>
      <c r="D24" s="679" t="s">
        <v>40</v>
      </c>
      <c r="E24" s="680" t="s">
        <v>303</v>
      </c>
      <c r="F24" s="681"/>
      <c r="G24" s="682" t="s">
        <v>902</v>
      </c>
      <c r="H24" s="33"/>
      <c r="K24" s="683" t="s">
        <v>68</v>
      </c>
    </row>
    <row r="25" spans="1:13" ht="15" customHeight="1">
      <c r="A25" s="690" t="s">
        <v>1467</v>
      </c>
      <c r="B25" s="678" t="s">
        <v>832</v>
      </c>
      <c r="C25" s="679" t="s">
        <v>1321</v>
      </c>
      <c r="D25" s="679" t="s">
        <v>32</v>
      </c>
      <c r="E25" s="680" t="s">
        <v>303</v>
      </c>
      <c r="F25" s="681"/>
      <c r="G25" s="682" t="s">
        <v>902</v>
      </c>
      <c r="H25" s="33"/>
      <c r="K25" s="683" t="str">
        <f>Print_Mois!V430</f>
        <v>Bénéfices marginaux</v>
      </c>
    </row>
    <row r="26" spans="1:13" ht="15" customHeight="1">
      <c r="A26" s="690" t="s">
        <v>835</v>
      </c>
      <c r="B26" s="678" t="s">
        <v>834</v>
      </c>
      <c r="C26" s="679" t="s">
        <v>1321</v>
      </c>
      <c r="D26" s="679" t="s">
        <v>36</v>
      </c>
      <c r="E26" s="680" t="s">
        <v>303</v>
      </c>
      <c r="F26" s="681"/>
      <c r="G26" s="682" t="s">
        <v>902</v>
      </c>
      <c r="H26" s="33"/>
      <c r="K26" s="683" t="s">
        <v>86</v>
      </c>
    </row>
    <row r="27" spans="1:13" ht="15" customHeight="1">
      <c r="A27" s="690" t="s">
        <v>1472</v>
      </c>
      <c r="B27" s="678" t="s">
        <v>836</v>
      </c>
      <c r="C27" s="679" t="s">
        <v>1321</v>
      </c>
      <c r="D27" s="679" t="s">
        <v>1344</v>
      </c>
      <c r="E27" s="680" t="s">
        <v>303</v>
      </c>
      <c r="F27" s="681"/>
      <c r="G27" s="682" t="s">
        <v>902</v>
      </c>
      <c r="H27" s="33"/>
      <c r="K27" s="683" t="s">
        <v>1321</v>
      </c>
    </row>
    <row r="28" spans="1:13" ht="15" customHeight="1">
      <c r="A28" s="690" t="s">
        <v>1475</v>
      </c>
      <c r="B28" s="678" t="s">
        <v>837</v>
      </c>
      <c r="C28" s="679" t="s">
        <v>1321</v>
      </c>
      <c r="D28" s="679" t="s">
        <v>32</v>
      </c>
      <c r="E28" s="680" t="s">
        <v>303</v>
      </c>
      <c r="F28" s="681"/>
      <c r="G28" s="682" t="s">
        <v>902</v>
      </c>
      <c r="H28" s="33"/>
      <c r="K28" s="683" t="s">
        <v>196</v>
      </c>
    </row>
    <row r="29" spans="1:13" ht="15" customHeight="1">
      <c r="A29" s="687" t="s">
        <v>3343</v>
      </c>
      <c r="B29" s="687" t="s">
        <v>1345</v>
      </c>
      <c r="C29" s="679" t="s">
        <v>1321</v>
      </c>
      <c r="D29" s="679" t="s">
        <v>42</v>
      </c>
      <c r="E29" s="680" t="s">
        <v>303</v>
      </c>
      <c r="F29" s="681"/>
      <c r="G29" s="680" t="s">
        <v>2</v>
      </c>
      <c r="H29" s="33"/>
      <c r="K29" s="683" t="s">
        <v>98</v>
      </c>
    </row>
    <row r="30" spans="1:13" ht="15" customHeight="1">
      <c r="A30" s="687" t="s">
        <v>3364</v>
      </c>
      <c r="B30" s="687" t="s">
        <v>1345</v>
      </c>
      <c r="C30" s="679" t="s">
        <v>1321</v>
      </c>
      <c r="D30" s="679" t="s">
        <v>42</v>
      </c>
      <c r="E30" s="680" t="s">
        <v>303</v>
      </c>
      <c r="F30" s="681"/>
      <c r="G30" s="680" t="s">
        <v>902</v>
      </c>
      <c r="H30" s="33"/>
      <c r="K30" s="683" t="s">
        <v>84</v>
      </c>
    </row>
    <row r="31" spans="1:13" ht="15" customHeight="1">
      <c r="A31" s="690" t="s">
        <v>1478</v>
      </c>
      <c r="B31" s="678" t="s">
        <v>1346</v>
      </c>
      <c r="C31" s="679" t="s">
        <v>1321</v>
      </c>
      <c r="D31" s="679" t="s">
        <v>1344</v>
      </c>
      <c r="E31" s="680" t="s">
        <v>303</v>
      </c>
      <c r="F31" s="681"/>
      <c r="G31" s="680" t="s">
        <v>902</v>
      </c>
      <c r="H31" s="33"/>
      <c r="K31" s="683" t="str">
        <f>Print_Mois!C94</f>
        <v>Certifié</v>
      </c>
    </row>
    <row r="32" spans="1:13" ht="15" customHeight="1">
      <c r="A32" s="690" t="s">
        <v>1429</v>
      </c>
      <c r="B32" s="678" t="s">
        <v>1347</v>
      </c>
      <c r="C32" s="679" t="s">
        <v>1321</v>
      </c>
      <c r="D32" s="679" t="s">
        <v>35</v>
      </c>
      <c r="E32" s="680" t="s">
        <v>303</v>
      </c>
      <c r="F32" s="681"/>
      <c r="G32" s="680" t="s">
        <v>902</v>
      </c>
      <c r="H32" s="33"/>
      <c r="K32" s="683" t="str">
        <f>Print_Mois!V458</f>
        <v>Chauffage, éclairage</v>
      </c>
    </row>
    <row r="33" spans="1:11" ht="15" customHeight="1">
      <c r="A33" s="690" t="s">
        <v>839</v>
      </c>
      <c r="B33" s="678" t="s">
        <v>838</v>
      </c>
      <c r="C33" s="679" t="s">
        <v>1321</v>
      </c>
      <c r="D33" s="679" t="s">
        <v>34</v>
      </c>
      <c r="E33" s="680" t="s">
        <v>303</v>
      </c>
      <c r="F33" s="681"/>
      <c r="G33" s="682" t="s">
        <v>902</v>
      </c>
      <c r="H33" s="33"/>
      <c r="K33" s="683" t="str">
        <f>Print_Mois!C32</f>
        <v>Comm. F&amp;I</v>
      </c>
    </row>
    <row r="34" spans="1:11" ht="15" customHeight="1">
      <c r="A34" s="690" t="s">
        <v>841</v>
      </c>
      <c r="B34" s="678" t="s">
        <v>840</v>
      </c>
      <c r="C34" s="679" t="s">
        <v>1321</v>
      </c>
      <c r="D34" s="679" t="s">
        <v>46</v>
      </c>
      <c r="E34" s="680" t="s">
        <v>303</v>
      </c>
      <c r="F34" s="681"/>
      <c r="G34" s="682" t="s">
        <v>902</v>
      </c>
      <c r="H34" s="33"/>
      <c r="K34" s="683" t="str">
        <f>Print_Mois!C31</f>
        <v>Comm. vendeurs</v>
      </c>
    </row>
    <row r="35" spans="1:11" ht="15" customHeight="1">
      <c r="A35" s="690" t="s">
        <v>843</v>
      </c>
      <c r="B35" s="678" t="s">
        <v>842</v>
      </c>
      <c r="C35" s="679" t="s">
        <v>1321</v>
      </c>
      <c r="D35" s="679"/>
      <c r="E35" s="686" t="s">
        <v>341</v>
      </c>
      <c r="F35" s="681"/>
      <c r="G35" s="682" t="s">
        <v>1154</v>
      </c>
      <c r="H35" s="33"/>
      <c r="K35" s="683" t="s">
        <v>33</v>
      </c>
    </row>
    <row r="36" spans="1:11" ht="15" customHeight="1">
      <c r="A36" s="690" t="s">
        <v>1487</v>
      </c>
      <c r="B36" s="678" t="s">
        <v>844</v>
      </c>
      <c r="C36" s="679" t="s">
        <v>1321</v>
      </c>
      <c r="D36" s="679" t="s">
        <v>46</v>
      </c>
      <c r="E36" s="680" t="s">
        <v>303</v>
      </c>
      <c r="F36" s="681"/>
      <c r="G36" s="682" t="s">
        <v>902</v>
      </c>
      <c r="H36" s="33"/>
      <c r="K36" s="683" t="s">
        <v>1330</v>
      </c>
    </row>
    <row r="37" spans="1:11" ht="15" customHeight="1">
      <c r="A37" s="690" t="s">
        <v>846</v>
      </c>
      <c r="B37" s="678" t="s">
        <v>845</v>
      </c>
      <c r="C37" s="679" t="s">
        <v>1321</v>
      </c>
      <c r="D37" s="679" t="s">
        <v>48</v>
      </c>
      <c r="E37" s="680" t="s">
        <v>303</v>
      </c>
      <c r="F37" s="681"/>
      <c r="G37" s="682" t="s">
        <v>902</v>
      </c>
      <c r="H37" s="33"/>
      <c r="K37" s="683" t="s">
        <v>1331</v>
      </c>
    </row>
    <row r="38" spans="1:11" ht="15" customHeight="1">
      <c r="A38" s="690" t="s">
        <v>848</v>
      </c>
      <c r="B38" s="678" t="s">
        <v>847</v>
      </c>
      <c r="C38" s="679" t="s">
        <v>1321</v>
      </c>
      <c r="D38" s="679" t="s">
        <v>48</v>
      </c>
      <c r="E38" s="680" t="s">
        <v>303</v>
      </c>
      <c r="F38" s="681"/>
      <c r="G38" s="682" t="s">
        <v>2</v>
      </c>
      <c r="H38" s="33"/>
      <c r="K38" s="683" t="str">
        <f>Print_Mois!V431</f>
        <v>Csst</v>
      </c>
    </row>
    <row r="39" spans="1:11" ht="15" customHeight="1">
      <c r="A39" s="690" t="s">
        <v>850</v>
      </c>
      <c r="B39" s="678" t="s">
        <v>849</v>
      </c>
      <c r="C39" s="679" t="s">
        <v>1321</v>
      </c>
      <c r="D39" s="679"/>
      <c r="E39" s="686" t="s">
        <v>341</v>
      </c>
      <c r="F39" s="681"/>
      <c r="G39" s="682" t="s">
        <v>1154</v>
      </c>
      <c r="H39" s="33"/>
      <c r="K39" s="683" t="s">
        <v>55</v>
      </c>
    </row>
    <row r="40" spans="1:11" ht="15" customHeight="1">
      <c r="A40" s="690" t="s">
        <v>1430</v>
      </c>
      <c r="B40" s="678" t="s">
        <v>1349</v>
      </c>
      <c r="C40" s="679" t="s">
        <v>1321</v>
      </c>
      <c r="D40" s="679" t="s">
        <v>48</v>
      </c>
      <c r="E40" s="680" t="s">
        <v>303</v>
      </c>
      <c r="F40" s="681"/>
      <c r="G40" s="680" t="s">
        <v>902</v>
      </c>
      <c r="H40" s="33"/>
      <c r="K40" s="683" t="str">
        <f>Print_Mois!V429</f>
        <v>Déduction à la source</v>
      </c>
    </row>
    <row r="41" spans="1:11" ht="15" customHeight="1">
      <c r="A41" s="963" t="s">
        <v>1406</v>
      </c>
      <c r="B41" s="678" t="s">
        <v>1407</v>
      </c>
      <c r="C41" s="679"/>
      <c r="D41" s="679"/>
      <c r="E41" s="680"/>
      <c r="F41" s="681"/>
      <c r="G41" s="680" t="s">
        <v>1154</v>
      </c>
      <c r="H41" s="33"/>
      <c r="K41" s="683" t="s">
        <v>39</v>
      </c>
    </row>
    <row r="42" spans="1:11" ht="15" customHeight="1">
      <c r="A42" s="690" t="s">
        <v>852</v>
      </c>
      <c r="B42" s="678" t="s">
        <v>851</v>
      </c>
      <c r="C42" s="679" t="s">
        <v>1321</v>
      </c>
      <c r="D42" s="679" t="s">
        <v>46</v>
      </c>
      <c r="E42" s="680" t="s">
        <v>303</v>
      </c>
      <c r="F42" s="681"/>
      <c r="G42" s="682" t="s">
        <v>902</v>
      </c>
      <c r="H42" s="33"/>
      <c r="K42" s="683" t="s">
        <v>71</v>
      </c>
    </row>
    <row r="43" spans="1:11" ht="15" customHeight="1">
      <c r="A43" s="690" t="s">
        <v>3365</v>
      </c>
      <c r="B43" s="678" t="s">
        <v>853</v>
      </c>
      <c r="C43" s="679" t="s">
        <v>1321</v>
      </c>
      <c r="D43" s="679" t="s">
        <v>46</v>
      </c>
      <c r="E43" s="680" t="s">
        <v>303</v>
      </c>
      <c r="F43" s="681"/>
      <c r="G43" s="682" t="s">
        <v>902</v>
      </c>
      <c r="H43" s="33"/>
      <c r="K43" s="683" t="str">
        <f>Print_Mois!V446</f>
        <v>Divers</v>
      </c>
    </row>
    <row r="44" spans="1:11" ht="15" customHeight="1">
      <c r="A44" s="690" t="s">
        <v>856</v>
      </c>
      <c r="B44" s="678" t="s">
        <v>855</v>
      </c>
      <c r="C44" s="679" t="s">
        <v>1321</v>
      </c>
      <c r="D44" s="679" t="s">
        <v>50</v>
      </c>
      <c r="E44" s="680" t="s">
        <v>303</v>
      </c>
      <c r="F44" s="681"/>
      <c r="G44" s="682" t="s">
        <v>2</v>
      </c>
      <c r="H44" s="33"/>
      <c r="K44" s="683" t="s">
        <v>87</v>
      </c>
    </row>
    <row r="45" spans="1:11" ht="15" customHeight="1">
      <c r="A45" s="690" t="s">
        <v>3366</v>
      </c>
      <c r="B45" s="678" t="s">
        <v>857</v>
      </c>
      <c r="C45" s="679" t="s">
        <v>1321</v>
      </c>
      <c r="D45" s="679" t="s">
        <v>50</v>
      </c>
      <c r="E45" s="680" t="s">
        <v>303</v>
      </c>
      <c r="F45" s="681"/>
      <c r="G45" s="682" t="s">
        <v>902</v>
      </c>
      <c r="H45" s="33"/>
      <c r="K45" s="683" t="s">
        <v>214</v>
      </c>
    </row>
    <row r="46" spans="1:11" ht="15" customHeight="1">
      <c r="A46" s="690" t="s">
        <v>1498</v>
      </c>
      <c r="B46" s="678" t="s">
        <v>858</v>
      </c>
      <c r="C46" s="679" t="s">
        <v>1321</v>
      </c>
      <c r="D46" s="679" t="s">
        <v>50</v>
      </c>
      <c r="E46" s="680" t="s">
        <v>303</v>
      </c>
      <c r="F46" s="681"/>
      <c r="G46" s="682" t="s">
        <v>902</v>
      </c>
      <c r="H46" s="33"/>
      <c r="K46" s="683" t="s">
        <v>47</v>
      </c>
    </row>
    <row r="47" spans="1:11" ht="15" customHeight="1">
      <c r="A47" s="690" t="s">
        <v>860</v>
      </c>
      <c r="B47" s="678" t="s">
        <v>859</v>
      </c>
      <c r="C47" s="679" t="s">
        <v>1321</v>
      </c>
      <c r="D47" s="679" t="s">
        <v>50</v>
      </c>
      <c r="E47" s="680" t="s">
        <v>303</v>
      </c>
      <c r="F47" s="681"/>
      <c r="G47" s="682" t="s">
        <v>902</v>
      </c>
      <c r="H47" s="33"/>
      <c r="K47" s="683" t="s">
        <v>49</v>
      </c>
    </row>
    <row r="48" spans="1:11" ht="15" customHeight="1">
      <c r="A48" s="690" t="s">
        <v>862</v>
      </c>
      <c r="B48" s="678" t="s">
        <v>861</v>
      </c>
      <c r="C48" s="679" t="s">
        <v>1321</v>
      </c>
      <c r="D48" s="679" t="s">
        <v>56</v>
      </c>
      <c r="E48" s="680" t="s">
        <v>303</v>
      </c>
      <c r="F48" s="681"/>
      <c r="G48" s="682" t="s">
        <v>2</v>
      </c>
      <c r="H48" s="33"/>
      <c r="K48" s="683" t="s">
        <v>25</v>
      </c>
    </row>
    <row r="49" spans="1:11" ht="15" customHeight="1">
      <c r="A49" s="690" t="s">
        <v>1505</v>
      </c>
      <c r="B49" s="678" t="s">
        <v>863</v>
      </c>
      <c r="C49" s="679" t="s">
        <v>1321</v>
      </c>
      <c r="D49" s="679" t="s">
        <v>58</v>
      </c>
      <c r="E49" s="680" t="s">
        <v>303</v>
      </c>
      <c r="F49" s="681"/>
      <c r="G49" s="682" t="s">
        <v>2</v>
      </c>
      <c r="H49" s="33"/>
      <c r="K49" s="683" t="s">
        <v>79</v>
      </c>
    </row>
    <row r="50" spans="1:11" ht="15" customHeight="1">
      <c r="A50" s="690" t="s">
        <v>1508</v>
      </c>
      <c r="B50" s="678" t="s">
        <v>864</v>
      </c>
      <c r="C50" s="679" t="s">
        <v>1321</v>
      </c>
      <c r="D50" s="679" t="s">
        <v>50</v>
      </c>
      <c r="E50" s="680" t="s">
        <v>303</v>
      </c>
      <c r="F50" s="681"/>
      <c r="G50" s="682" t="s">
        <v>902</v>
      </c>
      <c r="H50" s="33"/>
      <c r="K50" s="683" t="str">
        <f>Print_Mois!C35</f>
        <v>Entretien stock</v>
      </c>
    </row>
    <row r="51" spans="1:11" ht="15" customHeight="1">
      <c r="A51" s="690" t="s">
        <v>3367</v>
      </c>
      <c r="B51" s="678" t="s">
        <v>1350</v>
      </c>
      <c r="C51" s="679" t="s">
        <v>1321</v>
      </c>
      <c r="D51" s="679" t="s">
        <v>50</v>
      </c>
      <c r="E51" s="680" t="s">
        <v>303</v>
      </c>
      <c r="F51" s="681"/>
      <c r="G51" s="680" t="s">
        <v>2</v>
      </c>
      <c r="H51" s="33"/>
      <c r="K51" s="683" t="s">
        <v>76</v>
      </c>
    </row>
    <row r="52" spans="1:11" ht="15" customHeight="1">
      <c r="A52" s="690" t="s">
        <v>866</v>
      </c>
      <c r="B52" s="678" t="s">
        <v>865</v>
      </c>
      <c r="C52" s="679" t="s">
        <v>1321</v>
      </c>
      <c r="D52" s="679" t="s">
        <v>50</v>
      </c>
      <c r="E52" s="680" t="s">
        <v>303</v>
      </c>
      <c r="F52" s="681"/>
      <c r="G52" s="682" t="s">
        <v>2</v>
      </c>
      <c r="H52" s="33"/>
      <c r="K52" s="683"/>
    </row>
    <row r="53" spans="1:11" ht="15" customHeight="1">
      <c r="A53" s="690" t="s">
        <v>1513</v>
      </c>
      <c r="B53" s="678" t="s">
        <v>867</v>
      </c>
      <c r="C53" s="679" t="s">
        <v>1321</v>
      </c>
      <c r="D53" s="679" t="s">
        <v>60</v>
      </c>
      <c r="E53" s="680" t="s">
        <v>303</v>
      </c>
      <c r="F53" s="681"/>
      <c r="G53" s="682" t="s">
        <v>2</v>
      </c>
      <c r="H53" s="33"/>
      <c r="K53" s="683" t="s">
        <v>74</v>
      </c>
    </row>
    <row r="54" spans="1:11" ht="15" customHeight="1">
      <c r="A54" s="690" t="s">
        <v>1516</v>
      </c>
      <c r="B54" s="678" t="s">
        <v>869</v>
      </c>
      <c r="C54" s="679" t="s">
        <v>1321</v>
      </c>
      <c r="D54" s="679" t="s">
        <v>60</v>
      </c>
      <c r="E54" s="680" t="s">
        <v>303</v>
      </c>
      <c r="F54" s="681"/>
      <c r="G54" s="682" t="s">
        <v>2</v>
      </c>
      <c r="H54" s="33"/>
      <c r="K54" s="683" t="s">
        <v>77</v>
      </c>
    </row>
    <row r="55" spans="1:11" ht="15" customHeight="1">
      <c r="A55" s="678" t="s">
        <v>1519</v>
      </c>
      <c r="B55" s="688" t="s">
        <v>870</v>
      </c>
      <c r="C55" s="679" t="s">
        <v>1321</v>
      </c>
      <c r="D55" s="679" t="s">
        <v>60</v>
      </c>
      <c r="E55" s="680" t="s">
        <v>303</v>
      </c>
      <c r="F55" s="681"/>
      <c r="G55" s="682" t="s">
        <v>902</v>
      </c>
      <c r="H55" s="33"/>
      <c r="K55" s="683" t="str">
        <f>Print_Mois!C302</f>
        <v>Escomptes</v>
      </c>
    </row>
    <row r="56" spans="1:11" ht="15" customHeight="1">
      <c r="A56" s="678" t="s">
        <v>1522</v>
      </c>
      <c r="B56" s="688" t="s">
        <v>1351</v>
      </c>
      <c r="C56" s="679" t="s">
        <v>1321</v>
      </c>
      <c r="D56" s="679" t="s">
        <v>60</v>
      </c>
      <c r="E56" s="680" t="s">
        <v>303</v>
      </c>
      <c r="F56" s="681"/>
      <c r="G56" s="680" t="s">
        <v>902</v>
      </c>
      <c r="H56" s="33"/>
      <c r="K56" s="683" t="str">
        <f>Print_Mois!C15</f>
        <v>Ex-Démos et courtoisies</v>
      </c>
    </row>
    <row r="57" spans="1:11" ht="15" customHeight="1">
      <c r="A57" s="678" t="s">
        <v>1525</v>
      </c>
      <c r="B57" s="688" t="s">
        <v>871</v>
      </c>
      <c r="C57" s="679" t="s">
        <v>1321</v>
      </c>
      <c r="D57" s="679" t="s">
        <v>60</v>
      </c>
      <c r="E57" s="680" t="s">
        <v>303</v>
      </c>
      <c r="F57" s="681"/>
      <c r="G57" s="682" t="s">
        <v>902</v>
      </c>
      <c r="H57" s="33"/>
      <c r="K57" s="683" t="str">
        <f>Print_Mois!C17</f>
        <v>Flottes</v>
      </c>
    </row>
    <row r="58" spans="1:11" ht="15" customHeight="1">
      <c r="A58" s="690" t="s">
        <v>1528</v>
      </c>
      <c r="B58" s="678" t="s">
        <v>872</v>
      </c>
      <c r="C58" s="679" t="s">
        <v>1321</v>
      </c>
      <c r="D58" s="679" t="s">
        <v>60</v>
      </c>
      <c r="E58" s="680" t="s">
        <v>303</v>
      </c>
      <c r="F58" s="681"/>
      <c r="G58" s="682" t="e">
        <v>#N/A</v>
      </c>
      <c r="H58" s="33"/>
      <c r="K58" s="683" t="s">
        <v>1332</v>
      </c>
    </row>
    <row r="59" spans="1:11" ht="15" customHeight="1">
      <c r="A59" s="690" t="s">
        <v>1531</v>
      </c>
      <c r="B59" s="678" t="s">
        <v>1352</v>
      </c>
      <c r="C59" s="679" t="s">
        <v>1321</v>
      </c>
      <c r="D59" s="679" t="s">
        <v>60</v>
      </c>
      <c r="E59" s="680" t="s">
        <v>303</v>
      </c>
      <c r="F59" s="681"/>
      <c r="G59" s="680" t="e">
        <v>#N/A</v>
      </c>
      <c r="H59" s="33"/>
      <c r="K59" s="683" t="str">
        <f>Print_Mois!V447</f>
        <v>Formation</v>
      </c>
    </row>
    <row r="60" spans="1:11" ht="15" customHeight="1">
      <c r="A60" s="690" t="s">
        <v>3368</v>
      </c>
      <c r="B60" s="678" t="s">
        <v>1353</v>
      </c>
      <c r="C60" s="679" t="s">
        <v>1321</v>
      </c>
      <c r="D60" s="679" t="s">
        <v>60</v>
      </c>
      <c r="E60" s="680" t="s">
        <v>303</v>
      </c>
      <c r="F60" s="681"/>
      <c r="G60" s="680" t="s">
        <v>902</v>
      </c>
      <c r="H60" s="33"/>
      <c r="K60" s="683" t="str">
        <f>Print_Mois!V441</f>
        <v>Fournitures autres</v>
      </c>
    </row>
    <row r="61" spans="1:11" ht="15" customHeight="1">
      <c r="A61" s="690" t="s">
        <v>1534</v>
      </c>
      <c r="B61" s="678" t="s">
        <v>1354</v>
      </c>
      <c r="C61" s="679" t="s">
        <v>1321</v>
      </c>
      <c r="D61" s="679" t="s">
        <v>57</v>
      </c>
      <c r="E61" s="680" t="s">
        <v>303</v>
      </c>
      <c r="F61" s="681"/>
      <c r="G61" s="680" t="s">
        <v>902</v>
      </c>
      <c r="H61" s="33"/>
      <c r="K61" s="683" t="s">
        <v>490</v>
      </c>
    </row>
    <row r="62" spans="1:11" ht="15" customHeight="1">
      <c r="A62" s="690" t="s">
        <v>1537</v>
      </c>
      <c r="B62" s="678" t="s">
        <v>1355</v>
      </c>
      <c r="C62" s="679" t="s">
        <v>1321</v>
      </c>
      <c r="D62" s="679" t="s">
        <v>60</v>
      </c>
      <c r="E62" s="680" t="s">
        <v>303</v>
      </c>
      <c r="F62" s="681"/>
      <c r="G62" s="680" t="s">
        <v>2</v>
      </c>
      <c r="H62" s="33"/>
      <c r="K62" s="683" t="str">
        <f>Print_Mois!V480</f>
        <v>Frais administration</v>
      </c>
    </row>
    <row r="63" spans="1:11" ht="15" customHeight="1">
      <c r="A63" s="690" t="s">
        <v>1540</v>
      </c>
      <c r="B63" s="678" t="s">
        <v>873</v>
      </c>
      <c r="C63" s="679" t="s">
        <v>1321</v>
      </c>
      <c r="D63" s="679" t="s">
        <v>60</v>
      </c>
      <c r="E63" s="680" t="s">
        <v>303</v>
      </c>
      <c r="F63" s="681"/>
      <c r="G63" s="682" t="s">
        <v>902</v>
      </c>
      <c r="H63" s="33"/>
      <c r="K63" s="683" t="s">
        <v>142</v>
      </c>
    </row>
    <row r="64" spans="1:11" ht="15" customHeight="1">
      <c r="A64" s="690" t="s">
        <v>1543</v>
      </c>
      <c r="B64" s="678" t="s">
        <v>874</v>
      </c>
      <c r="C64" s="679" t="s">
        <v>1321</v>
      </c>
      <c r="D64" s="679" t="s">
        <v>60</v>
      </c>
      <c r="E64" s="680" t="s">
        <v>303</v>
      </c>
      <c r="F64" s="681"/>
      <c r="G64" s="682" t="s">
        <v>902</v>
      </c>
      <c r="H64" s="33"/>
      <c r="K64" s="683"/>
    </row>
    <row r="65" spans="1:11" ht="15" customHeight="1">
      <c r="A65" s="690" t="s">
        <v>1546</v>
      </c>
      <c r="B65" s="678" t="s">
        <v>1356</v>
      </c>
      <c r="C65" s="679" t="s">
        <v>1321</v>
      </c>
      <c r="D65" s="679" t="s">
        <v>60</v>
      </c>
      <c r="E65" s="680" t="s">
        <v>303</v>
      </c>
      <c r="F65" s="681"/>
      <c r="G65" s="680" t="s">
        <v>2</v>
      </c>
      <c r="H65" s="33"/>
      <c r="K65" s="683" t="str">
        <f>Print_Mois!V451</f>
        <v>[...]</v>
      </c>
    </row>
    <row r="66" spans="1:11" ht="15" customHeight="1">
      <c r="A66" s="690" t="s">
        <v>1549</v>
      </c>
      <c r="B66" s="678" t="s">
        <v>1357</v>
      </c>
      <c r="C66" s="679" t="s">
        <v>1321</v>
      </c>
      <c r="D66" s="679" t="s">
        <v>60</v>
      </c>
      <c r="E66" s="680" t="s">
        <v>303</v>
      </c>
      <c r="F66" s="681"/>
      <c r="G66" s="680" t="s">
        <v>2</v>
      </c>
      <c r="H66" s="33"/>
      <c r="K66" s="683" t="str">
        <f>Print_Mois!V438</f>
        <v>Frais de déplacement</v>
      </c>
    </row>
    <row r="67" spans="1:11" ht="15" customHeight="1">
      <c r="A67" s="690" t="s">
        <v>1552</v>
      </c>
      <c r="B67" s="678" t="s">
        <v>875</v>
      </c>
      <c r="C67" s="679" t="s">
        <v>1321</v>
      </c>
      <c r="D67" s="679" t="s">
        <v>60</v>
      </c>
      <c r="E67" s="680" t="s">
        <v>303</v>
      </c>
      <c r="F67" s="681"/>
      <c r="G67" s="682" t="s">
        <v>2</v>
      </c>
      <c r="H67" s="33"/>
      <c r="K67" s="683" t="str">
        <f>Print_Mois!C33</f>
        <v>Frais de livraison</v>
      </c>
    </row>
    <row r="68" spans="1:11" ht="15" customHeight="1">
      <c r="A68" s="690" t="s">
        <v>1555</v>
      </c>
      <c r="B68" s="678" t="s">
        <v>876</v>
      </c>
      <c r="C68" s="679" t="s">
        <v>1321</v>
      </c>
      <c r="D68" s="679" t="s">
        <v>57</v>
      </c>
      <c r="E68" s="680" t="s">
        <v>303</v>
      </c>
      <c r="F68" s="681"/>
      <c r="G68" s="682" t="e">
        <v>#N/A</v>
      </c>
      <c r="H68" s="33"/>
      <c r="K68" s="683" t="s">
        <v>1334</v>
      </c>
    </row>
    <row r="69" spans="1:11" ht="15" customHeight="1">
      <c r="A69" s="690" t="s">
        <v>1558</v>
      </c>
      <c r="B69" s="678" t="s">
        <v>877</v>
      </c>
      <c r="C69" s="679" t="s">
        <v>1321</v>
      </c>
      <c r="D69" s="679" t="s">
        <v>57</v>
      </c>
      <c r="E69" s="680" t="s">
        <v>303</v>
      </c>
      <c r="F69" s="681"/>
      <c r="G69" s="682" t="e">
        <v>#N/A</v>
      </c>
      <c r="H69" s="33"/>
      <c r="K69" s="683" t="s">
        <v>60</v>
      </c>
    </row>
    <row r="70" spans="1:11" ht="15" customHeight="1">
      <c r="A70" s="690" t="s">
        <v>1561</v>
      </c>
      <c r="B70" s="678" t="s">
        <v>878</v>
      </c>
      <c r="C70" s="679" t="s">
        <v>1321</v>
      </c>
      <c r="D70" s="679" t="s">
        <v>60</v>
      </c>
      <c r="E70" s="680" t="s">
        <v>303</v>
      </c>
      <c r="F70" s="681"/>
      <c r="G70" s="682" t="e">
        <v>#N/A</v>
      </c>
      <c r="H70" s="33"/>
      <c r="K70" s="683" t="str">
        <f>Print_Mois!V445</f>
        <v>Frais postaux</v>
      </c>
    </row>
    <row r="71" spans="1:11" ht="15" customHeight="1">
      <c r="A71" s="690" t="s">
        <v>3369</v>
      </c>
      <c r="B71" s="678" t="s">
        <v>879</v>
      </c>
      <c r="C71" s="679" t="s">
        <v>1321</v>
      </c>
      <c r="D71" s="679" t="s">
        <v>60</v>
      </c>
      <c r="E71" s="680" t="s">
        <v>303</v>
      </c>
      <c r="F71" s="681"/>
      <c r="G71" s="682" t="s">
        <v>2</v>
      </c>
      <c r="H71" s="33"/>
      <c r="K71" s="683" t="s">
        <v>1336</v>
      </c>
    </row>
    <row r="72" spans="1:11" ht="15" customHeight="1">
      <c r="A72" s="690" t="s">
        <v>1564</v>
      </c>
      <c r="B72" s="678" t="s">
        <v>880</v>
      </c>
      <c r="C72" s="679" t="s">
        <v>1321</v>
      </c>
      <c r="D72" s="679" t="s">
        <v>60</v>
      </c>
      <c r="E72" s="680" t="s">
        <v>303</v>
      </c>
      <c r="F72" s="681"/>
      <c r="G72" s="682" t="s">
        <v>957</v>
      </c>
      <c r="H72" s="33"/>
      <c r="K72" s="683" t="str">
        <f>Print_Mois!V436</f>
        <v>Frais véhicules de cie</v>
      </c>
    </row>
    <row r="73" spans="1:11" ht="15" customHeight="1">
      <c r="A73" s="690" t="s">
        <v>1567</v>
      </c>
      <c r="B73" s="678" t="s">
        <v>1358</v>
      </c>
      <c r="C73" s="679" t="s">
        <v>1321</v>
      </c>
      <c r="D73" s="679" t="s">
        <v>60</v>
      </c>
      <c r="E73" s="680" t="s">
        <v>303</v>
      </c>
      <c r="F73" s="681"/>
      <c r="G73" s="680" t="s">
        <v>957</v>
      </c>
      <c r="H73" s="33"/>
      <c r="K73" s="683" t="s">
        <v>1337</v>
      </c>
    </row>
    <row r="74" spans="1:11" ht="15" customHeight="1">
      <c r="A74" s="690" t="s">
        <v>1570</v>
      </c>
      <c r="B74" s="678" t="s">
        <v>881</v>
      </c>
      <c r="C74" s="679" t="s">
        <v>1321</v>
      </c>
      <c r="D74" s="679" t="s">
        <v>60</v>
      </c>
      <c r="E74" s="680" t="s">
        <v>303</v>
      </c>
      <c r="F74" s="681"/>
      <c r="G74" s="682" t="s">
        <v>957</v>
      </c>
      <c r="H74" s="33"/>
      <c r="K74" s="683" t="str">
        <f>Print_Mois!V470</f>
        <v>Holdbacks</v>
      </c>
    </row>
    <row r="75" spans="1:11" ht="15" customHeight="1">
      <c r="A75" s="690" t="s">
        <v>3370</v>
      </c>
      <c r="B75" s="678" t="s">
        <v>882</v>
      </c>
      <c r="C75" s="679" t="s">
        <v>1321</v>
      </c>
      <c r="D75" s="679" t="s">
        <v>60</v>
      </c>
      <c r="E75" s="680" t="s">
        <v>303</v>
      </c>
      <c r="F75" s="681"/>
      <c r="G75" s="682" t="s">
        <v>2</v>
      </c>
      <c r="H75" s="33"/>
      <c r="K75" s="683" t="str">
        <f>Print_Mois!V459</f>
        <v>Honoraires</v>
      </c>
    </row>
    <row r="76" spans="1:11" ht="15" customHeight="1">
      <c r="A76" s="690" t="s">
        <v>1573</v>
      </c>
      <c r="B76" s="678" t="s">
        <v>883</v>
      </c>
      <c r="C76" s="679" t="s">
        <v>1321</v>
      </c>
      <c r="D76" s="679" t="s">
        <v>60</v>
      </c>
      <c r="E76" s="680" t="s">
        <v>303</v>
      </c>
      <c r="F76" s="681"/>
      <c r="G76" s="682" t="s">
        <v>2</v>
      </c>
      <c r="H76" s="33"/>
      <c r="K76" s="683" t="str">
        <f>Print_Mois!C308</f>
        <v>Huiles et Graisse</v>
      </c>
    </row>
    <row r="77" spans="1:11" ht="15" customHeight="1">
      <c r="A77" s="690" t="s">
        <v>1576</v>
      </c>
      <c r="B77" s="678" t="s">
        <v>1359</v>
      </c>
      <c r="C77" s="679" t="s">
        <v>1321</v>
      </c>
      <c r="D77" s="679" t="s">
        <v>60</v>
      </c>
      <c r="E77" s="680" t="s">
        <v>303</v>
      </c>
      <c r="F77" s="681"/>
      <c r="G77" s="680" t="s">
        <v>2</v>
      </c>
      <c r="H77" s="33"/>
      <c r="K77" s="683" t="s">
        <v>69</v>
      </c>
    </row>
    <row r="78" spans="1:11" ht="15" customHeight="1">
      <c r="A78" s="690" t="s">
        <v>1579</v>
      </c>
      <c r="B78" s="678" t="s">
        <v>1360</v>
      </c>
      <c r="C78" s="679" t="s">
        <v>1321</v>
      </c>
      <c r="D78" s="679" t="s">
        <v>60</v>
      </c>
      <c r="E78" s="680" t="s">
        <v>303</v>
      </c>
      <c r="F78" s="681"/>
      <c r="G78" s="680" t="s">
        <v>2</v>
      </c>
      <c r="H78" s="33"/>
      <c r="K78" s="683" t="s">
        <v>37</v>
      </c>
    </row>
    <row r="79" spans="1:11" ht="15" customHeight="1">
      <c r="A79" s="690" t="s">
        <v>1582</v>
      </c>
      <c r="B79" s="678" t="s">
        <v>1361</v>
      </c>
      <c r="C79" s="679" t="s">
        <v>1321</v>
      </c>
      <c r="D79" s="679" t="s">
        <v>60</v>
      </c>
      <c r="E79" s="680" t="s">
        <v>303</v>
      </c>
      <c r="F79" s="681"/>
      <c r="G79" s="680" t="s">
        <v>2</v>
      </c>
      <c r="H79" s="33"/>
      <c r="K79" s="683" t="s">
        <v>65</v>
      </c>
    </row>
    <row r="80" spans="1:11" ht="15" customHeight="1">
      <c r="A80" s="690" t="s">
        <v>1585</v>
      </c>
      <c r="B80" s="678" t="s">
        <v>884</v>
      </c>
      <c r="C80" s="679" t="s">
        <v>1321</v>
      </c>
      <c r="D80" s="679" t="s">
        <v>70</v>
      </c>
      <c r="E80" s="680" t="s">
        <v>303</v>
      </c>
      <c r="F80" s="681"/>
      <c r="G80" s="682" t="s">
        <v>2</v>
      </c>
      <c r="H80" s="33"/>
      <c r="K80" s="683" t="str">
        <f>Print_Mois!V437</f>
        <v>Informatique</v>
      </c>
    </row>
    <row r="81" spans="1:11" ht="15" customHeight="1">
      <c r="A81" s="690" t="s">
        <v>1588</v>
      </c>
      <c r="B81" s="678" t="s">
        <v>886</v>
      </c>
      <c r="C81" s="679" t="s">
        <v>1321</v>
      </c>
      <c r="D81" s="679" t="s">
        <v>70</v>
      </c>
      <c r="E81" s="680" t="s">
        <v>303</v>
      </c>
      <c r="F81" s="681"/>
      <c r="G81" s="682" t="s">
        <v>2</v>
      </c>
      <c r="H81" s="33"/>
      <c r="K81" s="683" t="s">
        <v>177</v>
      </c>
    </row>
    <row r="82" spans="1:11" ht="15" customHeight="1">
      <c r="A82" s="690" t="s">
        <v>3371</v>
      </c>
      <c r="B82" s="678" t="s">
        <v>884</v>
      </c>
      <c r="C82" s="679" t="s">
        <v>1321</v>
      </c>
      <c r="D82" s="679" t="s">
        <v>70</v>
      </c>
      <c r="E82" s="680" t="s">
        <v>303</v>
      </c>
      <c r="F82" s="681"/>
      <c r="G82" s="682" t="s">
        <v>957</v>
      </c>
      <c r="H82" s="33"/>
      <c r="K82" s="683" t="s">
        <v>117</v>
      </c>
    </row>
    <row r="83" spans="1:11" ht="15" customHeight="1">
      <c r="A83" s="690" t="s">
        <v>3927</v>
      </c>
      <c r="B83" s="678" t="s">
        <v>3926</v>
      </c>
      <c r="C83" s="679" t="s">
        <v>1321</v>
      </c>
      <c r="D83" s="679" t="s">
        <v>70</v>
      </c>
      <c r="E83" s="680" t="s">
        <v>303</v>
      </c>
      <c r="F83" s="681"/>
      <c r="G83" s="682" t="s">
        <v>957</v>
      </c>
      <c r="H83" s="33"/>
      <c r="K83" s="683"/>
    </row>
    <row r="84" spans="1:11" ht="15" customHeight="1">
      <c r="A84" s="964" t="s">
        <v>3406</v>
      </c>
      <c r="B84" s="678" t="s">
        <v>3405</v>
      </c>
      <c r="C84" s="679" t="s">
        <v>1321</v>
      </c>
      <c r="D84" s="679" t="s">
        <v>70</v>
      </c>
      <c r="E84" s="680" t="s">
        <v>303</v>
      </c>
      <c r="F84" s="681"/>
      <c r="G84" s="682" t="s">
        <v>957</v>
      </c>
      <c r="H84" s="33"/>
      <c r="K84" s="683" t="str">
        <f>Print_Mois!V492</f>
        <v>Intérêts sur marge</v>
      </c>
    </row>
    <row r="85" spans="1:11" ht="15" customHeight="1">
      <c r="A85" s="964" t="s">
        <v>3929</v>
      </c>
      <c r="B85" s="678" t="s">
        <v>3928</v>
      </c>
      <c r="C85" s="679" t="s">
        <v>1321</v>
      </c>
      <c r="D85" s="679" t="s">
        <v>70</v>
      </c>
      <c r="E85" s="680" t="s">
        <v>303</v>
      </c>
      <c r="F85" s="681"/>
      <c r="G85" s="682" t="s">
        <v>957</v>
      </c>
      <c r="H85" s="33"/>
      <c r="K85" s="683"/>
    </row>
    <row r="86" spans="1:11" ht="15" customHeight="1">
      <c r="A86" s="690" t="s">
        <v>1591</v>
      </c>
      <c r="B86" s="678" t="s">
        <v>887</v>
      </c>
      <c r="C86" s="679" t="s">
        <v>1321</v>
      </c>
      <c r="D86" s="679" t="s">
        <v>74</v>
      </c>
      <c r="E86" s="680" t="s">
        <v>303</v>
      </c>
      <c r="F86" s="681"/>
      <c r="G86" s="682" t="s">
        <v>2</v>
      </c>
      <c r="H86" s="33"/>
      <c r="K86" s="683" t="str">
        <f>Print_Mois!V493</f>
        <v>Intérêts sur prêt</v>
      </c>
    </row>
    <row r="87" spans="1:11" ht="15" customHeight="1">
      <c r="A87" s="690" t="s">
        <v>1594</v>
      </c>
      <c r="B87" s="678" t="s">
        <v>888</v>
      </c>
      <c r="C87" s="679" t="s">
        <v>1321</v>
      </c>
      <c r="D87" s="679" t="s">
        <v>74</v>
      </c>
      <c r="E87" s="680" t="s">
        <v>303</v>
      </c>
      <c r="F87" s="681"/>
      <c r="G87" s="682" t="s">
        <v>2</v>
      </c>
      <c r="H87" s="33"/>
      <c r="K87" s="683" t="s">
        <v>50</v>
      </c>
    </row>
    <row r="88" spans="1:11" ht="15" customHeight="1">
      <c r="A88" s="690" t="s">
        <v>1597</v>
      </c>
      <c r="B88" s="678" t="s">
        <v>889</v>
      </c>
      <c r="C88" s="679" t="s">
        <v>1321</v>
      </c>
      <c r="D88" s="679" t="s">
        <v>74</v>
      </c>
      <c r="E88" s="680" t="s">
        <v>303</v>
      </c>
      <c r="F88" s="681"/>
      <c r="G88" s="682" t="s">
        <v>2</v>
      </c>
      <c r="H88" s="33"/>
      <c r="K88" s="683" t="s">
        <v>46</v>
      </c>
    </row>
    <row r="89" spans="1:11" ht="15" customHeight="1">
      <c r="A89" s="690" t="s">
        <v>1600</v>
      </c>
      <c r="B89" s="678" t="s">
        <v>890</v>
      </c>
      <c r="C89" s="679" t="s">
        <v>1321</v>
      </c>
      <c r="D89" s="679" t="s">
        <v>74</v>
      </c>
      <c r="E89" s="680" t="s">
        <v>303</v>
      </c>
      <c r="F89" s="681"/>
      <c r="G89" s="682" t="e">
        <v>#N/A</v>
      </c>
      <c r="H89" s="33"/>
      <c r="K89" s="683" t="s">
        <v>48</v>
      </c>
    </row>
    <row r="90" spans="1:11" ht="15" customHeight="1">
      <c r="A90" s="690" t="s">
        <v>1603</v>
      </c>
      <c r="B90" s="678" t="s">
        <v>1362</v>
      </c>
      <c r="C90" s="679" t="s">
        <v>1321</v>
      </c>
      <c r="D90" s="679" t="s">
        <v>77</v>
      </c>
      <c r="E90" s="680" t="s">
        <v>303</v>
      </c>
      <c r="F90" s="681"/>
      <c r="G90" s="680" t="s">
        <v>2</v>
      </c>
      <c r="H90" s="33"/>
      <c r="K90" s="683" t="str">
        <f>Print_Mois!V461</f>
        <v>Location équipement</v>
      </c>
    </row>
    <row r="91" spans="1:11" ht="15" customHeight="1">
      <c r="A91" s="690" t="s">
        <v>1606</v>
      </c>
      <c r="B91" s="678" t="s">
        <v>1363</v>
      </c>
      <c r="C91" s="679" t="s">
        <v>1321</v>
      </c>
      <c r="D91" s="679" t="s">
        <v>77</v>
      </c>
      <c r="E91" s="680" t="s">
        <v>303</v>
      </c>
      <c r="F91" s="681"/>
      <c r="G91" s="680" t="s">
        <v>2</v>
      </c>
      <c r="H91" s="33"/>
      <c r="K91" s="683" t="str">
        <f>Print_Mois!V453</f>
        <v>Loyer</v>
      </c>
    </row>
    <row r="92" spans="1:11" ht="15" customHeight="1">
      <c r="A92" s="690" t="s">
        <v>1609</v>
      </c>
      <c r="B92" s="678" t="s">
        <v>891</v>
      </c>
      <c r="C92" s="679" t="s">
        <v>1321</v>
      </c>
      <c r="D92" s="679" t="s">
        <v>75</v>
      </c>
      <c r="E92" s="680" t="s">
        <v>303</v>
      </c>
      <c r="F92" s="681"/>
      <c r="G92" s="682" t="e">
        <v>#N/A</v>
      </c>
      <c r="H92" s="33"/>
      <c r="K92" s="683" t="str">
        <f>Print_Mois!C244</f>
        <v>M/O Carrosserie</v>
      </c>
    </row>
    <row r="93" spans="1:11" ht="15" customHeight="1">
      <c r="A93" s="690" t="s">
        <v>1612</v>
      </c>
      <c r="B93" s="678" t="s">
        <v>892</v>
      </c>
      <c r="C93" s="679" t="s">
        <v>1321</v>
      </c>
      <c r="D93" s="679" t="s">
        <v>75</v>
      </c>
      <c r="E93" s="680" t="s">
        <v>303</v>
      </c>
      <c r="F93" s="681"/>
      <c r="G93" s="682" t="e">
        <v>#N/A</v>
      </c>
      <c r="H93" s="33"/>
      <c r="K93" s="683" t="str">
        <f>Print_Mois!C172</f>
        <v>M/O Client</v>
      </c>
    </row>
    <row r="94" spans="1:11" ht="15" customHeight="1">
      <c r="A94" s="690" t="s">
        <v>1615</v>
      </c>
      <c r="B94" s="678" t="s">
        <v>893</v>
      </c>
      <c r="C94" s="679" t="s">
        <v>1321</v>
      </c>
      <c r="D94" s="679" t="s">
        <v>74</v>
      </c>
      <c r="E94" s="680" t="s">
        <v>303</v>
      </c>
      <c r="F94" s="681"/>
      <c r="G94" s="682" t="e">
        <v>#N/A</v>
      </c>
      <c r="H94" s="33"/>
      <c r="K94" s="683" t="str">
        <f>Print_Mois!C181</f>
        <v>M/O Esthétique</v>
      </c>
    </row>
    <row r="95" spans="1:11" ht="15" customHeight="1">
      <c r="A95" s="690" t="s">
        <v>1618</v>
      </c>
      <c r="B95" s="678" t="s">
        <v>894</v>
      </c>
      <c r="C95" s="679" t="s">
        <v>1321</v>
      </c>
      <c r="D95" s="679" t="s">
        <v>74</v>
      </c>
      <c r="E95" s="680" t="s">
        <v>303</v>
      </c>
      <c r="F95" s="681"/>
      <c r="G95" s="682" t="e">
        <v>#N/A</v>
      </c>
      <c r="H95" s="33"/>
      <c r="K95" s="683" t="str">
        <f>+Print_Mois!C247</f>
        <v>M/O Esthétique Carr.</v>
      </c>
    </row>
    <row r="96" spans="1:11" ht="15" customHeight="1">
      <c r="A96" s="690" t="s">
        <v>1621</v>
      </c>
      <c r="B96" s="678" t="s">
        <v>895</v>
      </c>
      <c r="C96" s="679" t="s">
        <v>1321</v>
      </c>
      <c r="D96" s="679" t="s">
        <v>76</v>
      </c>
      <c r="E96" s="680" t="s">
        <v>303</v>
      </c>
      <c r="F96" s="681"/>
      <c r="G96" s="682" t="e">
        <v>#N/A</v>
      </c>
      <c r="H96" s="33"/>
      <c r="K96" s="683" t="str">
        <f>Print_Mois!C175</f>
        <v>M/O Garantie</v>
      </c>
    </row>
    <row r="97" spans="1:11" ht="15" customHeight="1">
      <c r="A97" s="690" t="s">
        <v>1624</v>
      </c>
      <c r="B97" s="678" t="s">
        <v>896</v>
      </c>
      <c r="C97" s="679" t="s">
        <v>1321</v>
      </c>
      <c r="D97" s="679" t="s">
        <v>76</v>
      </c>
      <c r="E97" s="680" t="s">
        <v>303</v>
      </c>
      <c r="F97" s="681"/>
      <c r="G97" s="682" t="e">
        <v>#N/A</v>
      </c>
      <c r="H97" s="33"/>
      <c r="K97" s="683" t="str">
        <f>Print_Mois!C178</f>
        <v>M/O Interne</v>
      </c>
    </row>
    <row r="98" spans="1:11" ht="15" customHeight="1">
      <c r="A98" s="690" t="s">
        <v>1627</v>
      </c>
      <c r="B98" s="678" t="s">
        <v>897</v>
      </c>
      <c r="C98" s="679" t="s">
        <v>1321</v>
      </c>
      <c r="D98" s="679" t="s">
        <v>79</v>
      </c>
      <c r="E98" s="680" t="s">
        <v>303</v>
      </c>
      <c r="F98" s="681"/>
      <c r="G98" s="682" t="e">
        <v>#N/A</v>
      </c>
      <c r="H98" s="33"/>
      <c r="K98" s="683" t="s">
        <v>26</v>
      </c>
    </row>
    <row r="99" spans="1:11" ht="15" customHeight="1">
      <c r="A99" s="690" t="s">
        <v>1630</v>
      </c>
      <c r="B99" s="678" t="s">
        <v>898</v>
      </c>
      <c r="C99" s="679" t="s">
        <v>1321</v>
      </c>
      <c r="D99" s="679" t="s">
        <v>79</v>
      </c>
      <c r="E99" s="680" t="s">
        <v>303</v>
      </c>
      <c r="F99" s="681"/>
      <c r="G99" s="682" t="e">
        <v>#N/A</v>
      </c>
      <c r="H99" s="33"/>
      <c r="K99" s="683" t="s">
        <v>1339</v>
      </c>
    </row>
    <row r="100" spans="1:11" ht="15" customHeight="1">
      <c r="A100" s="690" t="s">
        <v>899</v>
      </c>
      <c r="B100" s="678" t="s">
        <v>3319</v>
      </c>
      <c r="C100" s="679" t="s">
        <v>1321</v>
      </c>
      <c r="D100" s="679" t="s">
        <v>82</v>
      </c>
      <c r="E100" s="680" t="s">
        <v>303</v>
      </c>
      <c r="F100" s="681"/>
      <c r="G100" s="682" t="s">
        <v>963</v>
      </c>
      <c r="H100" s="33"/>
      <c r="K100" s="683" t="s">
        <v>75</v>
      </c>
    </row>
    <row r="101" spans="1:11" ht="15" customHeight="1">
      <c r="A101" s="690" t="s">
        <v>3372</v>
      </c>
      <c r="B101" s="678" t="s">
        <v>3320</v>
      </c>
      <c r="C101" s="679" t="s">
        <v>1321</v>
      </c>
      <c r="D101" s="679" t="s">
        <v>82</v>
      </c>
      <c r="E101" s="680" t="s">
        <v>303</v>
      </c>
      <c r="F101" s="681"/>
      <c r="G101" s="682" t="s">
        <v>7</v>
      </c>
      <c r="H101" s="33"/>
      <c r="K101" s="683" t="str">
        <f>Print_Mois!C95</f>
        <v>Non Certifié</v>
      </c>
    </row>
    <row r="102" spans="1:11" ht="15" customHeight="1">
      <c r="A102" s="690" t="s">
        <v>1635</v>
      </c>
      <c r="B102" s="678" t="s">
        <v>900</v>
      </c>
      <c r="C102" s="679" t="s">
        <v>1321</v>
      </c>
      <c r="D102" s="679" t="s">
        <v>42</v>
      </c>
      <c r="E102" s="680" t="s">
        <v>303</v>
      </c>
      <c r="F102" s="681"/>
      <c r="G102" s="682" t="e">
        <v>#N/A</v>
      </c>
      <c r="H102" s="33"/>
      <c r="K102" s="683"/>
    </row>
    <row r="103" spans="1:11" ht="15" customHeight="1">
      <c r="A103" s="690" t="s">
        <v>3958</v>
      </c>
      <c r="B103" s="678" t="s">
        <v>3957</v>
      </c>
      <c r="C103" s="679" t="s">
        <v>1321</v>
      </c>
      <c r="D103" s="679" t="s">
        <v>83</v>
      </c>
      <c r="E103" s="680" t="s">
        <v>303</v>
      </c>
      <c r="F103" s="681"/>
      <c r="G103" s="682" t="e">
        <v>#N/A</v>
      </c>
      <c r="H103" s="33"/>
      <c r="K103" s="683"/>
    </row>
    <row r="104" spans="1:11" ht="15" customHeight="1">
      <c r="A104" s="690" t="s">
        <v>1638</v>
      </c>
      <c r="B104" s="678" t="s">
        <v>721</v>
      </c>
      <c r="C104" s="679"/>
      <c r="D104" s="679"/>
      <c r="E104" s="680"/>
      <c r="F104" s="681"/>
      <c r="G104" s="682" t="e">
        <v>#N/A</v>
      </c>
      <c r="H104" s="33"/>
      <c r="K104" s="683" t="str">
        <f>Print_Mois!C297</f>
        <v>P/A Garantie</v>
      </c>
    </row>
    <row r="105" spans="1:11" ht="15" customHeight="1">
      <c r="A105" s="690" t="s">
        <v>903</v>
      </c>
      <c r="B105" s="678" t="s">
        <v>901</v>
      </c>
      <c r="C105" s="679" t="s">
        <v>1321</v>
      </c>
      <c r="D105" s="679" t="s">
        <v>47</v>
      </c>
      <c r="E105" s="680" t="s">
        <v>303</v>
      </c>
      <c r="F105" s="681"/>
      <c r="G105" s="682" t="e">
        <v>#N/A</v>
      </c>
      <c r="H105" s="33"/>
      <c r="K105" s="683" t="str">
        <f>Print_Mois!V443</f>
        <v>Papeterie</v>
      </c>
    </row>
    <row r="106" spans="1:11" ht="15" customHeight="1">
      <c r="A106" s="690" t="s">
        <v>905</v>
      </c>
      <c r="B106" s="678" t="s">
        <v>904</v>
      </c>
      <c r="C106" s="679" t="s">
        <v>1321</v>
      </c>
      <c r="D106" s="679" t="s">
        <v>49</v>
      </c>
      <c r="E106" s="680" t="s">
        <v>303</v>
      </c>
      <c r="F106" s="681"/>
      <c r="G106" s="682" t="e">
        <v>#N/A</v>
      </c>
      <c r="H106" s="33"/>
      <c r="K106" s="683" t="str">
        <f>Print_Mois!C296</f>
        <v>Pièces Ro Carrosserie</v>
      </c>
    </row>
    <row r="107" spans="1:11" ht="15" customHeight="1">
      <c r="A107" s="690" t="s">
        <v>3373</v>
      </c>
      <c r="B107" s="678" t="s">
        <v>3313</v>
      </c>
      <c r="C107" s="679" t="s">
        <v>1321</v>
      </c>
      <c r="D107" s="679" t="s">
        <v>57</v>
      </c>
      <c r="E107" s="680" t="s">
        <v>303</v>
      </c>
      <c r="F107" s="681"/>
      <c r="G107" s="682" t="e">
        <v>#N/A</v>
      </c>
      <c r="H107" s="33"/>
      <c r="K107" s="683" t="str">
        <f>Print_Mois!C295</f>
        <v>Pièces Ro Clients</v>
      </c>
    </row>
    <row r="108" spans="1:11" ht="15" customHeight="1">
      <c r="A108" s="690" t="s">
        <v>3374</v>
      </c>
      <c r="B108" s="678" t="s">
        <v>3314</v>
      </c>
      <c r="C108" s="679" t="s">
        <v>1321</v>
      </c>
      <c r="D108" s="679" t="s">
        <v>57</v>
      </c>
      <c r="E108" s="680" t="s">
        <v>303</v>
      </c>
      <c r="F108" s="681"/>
      <c r="G108" s="682" t="e">
        <v>#N/A</v>
      </c>
      <c r="H108" s="33"/>
      <c r="K108" s="683" t="s">
        <v>28</v>
      </c>
    </row>
    <row r="109" spans="1:11" ht="15" customHeight="1">
      <c r="A109" s="690" t="s">
        <v>907</v>
      </c>
      <c r="B109" s="678" t="s">
        <v>906</v>
      </c>
      <c r="C109" s="679" t="s">
        <v>1321</v>
      </c>
      <c r="D109" s="679" t="s">
        <v>28</v>
      </c>
      <c r="E109" s="680" t="s">
        <v>303</v>
      </c>
      <c r="F109" s="681"/>
      <c r="G109" s="682" t="e">
        <v>#N/A</v>
      </c>
      <c r="H109" s="33"/>
      <c r="K109" s="683" t="str">
        <f>Print_Mois!V471</f>
        <v>Programme neuf 1</v>
      </c>
    </row>
    <row r="110" spans="1:11" ht="15" customHeight="1">
      <c r="A110" s="678" t="s">
        <v>909</v>
      </c>
      <c r="B110" s="678" t="s">
        <v>908</v>
      </c>
      <c r="C110" s="679" t="s">
        <v>1321</v>
      </c>
      <c r="D110" s="679" t="s">
        <v>35</v>
      </c>
      <c r="E110" s="680" t="s">
        <v>303</v>
      </c>
      <c r="F110" s="680"/>
      <c r="G110" s="682" t="s">
        <v>963</v>
      </c>
      <c r="H110" s="33"/>
      <c r="K110" s="683" t="s">
        <v>41</v>
      </c>
    </row>
    <row r="111" spans="1:11" ht="15" customHeight="1">
      <c r="A111" s="678" t="s">
        <v>911</v>
      </c>
      <c r="B111" s="678" t="s">
        <v>910</v>
      </c>
      <c r="C111" s="679" t="s">
        <v>1321</v>
      </c>
      <c r="D111" s="679" t="s">
        <v>35</v>
      </c>
      <c r="E111" s="680" t="s">
        <v>303</v>
      </c>
      <c r="F111" s="680"/>
      <c r="G111" s="682" t="s">
        <v>7</v>
      </c>
      <c r="H111" s="33"/>
      <c r="K111" s="683"/>
    </row>
    <row r="112" spans="1:11" ht="15" customHeight="1">
      <c r="A112" s="678" t="s">
        <v>1652</v>
      </c>
      <c r="B112" s="678" t="s">
        <v>912</v>
      </c>
      <c r="C112" s="679" t="s">
        <v>1321</v>
      </c>
      <c r="D112" s="679" t="s">
        <v>35</v>
      </c>
      <c r="E112" s="680" t="s">
        <v>303</v>
      </c>
      <c r="F112" s="680"/>
      <c r="G112" s="682" t="e">
        <v>#N/A</v>
      </c>
      <c r="H112" s="33"/>
      <c r="K112" s="683" t="str">
        <f>Print_Mois!V472</f>
        <v>Programme neuf 2</v>
      </c>
    </row>
    <row r="113" spans="1:11" ht="15" customHeight="1">
      <c r="A113" s="678" t="s">
        <v>914</v>
      </c>
      <c r="B113" s="678" t="s">
        <v>913</v>
      </c>
      <c r="C113" s="679" t="s">
        <v>1321</v>
      </c>
      <c r="D113" s="679" t="s">
        <v>35</v>
      </c>
      <c r="E113" s="680" t="s">
        <v>303</v>
      </c>
      <c r="F113" s="680"/>
      <c r="G113" s="682" t="s">
        <v>963</v>
      </c>
      <c r="H113" s="33"/>
      <c r="K113" s="683" t="str">
        <f>Print_Mois!V473</f>
        <v>Programme neuf 3</v>
      </c>
    </row>
    <row r="114" spans="1:11" ht="15" customHeight="1">
      <c r="A114" s="678" t="s">
        <v>1657</v>
      </c>
      <c r="B114" s="678" t="s">
        <v>915</v>
      </c>
      <c r="C114" s="679" t="s">
        <v>1321</v>
      </c>
      <c r="D114" s="679" t="s">
        <v>35</v>
      </c>
      <c r="E114" s="680" t="s">
        <v>303</v>
      </c>
      <c r="F114" s="680"/>
      <c r="G114" s="682" t="s">
        <v>7</v>
      </c>
      <c r="H114" s="33"/>
      <c r="K114" s="683" t="s">
        <v>116</v>
      </c>
    </row>
    <row r="115" spans="1:11" ht="15" customHeight="1">
      <c r="A115" s="678" t="s">
        <v>1660</v>
      </c>
      <c r="B115" s="678" t="s">
        <v>916</v>
      </c>
      <c r="C115" s="679" t="s">
        <v>1321</v>
      </c>
      <c r="D115" s="679" t="s">
        <v>35</v>
      </c>
      <c r="E115" s="680" t="s">
        <v>303</v>
      </c>
      <c r="F115" s="680"/>
      <c r="G115" s="682" t="e">
        <v>#N/A</v>
      </c>
      <c r="H115" s="33"/>
      <c r="K115" s="683" t="s">
        <v>129</v>
      </c>
    </row>
    <row r="116" spans="1:11" ht="15" customHeight="1">
      <c r="A116" s="678" t="s">
        <v>1663</v>
      </c>
      <c r="B116" s="678" t="s">
        <v>917</v>
      </c>
      <c r="C116" s="679" t="s">
        <v>1321</v>
      </c>
      <c r="D116" s="679" t="s">
        <v>43</v>
      </c>
      <c r="E116" s="680" t="s">
        <v>303</v>
      </c>
      <c r="F116" s="680"/>
      <c r="G116" s="682" t="e">
        <v>#N/A</v>
      </c>
      <c r="H116" s="33"/>
      <c r="K116" s="683" t="str">
        <f>Print_Mois!C19</f>
        <v>Rachat bail</v>
      </c>
    </row>
    <row r="117" spans="1:11" ht="15" customHeight="1">
      <c r="A117" s="678" t="s">
        <v>918</v>
      </c>
      <c r="B117" s="678" t="s">
        <v>919</v>
      </c>
      <c r="C117" s="679" t="s">
        <v>1321</v>
      </c>
      <c r="D117" s="679" t="s">
        <v>43</v>
      </c>
      <c r="E117" s="680" t="s">
        <v>303</v>
      </c>
      <c r="F117" s="680"/>
      <c r="G117" s="682" t="e">
        <v>#N/A</v>
      </c>
      <c r="H117" s="33"/>
      <c r="K117" s="683" t="s">
        <v>42</v>
      </c>
    </row>
    <row r="118" spans="1:11" ht="15" customHeight="1">
      <c r="A118" s="690" t="s">
        <v>1668</v>
      </c>
      <c r="B118" s="678" t="s">
        <v>920</v>
      </c>
      <c r="C118" s="679" t="s">
        <v>1321</v>
      </c>
      <c r="D118" s="679" t="s">
        <v>43</v>
      </c>
      <c r="E118" s="680" t="s">
        <v>303</v>
      </c>
      <c r="F118" s="681"/>
      <c r="G118" s="682" t="e">
        <v>#N/A</v>
      </c>
      <c r="H118" s="33"/>
      <c r="K118" s="683" t="s">
        <v>38</v>
      </c>
    </row>
    <row r="119" spans="1:11" ht="15" customHeight="1">
      <c r="A119" s="690" t="s">
        <v>1671</v>
      </c>
      <c r="B119" s="678" t="s">
        <v>921</v>
      </c>
      <c r="C119" s="679" t="s">
        <v>1321</v>
      </c>
      <c r="D119" s="679" t="s">
        <v>43</v>
      </c>
      <c r="E119" s="680" t="s">
        <v>303</v>
      </c>
      <c r="F119" s="681"/>
      <c r="G119" s="682" t="s">
        <v>963</v>
      </c>
      <c r="H119" s="33"/>
      <c r="K119" s="683" t="s">
        <v>29</v>
      </c>
    </row>
    <row r="120" spans="1:11" ht="15" customHeight="1">
      <c r="A120" s="690" t="s">
        <v>1674</v>
      </c>
      <c r="B120" s="678" t="s">
        <v>732</v>
      </c>
      <c r="C120" s="679"/>
      <c r="D120" s="679"/>
      <c r="E120" s="680"/>
      <c r="F120" s="681"/>
      <c r="G120" s="682" t="s">
        <v>816</v>
      </c>
      <c r="H120" s="33"/>
      <c r="K120" s="683" t="s">
        <v>29</v>
      </c>
    </row>
    <row r="121" spans="1:11" ht="15" customHeight="1">
      <c r="A121" s="690" t="s">
        <v>923</v>
      </c>
      <c r="B121" s="678" t="s">
        <v>922</v>
      </c>
      <c r="C121" s="679" t="s">
        <v>1321</v>
      </c>
      <c r="D121" s="679" t="s">
        <v>33</v>
      </c>
      <c r="E121" s="680" t="s">
        <v>303</v>
      </c>
      <c r="F121" s="681"/>
      <c r="G121" s="682" t="s">
        <v>7</v>
      </c>
      <c r="H121" s="33"/>
      <c r="K121" s="683" t="s">
        <v>36</v>
      </c>
    </row>
    <row r="122" spans="1:11" ht="15" customHeight="1">
      <c r="A122" s="690" t="s">
        <v>1679</v>
      </c>
      <c r="B122" s="678" t="s">
        <v>924</v>
      </c>
      <c r="C122" s="679" t="s">
        <v>1321</v>
      </c>
      <c r="D122" s="679" t="s">
        <v>43</v>
      </c>
      <c r="E122" s="680" t="s">
        <v>303</v>
      </c>
      <c r="F122" s="681"/>
      <c r="G122" s="682" t="s">
        <v>963</v>
      </c>
      <c r="H122" s="33"/>
      <c r="K122" s="683" t="s">
        <v>34</v>
      </c>
    </row>
    <row r="123" spans="1:11" ht="15" customHeight="1">
      <c r="A123" s="690" t="s">
        <v>928</v>
      </c>
      <c r="B123" s="678" t="s">
        <v>925</v>
      </c>
      <c r="C123" s="679" t="s">
        <v>1321</v>
      </c>
      <c r="D123" s="679" t="s">
        <v>57</v>
      </c>
      <c r="E123" s="680" t="s">
        <v>303</v>
      </c>
      <c r="F123" s="681"/>
      <c r="G123" s="682" t="s">
        <v>7</v>
      </c>
      <c r="H123" s="33"/>
      <c r="K123" s="683" t="s">
        <v>30</v>
      </c>
    </row>
    <row r="124" spans="1:11" ht="15" customHeight="1">
      <c r="A124" s="690" t="s">
        <v>3375</v>
      </c>
      <c r="B124" s="678" t="s">
        <v>1365</v>
      </c>
      <c r="C124" s="679" t="s">
        <v>1321</v>
      </c>
      <c r="D124" s="679" t="s">
        <v>57</v>
      </c>
      <c r="E124" s="680" t="s">
        <v>303</v>
      </c>
      <c r="F124" s="681"/>
      <c r="G124" s="682" t="e">
        <v>#N/A</v>
      </c>
      <c r="H124" s="33"/>
      <c r="K124" s="683" t="s">
        <v>189</v>
      </c>
    </row>
    <row r="125" spans="1:11" ht="15" customHeight="1">
      <c r="A125" s="690" t="s">
        <v>1684</v>
      </c>
      <c r="B125" s="678" t="s">
        <v>927</v>
      </c>
      <c r="C125" s="679" t="s">
        <v>1321</v>
      </c>
      <c r="D125" s="679" t="s">
        <v>57</v>
      </c>
      <c r="E125" s="680" t="s">
        <v>303</v>
      </c>
      <c r="F125" s="681"/>
      <c r="G125" s="682" t="e">
        <v>#N/A</v>
      </c>
      <c r="H125" s="33"/>
      <c r="K125" s="683" t="s">
        <v>40</v>
      </c>
    </row>
    <row r="126" spans="1:11" ht="15" customHeight="1">
      <c r="A126" s="690" t="s">
        <v>3376</v>
      </c>
      <c r="B126" s="678" t="s">
        <v>1366</v>
      </c>
      <c r="C126" s="679" t="s">
        <v>1321</v>
      </c>
      <c r="D126" s="679" t="s">
        <v>41</v>
      </c>
      <c r="E126" s="680" t="s">
        <v>303</v>
      </c>
      <c r="F126" s="681"/>
      <c r="G126" s="682" t="e">
        <v>#N/A</v>
      </c>
      <c r="H126" s="33"/>
      <c r="K126" s="683" t="str">
        <f>Print_Mois!V460</f>
        <v>Réparation équipement</v>
      </c>
    </row>
    <row r="127" spans="1:11" ht="15" customHeight="1">
      <c r="A127" s="690" t="s">
        <v>1687</v>
      </c>
      <c r="B127" s="678" t="s">
        <v>930</v>
      </c>
      <c r="C127" s="679" t="s">
        <v>1321</v>
      </c>
      <c r="D127" s="679" t="s">
        <v>57</v>
      </c>
      <c r="E127" s="680" t="s">
        <v>303</v>
      </c>
      <c r="F127" s="681"/>
      <c r="G127" s="682" t="s">
        <v>963</v>
      </c>
      <c r="H127" s="33"/>
      <c r="K127" s="683" t="s">
        <v>1348</v>
      </c>
    </row>
    <row r="128" spans="1:11" ht="15" customHeight="1">
      <c r="A128" s="690" t="s">
        <v>1690</v>
      </c>
      <c r="B128" s="678" t="s">
        <v>733</v>
      </c>
      <c r="C128" s="679"/>
      <c r="D128" s="679"/>
      <c r="E128" s="680" t="s">
        <v>303</v>
      </c>
      <c r="F128" s="681"/>
      <c r="G128" s="682" t="e">
        <v>#N/A</v>
      </c>
      <c r="H128" s="33"/>
      <c r="K128" s="683" t="str">
        <f>Print_Mois!C23</f>
        <v>Rev. Autres</v>
      </c>
    </row>
    <row r="129" spans="1:29" ht="15" customHeight="1">
      <c r="A129" s="690" t="s">
        <v>3336</v>
      </c>
      <c r="B129" s="678" t="s">
        <v>3337</v>
      </c>
      <c r="C129" s="679" t="s">
        <v>1321</v>
      </c>
      <c r="D129" s="679" t="s">
        <v>55</v>
      </c>
      <c r="E129" s="680" t="s">
        <v>303</v>
      </c>
      <c r="F129" s="681"/>
      <c r="G129" s="682" t="s">
        <v>7</v>
      </c>
      <c r="H129" s="33"/>
      <c r="K129" s="683" t="str">
        <f>Print_Mois!C24</f>
        <v>Total F&amp;I</v>
      </c>
    </row>
    <row r="130" spans="1:29" ht="15" customHeight="1">
      <c r="A130" s="690" t="s">
        <v>932</v>
      </c>
      <c r="B130" s="678" t="s">
        <v>931</v>
      </c>
      <c r="C130" s="679" t="s">
        <v>1321</v>
      </c>
      <c r="D130" s="679" t="s">
        <v>55</v>
      </c>
      <c r="E130" s="680" t="s">
        <v>303</v>
      </c>
      <c r="F130" s="681"/>
      <c r="G130" s="682" t="s">
        <v>963</v>
      </c>
      <c r="H130" s="33"/>
      <c r="K130" s="683" t="str">
        <f>Print_Mois!C21</f>
        <v>Rev. Finances</v>
      </c>
    </row>
    <row r="131" spans="1:29" ht="15" customHeight="1">
      <c r="A131" s="690" t="s">
        <v>1695</v>
      </c>
      <c r="B131" s="678" t="s">
        <v>933</v>
      </c>
      <c r="C131" s="679" t="s">
        <v>1321</v>
      </c>
      <c r="D131" s="679" t="s">
        <v>55</v>
      </c>
      <c r="E131" s="680" t="s">
        <v>303</v>
      </c>
      <c r="F131" s="681"/>
      <c r="G131" s="682" t="s">
        <v>7</v>
      </c>
      <c r="H131" s="33"/>
      <c r="K131" s="683" t="str">
        <f>Print_Mois!C22</f>
        <v>Rev. Protections</v>
      </c>
    </row>
    <row r="132" spans="1:29" ht="15" customHeight="1">
      <c r="A132" s="690" t="s">
        <v>1698</v>
      </c>
      <c r="B132" s="678" t="s">
        <v>734</v>
      </c>
      <c r="C132" s="679"/>
      <c r="D132" s="679"/>
      <c r="E132" s="680"/>
      <c r="F132" s="681"/>
      <c r="G132" s="682" t="s">
        <v>816</v>
      </c>
      <c r="H132" s="33"/>
      <c r="K132" s="683" t="str">
        <f>Print_Mois!V469</f>
        <v>Revenus autres</v>
      </c>
    </row>
    <row r="133" spans="1:29" ht="15" customHeight="1">
      <c r="A133" s="690" t="s">
        <v>1701</v>
      </c>
      <c r="B133" s="678" t="s">
        <v>934</v>
      </c>
      <c r="C133" s="679" t="s">
        <v>1321</v>
      </c>
      <c r="D133" s="679" t="s">
        <v>55</v>
      </c>
      <c r="E133" s="680" t="s">
        <v>303</v>
      </c>
      <c r="F133" s="681"/>
      <c r="G133" s="682" t="e">
        <v>#N/A</v>
      </c>
      <c r="H133" s="33"/>
      <c r="K133" s="683" t="s">
        <v>53</v>
      </c>
    </row>
    <row r="134" spans="1:29" ht="15" customHeight="1">
      <c r="A134" s="690" t="s">
        <v>1704</v>
      </c>
      <c r="B134" s="678" t="s">
        <v>935</v>
      </c>
      <c r="C134" s="679" t="s">
        <v>1321</v>
      </c>
      <c r="D134" s="679" t="s">
        <v>55</v>
      </c>
      <c r="E134" s="680" t="s">
        <v>303</v>
      </c>
      <c r="F134" s="681"/>
      <c r="G134" s="682" t="e">
        <v>#N/A</v>
      </c>
      <c r="H134" s="33"/>
      <c r="K134" s="683" t="str">
        <f>Print_Mois!V423</f>
        <v>Salaires autres</v>
      </c>
    </row>
    <row r="135" spans="1:29" ht="15" customHeight="1">
      <c r="A135" s="690" t="s">
        <v>1707</v>
      </c>
      <c r="B135" s="678" t="s">
        <v>936</v>
      </c>
      <c r="C135" s="679" t="s">
        <v>1321</v>
      </c>
      <c r="D135" s="679" t="s">
        <v>55</v>
      </c>
      <c r="E135" s="680" t="s">
        <v>303</v>
      </c>
      <c r="F135" s="681"/>
      <c r="G135" s="682" t="s">
        <v>963</v>
      </c>
      <c r="H135" s="33"/>
      <c r="K135" s="683" t="str">
        <f>Print_Mois!V421</f>
        <v>Salaires cadres</v>
      </c>
    </row>
    <row r="136" spans="1:29" ht="15" customHeight="1">
      <c r="A136" s="690" t="s">
        <v>1710</v>
      </c>
      <c r="B136" s="678" t="s">
        <v>735</v>
      </c>
      <c r="C136" s="679"/>
      <c r="D136" s="679"/>
      <c r="E136" s="680"/>
      <c r="F136" s="681"/>
      <c r="G136" s="682" t="s">
        <v>816</v>
      </c>
      <c r="H136" s="33"/>
      <c r="K136" s="683" t="str">
        <f>Print_Mois!C43</f>
        <v>Salaires commis</v>
      </c>
    </row>
    <row r="137" spans="1:29" ht="15" customHeight="1">
      <c r="A137" s="690" t="s">
        <v>1713</v>
      </c>
      <c r="B137" s="678" t="s">
        <v>736</v>
      </c>
      <c r="C137" s="679"/>
      <c r="D137" s="679"/>
      <c r="E137" s="680"/>
      <c r="F137" s="681"/>
      <c r="G137" s="682" t="s">
        <v>816</v>
      </c>
      <c r="H137" s="33"/>
      <c r="K137" s="683" t="str">
        <f>Print_Mois!V422</f>
        <v>Salaires commis</v>
      </c>
    </row>
    <row r="138" spans="1:29" ht="15" customHeight="1">
      <c r="A138" s="690" t="s">
        <v>938</v>
      </c>
      <c r="B138" s="678" t="s">
        <v>937</v>
      </c>
      <c r="C138" s="679" t="s">
        <v>1321</v>
      </c>
      <c r="D138" s="679" t="s">
        <v>39</v>
      </c>
      <c r="E138" s="680" t="s">
        <v>303</v>
      </c>
      <c r="F138" s="681"/>
      <c r="G138" s="682" t="s">
        <v>7</v>
      </c>
      <c r="H138" s="33"/>
      <c r="K138" s="683" t="str">
        <f>Print_Mois!V428</f>
        <v>Salaires en absences</v>
      </c>
    </row>
    <row r="139" spans="1:29" ht="15" customHeight="1">
      <c r="A139" s="690" t="s">
        <v>1718</v>
      </c>
      <c r="B139" s="678" t="s">
        <v>737</v>
      </c>
      <c r="C139" s="679"/>
      <c r="D139" s="679"/>
      <c r="E139" s="680"/>
      <c r="F139" s="681"/>
      <c r="G139" s="682" t="s">
        <v>816</v>
      </c>
      <c r="H139" s="33"/>
      <c r="K139" s="683" t="str">
        <f>Print_Mois!V420</f>
        <v>Salaires propriétaire</v>
      </c>
    </row>
    <row r="140" spans="1:29" ht="15" customHeight="1">
      <c r="A140" s="690" t="s">
        <v>1721</v>
      </c>
      <c r="B140" s="678" t="s">
        <v>738</v>
      </c>
      <c r="C140" s="679"/>
      <c r="D140" s="679"/>
      <c r="E140" s="680"/>
      <c r="F140" s="681"/>
      <c r="G140" s="682" t="s">
        <v>816</v>
      </c>
      <c r="H140" s="33"/>
      <c r="K140" s="683" t="str">
        <f>Print_Mois!V424</f>
        <v>Salaires spécialistes</v>
      </c>
    </row>
    <row r="141" spans="1:29" ht="15" customHeight="1">
      <c r="A141" s="690" t="s">
        <v>1724</v>
      </c>
      <c r="B141" s="678" t="s">
        <v>739</v>
      </c>
      <c r="C141" s="679"/>
      <c r="D141" s="679"/>
      <c r="E141" s="680"/>
      <c r="F141" s="681"/>
      <c r="G141" s="682" t="s">
        <v>816</v>
      </c>
      <c r="H141" s="33"/>
      <c r="K141" s="683" t="str">
        <f>Print_Mois!C34</f>
        <v>Service gratuit 1</v>
      </c>
    </row>
    <row r="142" spans="1:29" ht="15" customHeight="1">
      <c r="A142" s="690" t="s">
        <v>1727</v>
      </c>
      <c r="B142" s="678" t="s">
        <v>740</v>
      </c>
      <c r="C142" s="679"/>
      <c r="D142" s="679"/>
      <c r="E142" s="680"/>
      <c r="F142" s="681"/>
      <c r="G142" s="682" t="s">
        <v>816</v>
      </c>
      <c r="H142" s="33"/>
      <c r="K142" s="683" t="str">
        <f>Print_Mois!V435</f>
        <v>Service gratuit 2</v>
      </c>
    </row>
    <row r="143" spans="1:29" ht="15" customHeight="1">
      <c r="A143" s="690" t="s">
        <v>940</v>
      </c>
      <c r="B143" s="678" t="s">
        <v>939</v>
      </c>
      <c r="C143" s="679" t="s">
        <v>1321</v>
      </c>
      <c r="D143" s="679" t="s">
        <v>53</v>
      </c>
      <c r="E143" s="680" t="s">
        <v>303</v>
      </c>
      <c r="F143" s="681"/>
      <c r="G143" s="682" t="s">
        <v>963</v>
      </c>
      <c r="H143" s="33"/>
      <c r="I143" s="3"/>
      <c r="J143" s="3"/>
      <c r="K143" s="683" t="str">
        <f>Print_Mois!V439</f>
        <v>Services extérieurs</v>
      </c>
      <c r="L143" s="3"/>
      <c r="M143" s="3"/>
      <c r="P143" s="3"/>
      <c r="Q143" s="3"/>
      <c r="R143" s="3"/>
      <c r="S143" s="3"/>
      <c r="T143" s="3"/>
      <c r="U143" s="3"/>
      <c r="V143" s="3"/>
      <c r="W143" s="3"/>
      <c r="X143" s="3"/>
      <c r="Y143" s="3"/>
      <c r="Z143" s="3"/>
      <c r="AA143" s="3"/>
      <c r="AB143" s="3"/>
      <c r="AC143" s="3"/>
    </row>
    <row r="144" spans="1:29" ht="15" customHeight="1">
      <c r="A144" s="690" t="s">
        <v>3377</v>
      </c>
      <c r="B144" s="678" t="s">
        <v>941</v>
      </c>
      <c r="C144" s="679" t="s">
        <v>1321</v>
      </c>
      <c r="D144" s="679" t="s">
        <v>53</v>
      </c>
      <c r="E144" s="680" t="s">
        <v>303</v>
      </c>
      <c r="F144" s="681"/>
      <c r="G144" s="682" t="s">
        <v>7</v>
      </c>
      <c r="H144" s="33"/>
      <c r="K144" s="683" t="s">
        <v>58</v>
      </c>
    </row>
    <row r="145" spans="1:11" ht="15" customHeight="1">
      <c r="A145" s="690" t="s">
        <v>944</v>
      </c>
      <c r="B145" s="678" t="s">
        <v>943</v>
      </c>
      <c r="C145" s="679" t="s">
        <v>1321</v>
      </c>
      <c r="D145" s="679" t="s">
        <v>53</v>
      </c>
      <c r="E145" s="680" t="s">
        <v>303</v>
      </c>
      <c r="F145" s="681"/>
      <c r="G145" s="682" t="s">
        <v>963</v>
      </c>
      <c r="H145" s="33"/>
      <c r="K145" s="683" t="str">
        <f>Print_Mois!C188</f>
        <v>Sous-traitement</v>
      </c>
    </row>
    <row r="146" spans="1:11" ht="15" customHeight="1">
      <c r="A146" s="690" t="s">
        <v>1734</v>
      </c>
      <c r="B146" s="678" t="s">
        <v>945</v>
      </c>
      <c r="C146" s="679" t="s">
        <v>1321</v>
      </c>
      <c r="D146" s="679" t="s">
        <v>53</v>
      </c>
      <c r="E146" s="680" t="s">
        <v>303</v>
      </c>
      <c r="F146" s="681"/>
      <c r="G146" s="682" t="s">
        <v>7</v>
      </c>
      <c r="H146" s="33"/>
      <c r="K146" s="683" t="s">
        <v>129</v>
      </c>
    </row>
    <row r="147" spans="1:11" ht="15" customHeight="1">
      <c r="A147" s="690" t="s">
        <v>1737</v>
      </c>
      <c r="B147" s="678" t="s">
        <v>1367</v>
      </c>
      <c r="C147" s="679" t="s">
        <v>1321</v>
      </c>
      <c r="D147" s="679" t="s">
        <v>53</v>
      </c>
      <c r="E147" s="680" t="s">
        <v>303</v>
      </c>
      <c r="F147" s="681"/>
      <c r="G147" s="680" t="e">
        <v>#N/A</v>
      </c>
      <c r="H147" s="33"/>
      <c r="K147" s="683" t="s">
        <v>99</v>
      </c>
    </row>
    <row r="148" spans="1:11" ht="15" customHeight="1">
      <c r="A148" s="690" t="s">
        <v>1740</v>
      </c>
      <c r="B148" s="678" t="s">
        <v>946</v>
      </c>
      <c r="C148" s="679" t="s">
        <v>1321</v>
      </c>
      <c r="D148" s="679" t="s">
        <v>53</v>
      </c>
      <c r="E148" s="680" t="s">
        <v>303</v>
      </c>
      <c r="F148" s="681"/>
      <c r="G148" s="682" t="s">
        <v>963</v>
      </c>
      <c r="H148" s="33"/>
      <c r="K148" s="683" t="s">
        <v>206</v>
      </c>
    </row>
    <row r="149" spans="1:11" ht="15" customHeight="1">
      <c r="A149" s="690" t="s">
        <v>1743</v>
      </c>
      <c r="B149" s="678" t="s">
        <v>947</v>
      </c>
      <c r="C149" s="679" t="s">
        <v>1321</v>
      </c>
      <c r="D149" s="679" t="s">
        <v>53</v>
      </c>
      <c r="E149" s="680" t="s">
        <v>303</v>
      </c>
      <c r="F149" s="681"/>
      <c r="G149" s="682" t="s">
        <v>7</v>
      </c>
      <c r="H149" s="33"/>
      <c r="K149" s="683" t="s">
        <v>207</v>
      </c>
    </row>
    <row r="150" spans="1:11" ht="15" customHeight="1">
      <c r="A150" s="690" t="s">
        <v>742</v>
      </c>
      <c r="B150" s="678" t="s">
        <v>741</v>
      </c>
      <c r="C150" s="679"/>
      <c r="D150" s="679"/>
      <c r="E150" s="680"/>
      <c r="F150" s="681"/>
      <c r="G150" s="682" t="s">
        <v>816</v>
      </c>
      <c r="H150" s="33"/>
      <c r="K150" s="683" t="str">
        <f>Print_Mois!V456</f>
        <v>Taxe sur le capital</v>
      </c>
    </row>
    <row r="151" spans="1:11" ht="15" customHeight="1">
      <c r="A151" s="690" t="s">
        <v>949</v>
      </c>
      <c r="B151" s="678" t="s">
        <v>948</v>
      </c>
      <c r="C151" s="679" t="s">
        <v>1321</v>
      </c>
      <c r="D151" s="679" t="s">
        <v>57</v>
      </c>
      <c r="E151" s="680" t="s">
        <v>303</v>
      </c>
      <c r="F151" s="681"/>
      <c r="G151" s="682" t="s">
        <v>2</v>
      </c>
      <c r="H151" s="33"/>
      <c r="K151" s="683" t="s">
        <v>35</v>
      </c>
    </row>
    <row r="152" spans="1:11" ht="15" customHeight="1">
      <c r="A152" s="690" t="s">
        <v>3378</v>
      </c>
      <c r="B152" s="678" t="s">
        <v>950</v>
      </c>
      <c r="C152" s="679" t="s">
        <v>1321</v>
      </c>
      <c r="D152" s="679" t="s">
        <v>57</v>
      </c>
      <c r="E152" s="680" t="s">
        <v>303</v>
      </c>
      <c r="F152" s="681"/>
      <c r="G152" s="682" t="s">
        <v>963</v>
      </c>
      <c r="H152" s="33"/>
      <c r="K152" s="683" t="str">
        <f>Print_Mois!V444</f>
        <v>Téléphone</v>
      </c>
    </row>
    <row r="153" spans="1:11" ht="15" customHeight="1">
      <c r="A153" s="690" t="s">
        <v>744</v>
      </c>
      <c r="B153" s="678" t="s">
        <v>743</v>
      </c>
      <c r="C153" s="679"/>
      <c r="D153" s="679"/>
      <c r="E153" s="680"/>
      <c r="F153" s="681"/>
      <c r="G153" s="682" t="s">
        <v>816</v>
      </c>
      <c r="H153" s="33"/>
      <c r="K153" s="683" t="s">
        <v>56</v>
      </c>
    </row>
    <row r="154" spans="1:11" ht="15" customHeight="1">
      <c r="A154" s="690" t="s">
        <v>1750</v>
      </c>
      <c r="B154" s="678" t="s">
        <v>745</v>
      </c>
      <c r="C154" s="679"/>
      <c r="D154" s="679"/>
      <c r="E154" s="680"/>
      <c r="F154" s="681"/>
      <c r="G154" s="682" t="s">
        <v>816</v>
      </c>
      <c r="H154" s="33"/>
      <c r="K154" s="683" t="s">
        <v>136</v>
      </c>
    </row>
    <row r="155" spans="1:11" ht="15" customHeight="1">
      <c r="A155" s="690" t="s">
        <v>1753</v>
      </c>
      <c r="B155" s="678" t="s">
        <v>746</v>
      </c>
      <c r="C155" s="679"/>
      <c r="D155" s="679"/>
      <c r="E155" s="680"/>
      <c r="F155" s="681"/>
      <c r="G155" s="682" t="s">
        <v>816</v>
      </c>
      <c r="H155" s="33"/>
      <c r="K155" s="683" t="str">
        <f>Print_Mois!C100</f>
        <v>Ventes au Gros</v>
      </c>
    </row>
    <row r="156" spans="1:11" ht="15" customHeight="1">
      <c r="A156" s="690" t="s">
        <v>953</v>
      </c>
      <c r="B156" s="678" t="s">
        <v>952</v>
      </c>
      <c r="C156" s="679" t="s">
        <v>1321</v>
      </c>
      <c r="D156" s="679" t="s">
        <v>71</v>
      </c>
      <c r="E156" s="680" t="s">
        <v>303</v>
      </c>
      <c r="F156" s="681"/>
      <c r="G156" s="682" t="s">
        <v>7</v>
      </c>
      <c r="H156" s="33"/>
      <c r="K156" s="683"/>
    </row>
    <row r="157" spans="1:11" ht="15" customHeight="1">
      <c r="A157" s="690" t="s">
        <v>955</v>
      </c>
      <c r="B157" s="678" t="s">
        <v>954</v>
      </c>
      <c r="C157" s="679" t="s">
        <v>1321</v>
      </c>
      <c r="D157" s="679" t="s">
        <v>57</v>
      </c>
      <c r="E157" s="680" t="s">
        <v>303</v>
      </c>
      <c r="F157" s="681"/>
      <c r="G157" s="682" t="s">
        <v>2</v>
      </c>
      <c r="H157" s="33"/>
      <c r="K157" s="683" t="str">
        <f>Print_Mois!C300</f>
        <v>Ventes de Gros</v>
      </c>
    </row>
    <row r="158" spans="1:11" ht="15" customHeight="1">
      <c r="A158" s="690" t="s">
        <v>748</v>
      </c>
      <c r="B158" s="678" t="s">
        <v>722</v>
      </c>
      <c r="C158" s="679"/>
      <c r="D158" s="679"/>
      <c r="E158" s="680"/>
      <c r="F158" s="681"/>
      <c r="G158" s="682" t="e">
        <v>#N/A</v>
      </c>
      <c r="H158" s="33"/>
      <c r="K158" s="683" t="s">
        <v>186</v>
      </c>
    </row>
    <row r="159" spans="1:11" ht="15" customHeight="1">
      <c r="A159" s="690" t="s">
        <v>1763</v>
      </c>
      <c r="B159" s="678" t="s">
        <v>747</v>
      </c>
      <c r="C159" s="679"/>
      <c r="D159" s="679"/>
      <c r="E159" s="680"/>
      <c r="F159" s="681"/>
      <c r="G159" s="682" t="e">
        <v>#N/A</v>
      </c>
      <c r="H159" s="33"/>
      <c r="K159" s="683" t="str">
        <f>Print_Mois!C298</f>
        <v>Ventes Internes</v>
      </c>
    </row>
    <row r="160" spans="1:11" ht="15" customHeight="1">
      <c r="A160" s="690" t="s">
        <v>958</v>
      </c>
      <c r="B160" s="678" t="s">
        <v>956</v>
      </c>
      <c r="C160" s="679" t="s">
        <v>1321</v>
      </c>
      <c r="D160" s="679" t="s">
        <v>84</v>
      </c>
      <c r="E160" s="680" t="s">
        <v>303</v>
      </c>
      <c r="F160" s="681"/>
      <c r="G160" s="682" t="e">
        <v>#N/A</v>
      </c>
      <c r="H160" s="33"/>
      <c r="K160" s="683"/>
    </row>
    <row r="161" spans="1:11" ht="15" customHeight="1">
      <c r="A161" s="690" t="s">
        <v>1768</v>
      </c>
      <c r="B161" s="678" t="s">
        <v>959</v>
      </c>
      <c r="C161" s="679" t="s">
        <v>1321</v>
      </c>
      <c r="D161" s="679" t="s">
        <v>85</v>
      </c>
      <c r="E161" s="680" t="s">
        <v>303</v>
      </c>
      <c r="F161" s="681"/>
      <c r="G161" s="682" t="e">
        <v>#N/A</v>
      </c>
      <c r="H161" s="33"/>
      <c r="K161" s="683" t="str">
        <f>Print_Mois!C307</f>
        <v>Ventes Pneus</v>
      </c>
    </row>
    <row r="162" spans="1:11" ht="15" customHeight="1">
      <c r="A162" s="690" t="s">
        <v>1771</v>
      </c>
      <c r="B162" s="678" t="s">
        <v>960</v>
      </c>
      <c r="C162" s="679" t="s">
        <v>1321</v>
      </c>
      <c r="D162" s="679" t="s">
        <v>84</v>
      </c>
      <c r="E162" s="680"/>
      <c r="F162" s="681"/>
      <c r="G162" s="682" t="e">
        <v>#N/A</v>
      </c>
      <c r="H162" s="33"/>
    </row>
    <row r="163" spans="1:11" ht="15" customHeight="1">
      <c r="A163" s="690" t="s">
        <v>1774</v>
      </c>
      <c r="B163" s="678" t="s">
        <v>749</v>
      </c>
      <c r="C163" s="679"/>
      <c r="D163" s="679"/>
      <c r="E163" s="680"/>
      <c r="F163" s="681"/>
      <c r="G163" s="682" t="e">
        <v>#N/A</v>
      </c>
      <c r="H163" s="33"/>
    </row>
    <row r="164" spans="1:11" ht="15" customHeight="1">
      <c r="A164" s="690" t="s">
        <v>1777</v>
      </c>
      <c r="B164" s="678" t="s">
        <v>750</v>
      </c>
      <c r="C164" s="679"/>
      <c r="D164" s="679"/>
      <c r="E164" s="680"/>
      <c r="F164" s="681"/>
      <c r="G164" s="682" t="e">
        <v>#N/A</v>
      </c>
      <c r="H164" s="33"/>
    </row>
    <row r="165" spans="1:11" ht="15" customHeight="1">
      <c r="A165" s="690" t="s">
        <v>1780</v>
      </c>
      <c r="B165" s="678" t="s">
        <v>751</v>
      </c>
      <c r="C165" s="679"/>
      <c r="D165" s="679"/>
      <c r="E165" s="680"/>
      <c r="F165" s="681"/>
      <c r="G165" s="682" t="s">
        <v>816</v>
      </c>
      <c r="H165" s="33"/>
    </row>
    <row r="166" spans="1:11" ht="15" customHeight="1">
      <c r="A166" s="690" t="s">
        <v>1783</v>
      </c>
      <c r="B166" s="678" t="s">
        <v>752</v>
      </c>
      <c r="C166" s="679"/>
      <c r="D166" s="679"/>
      <c r="E166" s="680"/>
      <c r="F166" s="681"/>
      <c r="G166" s="682" t="e">
        <v>#N/A</v>
      </c>
      <c r="H166" s="33"/>
    </row>
    <row r="167" spans="1:11" ht="15" customHeight="1">
      <c r="A167" s="690" t="s">
        <v>1786</v>
      </c>
      <c r="B167" s="678" t="s">
        <v>753</v>
      </c>
      <c r="C167" s="679"/>
      <c r="D167" s="679"/>
      <c r="E167" s="680"/>
      <c r="F167" s="681"/>
      <c r="G167" s="682" t="s">
        <v>816</v>
      </c>
      <c r="H167" s="33"/>
    </row>
    <row r="168" spans="1:11" ht="15" customHeight="1">
      <c r="A168" s="690" t="s">
        <v>1789</v>
      </c>
      <c r="B168" s="678" t="s">
        <v>754</v>
      </c>
      <c r="C168" s="679"/>
      <c r="D168" s="679"/>
      <c r="E168" s="680"/>
      <c r="F168" s="681"/>
      <c r="G168" s="682" t="s">
        <v>7</v>
      </c>
      <c r="H168" s="3"/>
    </row>
    <row r="169" spans="1:11" ht="15" customHeight="1">
      <c r="A169" s="690" t="s">
        <v>1792</v>
      </c>
      <c r="B169" s="678" t="s">
        <v>755</v>
      </c>
      <c r="C169" s="679"/>
      <c r="D169" s="679"/>
      <c r="E169" s="680"/>
      <c r="F169" s="681"/>
      <c r="G169" s="682" t="s">
        <v>816</v>
      </c>
      <c r="H169" s="3"/>
    </row>
    <row r="170" spans="1:11" ht="15" customHeight="1">
      <c r="A170" s="690" t="s">
        <v>1795</v>
      </c>
      <c r="B170" s="678" t="s">
        <v>961</v>
      </c>
      <c r="C170" s="679" t="s">
        <v>1321</v>
      </c>
      <c r="D170" s="679" t="s">
        <v>86</v>
      </c>
      <c r="E170" s="680" t="s">
        <v>303</v>
      </c>
      <c r="F170" s="681"/>
      <c r="G170" s="682" t="e">
        <v>#N/A</v>
      </c>
      <c r="H170" s="3"/>
    </row>
    <row r="171" spans="1:11" ht="15" customHeight="1">
      <c r="A171" s="690" t="s">
        <v>1798</v>
      </c>
      <c r="B171" s="678" t="s">
        <v>756</v>
      </c>
      <c r="C171" s="679"/>
      <c r="D171" s="679"/>
      <c r="E171" s="680"/>
      <c r="F171" s="681"/>
      <c r="G171" s="682" t="s">
        <v>816</v>
      </c>
      <c r="H171" s="3"/>
    </row>
    <row r="172" spans="1:11" ht="15" customHeight="1">
      <c r="A172" s="678" t="s">
        <v>1801</v>
      </c>
      <c r="B172" s="678" t="s">
        <v>757</v>
      </c>
      <c r="C172" s="679"/>
      <c r="D172" s="679"/>
      <c r="E172" s="680"/>
      <c r="F172" s="681"/>
      <c r="G172" s="682" t="s">
        <v>816</v>
      </c>
      <c r="H172" s="3"/>
    </row>
    <row r="173" spans="1:11" ht="15" customHeight="1">
      <c r="A173" s="690" t="s">
        <v>1804</v>
      </c>
      <c r="B173" s="678" t="s">
        <v>758</v>
      </c>
      <c r="C173" s="679"/>
      <c r="D173" s="679"/>
      <c r="E173" s="680"/>
      <c r="F173" s="681"/>
      <c r="G173" s="682" t="s">
        <v>7</v>
      </c>
      <c r="H173" s="3"/>
    </row>
    <row r="174" spans="1:11" ht="15" customHeight="1">
      <c r="A174" s="690" t="s">
        <v>1807</v>
      </c>
      <c r="B174" s="678" t="s">
        <v>759</v>
      </c>
      <c r="C174" s="679"/>
      <c r="D174" s="679"/>
      <c r="E174" s="680"/>
      <c r="F174" s="681"/>
      <c r="G174" s="682" t="e">
        <v>#N/A</v>
      </c>
      <c r="H174" s="3"/>
    </row>
    <row r="175" spans="1:11" ht="15" customHeight="1">
      <c r="A175" s="690" t="s">
        <v>761</v>
      </c>
      <c r="B175" s="678" t="s">
        <v>723</v>
      </c>
      <c r="C175" s="679"/>
      <c r="D175" s="679"/>
      <c r="E175" s="680"/>
      <c r="F175" s="681"/>
      <c r="G175" s="682" t="s">
        <v>816</v>
      </c>
      <c r="H175" s="3"/>
    </row>
    <row r="176" spans="1:11" ht="15" customHeight="1">
      <c r="A176" s="690" t="s">
        <v>1812</v>
      </c>
      <c r="B176" s="678" t="s">
        <v>760</v>
      </c>
      <c r="C176" s="679"/>
      <c r="D176" s="679"/>
      <c r="E176" s="680"/>
      <c r="F176" s="681"/>
      <c r="G176" s="682" t="e">
        <v>#N/A</v>
      </c>
      <c r="H176" s="3"/>
    </row>
    <row r="177" spans="1:11" ht="15" customHeight="1">
      <c r="A177" s="690" t="s">
        <v>1815</v>
      </c>
      <c r="B177" s="678" t="s">
        <v>762</v>
      </c>
      <c r="C177" s="679"/>
      <c r="D177" s="679"/>
      <c r="E177" s="680"/>
      <c r="F177" s="681"/>
      <c r="G177" s="682" t="s">
        <v>816</v>
      </c>
      <c r="H177" s="3"/>
    </row>
    <row r="178" spans="1:11" ht="15" customHeight="1">
      <c r="A178" s="690" t="s">
        <v>1818</v>
      </c>
      <c r="B178" s="678" t="s">
        <v>763</v>
      </c>
      <c r="C178" s="679"/>
      <c r="D178" s="679"/>
      <c r="E178" s="680"/>
      <c r="F178" s="681"/>
      <c r="G178" s="682" t="s">
        <v>816</v>
      </c>
      <c r="H178" s="3"/>
    </row>
    <row r="179" spans="1:11" ht="15" customHeight="1">
      <c r="A179" s="690" t="s">
        <v>1821</v>
      </c>
      <c r="B179" s="678" t="s">
        <v>764</v>
      </c>
      <c r="C179" s="679"/>
      <c r="D179" s="679"/>
      <c r="E179" s="686"/>
      <c r="F179" s="686"/>
      <c r="G179" s="682" t="s">
        <v>816</v>
      </c>
      <c r="H179" s="3"/>
    </row>
    <row r="180" spans="1:11" ht="15" customHeight="1">
      <c r="A180" s="690" t="s">
        <v>1824</v>
      </c>
      <c r="B180" s="678" t="s">
        <v>765</v>
      </c>
      <c r="C180" s="679"/>
      <c r="D180" s="679"/>
      <c r="E180" s="680"/>
      <c r="F180" s="681"/>
      <c r="G180" s="682" t="s">
        <v>816</v>
      </c>
      <c r="H180" s="3"/>
    </row>
    <row r="181" spans="1:11" ht="15" customHeight="1">
      <c r="A181" s="690" t="s">
        <v>1827</v>
      </c>
      <c r="B181" s="678" t="s">
        <v>766</v>
      </c>
      <c r="C181" s="679"/>
      <c r="D181" s="679"/>
      <c r="E181" s="680"/>
      <c r="F181" s="681"/>
      <c r="G181" s="682" t="s">
        <v>816</v>
      </c>
      <c r="H181" s="3"/>
    </row>
    <row r="182" spans="1:11" ht="15" customHeight="1">
      <c r="A182" s="690" t="s">
        <v>1830</v>
      </c>
      <c r="B182" s="678" t="s">
        <v>767</v>
      </c>
      <c r="C182" s="679"/>
      <c r="D182" s="679"/>
      <c r="E182" s="680"/>
      <c r="F182" s="681"/>
      <c r="G182" s="682" t="s">
        <v>816</v>
      </c>
      <c r="H182" s="3"/>
      <c r="K182" s="3"/>
    </row>
    <row r="183" spans="1:11" ht="15" customHeight="1">
      <c r="A183" s="690" t="s">
        <v>1833</v>
      </c>
      <c r="B183" s="678" t="s">
        <v>768</v>
      </c>
      <c r="C183" s="679"/>
      <c r="D183" s="679"/>
      <c r="E183" s="686"/>
      <c r="F183" s="686"/>
      <c r="G183" s="682" t="s">
        <v>816</v>
      </c>
      <c r="H183" s="3"/>
    </row>
    <row r="184" spans="1:11" ht="15" customHeight="1">
      <c r="A184" s="690" t="s">
        <v>1836</v>
      </c>
      <c r="B184" s="678" t="s">
        <v>769</v>
      </c>
      <c r="C184" s="679"/>
      <c r="D184" s="679"/>
      <c r="E184" s="680"/>
      <c r="F184" s="681"/>
      <c r="G184" s="682" t="s">
        <v>816</v>
      </c>
      <c r="H184" s="3"/>
    </row>
    <row r="185" spans="1:11" ht="15" customHeight="1">
      <c r="A185" s="690" t="s">
        <v>1839</v>
      </c>
      <c r="B185" s="678" t="s">
        <v>770</v>
      </c>
      <c r="C185" s="679"/>
      <c r="D185" s="679"/>
      <c r="E185" s="686"/>
      <c r="F185" s="686"/>
      <c r="G185" s="682" t="s">
        <v>816</v>
      </c>
      <c r="H185" s="3"/>
    </row>
    <row r="186" spans="1:11" ht="15" customHeight="1">
      <c r="A186" s="690" t="s">
        <v>964</v>
      </c>
      <c r="B186" s="678" t="s">
        <v>962</v>
      </c>
      <c r="C186" s="679" t="s">
        <v>92</v>
      </c>
      <c r="D186" s="679" t="s">
        <v>104</v>
      </c>
      <c r="E186" s="680" t="s">
        <v>303</v>
      </c>
      <c r="F186" s="681" t="s">
        <v>1368</v>
      </c>
      <c r="G186" s="682" t="e">
        <v>#N/A</v>
      </c>
      <c r="H186" s="3"/>
    </row>
    <row r="187" spans="1:11" ht="15" customHeight="1">
      <c r="A187" s="690" t="s">
        <v>966</v>
      </c>
      <c r="B187" s="678" t="s">
        <v>965</v>
      </c>
      <c r="C187" s="679" t="s">
        <v>92</v>
      </c>
      <c r="D187" s="679" t="s">
        <v>104</v>
      </c>
      <c r="E187" s="686" t="s">
        <v>341</v>
      </c>
      <c r="F187" s="686"/>
      <c r="G187" s="682" t="s">
        <v>1154</v>
      </c>
      <c r="H187" s="3"/>
    </row>
    <row r="188" spans="1:11" ht="15" customHeight="1">
      <c r="A188" s="690" t="s">
        <v>1846</v>
      </c>
      <c r="B188" s="678" t="s">
        <v>1369</v>
      </c>
      <c r="C188" s="679" t="s">
        <v>92</v>
      </c>
      <c r="D188" s="679" t="s">
        <v>97</v>
      </c>
      <c r="E188" s="680" t="s">
        <v>303</v>
      </c>
      <c r="F188" s="681" t="s">
        <v>1368</v>
      </c>
      <c r="G188" s="680" t="e">
        <v>#N/A</v>
      </c>
      <c r="H188" s="3"/>
    </row>
    <row r="189" spans="1:11" ht="15" customHeight="1">
      <c r="A189" s="690" t="s">
        <v>1408</v>
      </c>
      <c r="B189" s="678" t="s">
        <v>1409</v>
      </c>
      <c r="C189" s="679" t="s">
        <v>92</v>
      </c>
      <c r="D189" s="679" t="s">
        <v>97</v>
      </c>
      <c r="E189" s="686" t="s">
        <v>341</v>
      </c>
      <c r="F189" s="686"/>
      <c r="G189" s="680" t="s">
        <v>1154</v>
      </c>
      <c r="H189" s="3"/>
    </row>
    <row r="190" spans="1:11" ht="15" customHeight="1">
      <c r="A190" s="690" t="s">
        <v>1431</v>
      </c>
      <c r="B190" s="678" t="s">
        <v>1370</v>
      </c>
      <c r="C190" s="679" t="s">
        <v>92</v>
      </c>
      <c r="D190" s="679" t="s">
        <v>97</v>
      </c>
      <c r="E190" s="680" t="s">
        <v>303</v>
      </c>
      <c r="F190" s="681" t="s">
        <v>1368</v>
      </c>
      <c r="G190" s="680" t="s">
        <v>963</v>
      </c>
      <c r="H190" s="3"/>
    </row>
    <row r="191" spans="1:11" ht="15" customHeight="1">
      <c r="A191" s="690" t="s">
        <v>1410</v>
      </c>
      <c r="B191" s="678" t="s">
        <v>1411</v>
      </c>
      <c r="C191" s="679" t="s">
        <v>92</v>
      </c>
      <c r="D191" s="679" t="s">
        <v>97</v>
      </c>
      <c r="E191" s="686" t="s">
        <v>341</v>
      </c>
      <c r="F191" s="686"/>
      <c r="G191" s="680" t="e">
        <v>#N/A</v>
      </c>
      <c r="H191" s="3"/>
    </row>
    <row r="192" spans="1:11" ht="15" customHeight="1">
      <c r="A192" s="690" t="s">
        <v>1432</v>
      </c>
      <c r="B192" s="678" t="s">
        <v>1371</v>
      </c>
      <c r="C192" s="679" t="s">
        <v>92</v>
      </c>
      <c r="D192" s="679" t="s">
        <v>97</v>
      </c>
      <c r="E192" s="680" t="s">
        <v>303</v>
      </c>
      <c r="F192" s="681" t="s">
        <v>1368</v>
      </c>
      <c r="G192" s="680" t="s">
        <v>7</v>
      </c>
      <c r="H192" s="3"/>
    </row>
    <row r="193" spans="1:8" ht="15" customHeight="1">
      <c r="A193" s="690" t="s">
        <v>1412</v>
      </c>
      <c r="B193" s="678" t="s">
        <v>1413</v>
      </c>
      <c r="C193" s="679" t="s">
        <v>92</v>
      </c>
      <c r="D193" s="679" t="s">
        <v>97</v>
      </c>
      <c r="E193" s="686" t="s">
        <v>341</v>
      </c>
      <c r="F193" s="686"/>
      <c r="G193" s="680" t="s">
        <v>1154</v>
      </c>
      <c r="H193" s="3"/>
    </row>
    <row r="194" spans="1:8" ht="15" customHeight="1">
      <c r="A194" s="690" t="s">
        <v>968</v>
      </c>
      <c r="B194" s="678" t="s">
        <v>967</v>
      </c>
      <c r="C194" s="679" t="s">
        <v>92</v>
      </c>
      <c r="D194" s="679" t="s">
        <v>97</v>
      </c>
      <c r="E194" s="680" t="s">
        <v>303</v>
      </c>
      <c r="F194" s="681" t="s">
        <v>1368</v>
      </c>
      <c r="G194" s="682" t="e">
        <v>#N/A</v>
      </c>
      <c r="H194" s="3"/>
    </row>
    <row r="195" spans="1:8" ht="15" customHeight="1">
      <c r="A195" s="690" t="s">
        <v>970</v>
      </c>
      <c r="B195" s="678" t="s">
        <v>969</v>
      </c>
      <c r="C195" s="679" t="s">
        <v>92</v>
      </c>
      <c r="D195" s="679" t="s">
        <v>97</v>
      </c>
      <c r="E195" s="686" t="s">
        <v>341</v>
      </c>
      <c r="F195" s="686"/>
      <c r="G195" s="682" t="s">
        <v>1154</v>
      </c>
      <c r="H195" s="3"/>
    </row>
    <row r="196" spans="1:8" ht="15" customHeight="1">
      <c r="A196" s="690" t="s">
        <v>978</v>
      </c>
      <c r="B196" s="678" t="s">
        <v>771</v>
      </c>
      <c r="C196" s="679"/>
      <c r="D196" s="679"/>
      <c r="E196" s="680"/>
      <c r="F196" s="681"/>
      <c r="G196" s="682" t="e">
        <v>#N/A</v>
      </c>
      <c r="H196" s="3"/>
    </row>
    <row r="197" spans="1:8" ht="15" customHeight="1">
      <c r="A197" s="690" t="s">
        <v>972</v>
      </c>
      <c r="B197" s="678" t="s">
        <v>1372</v>
      </c>
      <c r="C197" s="679" t="s">
        <v>92</v>
      </c>
      <c r="D197" s="679" t="s">
        <v>97</v>
      </c>
      <c r="E197" s="680" t="s">
        <v>303</v>
      </c>
      <c r="F197" s="681" t="s">
        <v>1368</v>
      </c>
      <c r="G197" s="682" t="s">
        <v>963</v>
      </c>
      <c r="H197" s="3"/>
    </row>
    <row r="198" spans="1:8" ht="15" customHeight="1">
      <c r="A198" s="690" t="s">
        <v>973</v>
      </c>
      <c r="B198" s="678" t="s">
        <v>1414</v>
      </c>
      <c r="C198" s="679" t="s">
        <v>92</v>
      </c>
      <c r="D198" s="679" t="s">
        <v>97</v>
      </c>
      <c r="E198" s="686" t="s">
        <v>341</v>
      </c>
      <c r="F198" s="686"/>
      <c r="G198" s="682" t="s">
        <v>1154</v>
      </c>
      <c r="H198" s="3"/>
    </row>
    <row r="199" spans="1:8" ht="15" customHeight="1">
      <c r="A199" s="690" t="s">
        <v>1869</v>
      </c>
      <c r="B199" s="678" t="s">
        <v>1373</v>
      </c>
      <c r="C199" s="679" t="s">
        <v>92</v>
      </c>
      <c r="D199" s="679" t="s">
        <v>97</v>
      </c>
      <c r="E199" s="680" t="s">
        <v>303</v>
      </c>
      <c r="F199" s="681" t="s">
        <v>1368</v>
      </c>
      <c r="G199" s="680" t="s">
        <v>7</v>
      </c>
      <c r="H199" s="3"/>
    </row>
    <row r="200" spans="1:8" ht="15" customHeight="1">
      <c r="A200" s="690" t="s">
        <v>1415</v>
      </c>
      <c r="B200" s="678" t="s">
        <v>1416</v>
      </c>
      <c r="C200" s="679" t="s">
        <v>92</v>
      </c>
      <c r="D200" s="679" t="s">
        <v>97</v>
      </c>
      <c r="E200" s="686" t="s">
        <v>341</v>
      </c>
      <c r="F200" s="686"/>
      <c r="G200" s="680" t="s">
        <v>1154</v>
      </c>
      <c r="H200" s="3"/>
    </row>
    <row r="201" spans="1:8" ht="15" customHeight="1">
      <c r="A201" s="690" t="s">
        <v>1435</v>
      </c>
      <c r="B201" s="678" t="s">
        <v>1374</v>
      </c>
      <c r="C201" s="679" t="s">
        <v>92</v>
      </c>
      <c r="D201" s="679" t="s">
        <v>97</v>
      </c>
      <c r="E201" s="680" t="s">
        <v>303</v>
      </c>
      <c r="F201" s="681" t="s">
        <v>1368</v>
      </c>
      <c r="G201" s="680" t="e">
        <v>#N/A</v>
      </c>
      <c r="H201" s="3"/>
    </row>
    <row r="202" spans="1:8" ht="15" customHeight="1">
      <c r="A202" s="690" t="s">
        <v>1417</v>
      </c>
      <c r="B202" s="678" t="s">
        <v>1418</v>
      </c>
      <c r="C202" s="679" t="s">
        <v>92</v>
      </c>
      <c r="D202" s="679" t="s">
        <v>97</v>
      </c>
      <c r="E202" s="686" t="s">
        <v>341</v>
      </c>
      <c r="F202" s="686"/>
      <c r="G202" s="680" t="s">
        <v>1154</v>
      </c>
      <c r="H202" s="3"/>
    </row>
    <row r="203" spans="1:8" ht="15" customHeight="1">
      <c r="A203" s="678" t="s">
        <v>3379</v>
      </c>
      <c r="B203" s="678" t="s">
        <v>1375</v>
      </c>
      <c r="C203" s="679" t="s">
        <v>92</v>
      </c>
      <c r="D203" s="679" t="s">
        <v>98</v>
      </c>
      <c r="E203" s="680" t="s">
        <v>303</v>
      </c>
      <c r="F203" s="681" t="s">
        <v>1368</v>
      </c>
      <c r="G203" s="682" t="e">
        <v>#N/A</v>
      </c>
      <c r="H203" s="3"/>
    </row>
    <row r="204" spans="1:8" ht="15" customHeight="1">
      <c r="A204" s="963" t="s">
        <v>977</v>
      </c>
      <c r="B204" s="678" t="s">
        <v>1419</v>
      </c>
      <c r="C204" s="679" t="s">
        <v>92</v>
      </c>
      <c r="D204" s="679" t="s">
        <v>98</v>
      </c>
      <c r="E204" s="686" t="s">
        <v>341</v>
      </c>
      <c r="F204" s="686"/>
      <c r="G204" s="682" t="s">
        <v>1154</v>
      </c>
      <c r="H204" s="3"/>
    </row>
    <row r="205" spans="1:8" ht="15" customHeight="1">
      <c r="A205" s="678" t="s">
        <v>980</v>
      </c>
      <c r="B205" s="678" t="s">
        <v>979</v>
      </c>
      <c r="C205" s="679" t="s">
        <v>92</v>
      </c>
      <c r="D205" s="679" t="s">
        <v>98</v>
      </c>
      <c r="E205" s="680" t="s">
        <v>303</v>
      </c>
      <c r="F205" s="681" t="s">
        <v>1368</v>
      </c>
      <c r="G205" s="682" t="e">
        <v>#N/A</v>
      </c>
      <c r="H205" s="3"/>
    </row>
    <row r="206" spans="1:8" ht="15" customHeight="1">
      <c r="A206" s="690" t="s">
        <v>982</v>
      </c>
      <c r="B206" s="678" t="s">
        <v>981</v>
      </c>
      <c r="C206" s="679" t="s">
        <v>92</v>
      </c>
      <c r="D206" s="679" t="s">
        <v>98</v>
      </c>
      <c r="E206" s="686" t="s">
        <v>341</v>
      </c>
      <c r="F206" s="686"/>
      <c r="G206" s="682" t="s">
        <v>1154</v>
      </c>
      <c r="H206" s="3"/>
    </row>
    <row r="207" spans="1:8" ht="15" customHeight="1">
      <c r="A207" s="690" t="s">
        <v>3352</v>
      </c>
      <c r="B207" s="678" t="s">
        <v>772</v>
      </c>
      <c r="C207" s="679"/>
      <c r="D207" s="679"/>
      <c r="E207" s="680"/>
      <c r="F207" s="681"/>
      <c r="G207" s="682" t="s">
        <v>816</v>
      </c>
      <c r="H207" s="3"/>
    </row>
    <row r="208" spans="1:8" ht="15" customHeight="1">
      <c r="A208" s="690" t="s">
        <v>3348</v>
      </c>
      <c r="B208" s="685" t="s">
        <v>983</v>
      </c>
      <c r="C208" s="679" t="s">
        <v>92</v>
      </c>
      <c r="D208" s="679" t="s">
        <v>98</v>
      </c>
      <c r="E208" s="680" t="s">
        <v>303</v>
      </c>
      <c r="F208" s="681" t="s">
        <v>249</v>
      </c>
      <c r="G208" s="682" t="s">
        <v>963</v>
      </c>
      <c r="H208" s="3"/>
    </row>
    <row r="209" spans="1:8" ht="15" customHeight="1">
      <c r="A209" s="963" t="s">
        <v>985</v>
      </c>
      <c r="B209" s="685" t="s">
        <v>984</v>
      </c>
      <c r="C209" s="679" t="s">
        <v>92</v>
      </c>
      <c r="D209" s="679" t="s">
        <v>98</v>
      </c>
      <c r="E209" s="686" t="s">
        <v>341</v>
      </c>
      <c r="F209" s="681"/>
      <c r="G209" s="682" t="s">
        <v>1154</v>
      </c>
      <c r="H209" s="3"/>
    </row>
    <row r="210" spans="1:8" ht="15" customHeight="1">
      <c r="A210" s="690" t="s">
        <v>987</v>
      </c>
      <c r="B210" s="678" t="s">
        <v>986</v>
      </c>
      <c r="C210" s="679" t="s">
        <v>92</v>
      </c>
      <c r="D210" s="679" t="s">
        <v>97</v>
      </c>
      <c r="E210" s="680" t="s">
        <v>303</v>
      </c>
      <c r="F210" s="681" t="s">
        <v>1368</v>
      </c>
      <c r="G210" s="682" t="s">
        <v>7</v>
      </c>
      <c r="H210" s="3"/>
    </row>
    <row r="211" spans="1:8" ht="15" customHeight="1">
      <c r="A211" s="690" t="s">
        <v>989</v>
      </c>
      <c r="B211" s="678" t="s">
        <v>988</v>
      </c>
      <c r="C211" s="679" t="s">
        <v>92</v>
      </c>
      <c r="D211" s="679" t="s">
        <v>97</v>
      </c>
      <c r="E211" s="686" t="s">
        <v>341</v>
      </c>
      <c r="F211" s="686"/>
      <c r="G211" s="682" t="s">
        <v>1154</v>
      </c>
      <c r="H211" s="3"/>
    </row>
    <row r="212" spans="1:8" ht="15" customHeight="1">
      <c r="A212" s="690" t="s">
        <v>991</v>
      </c>
      <c r="B212" s="678" t="s">
        <v>990</v>
      </c>
      <c r="C212" s="679" t="s">
        <v>92</v>
      </c>
      <c r="D212" s="679" t="s">
        <v>98</v>
      </c>
      <c r="E212" s="680" t="s">
        <v>303</v>
      </c>
      <c r="F212" s="681" t="s">
        <v>1368</v>
      </c>
      <c r="G212" s="682" t="s">
        <v>963</v>
      </c>
      <c r="H212" s="3"/>
    </row>
    <row r="213" spans="1:8" ht="15" customHeight="1">
      <c r="A213" s="678" t="s">
        <v>993</v>
      </c>
      <c r="B213" s="678" t="s">
        <v>992</v>
      </c>
      <c r="C213" s="679" t="s">
        <v>92</v>
      </c>
      <c r="D213" s="679" t="s">
        <v>98</v>
      </c>
      <c r="E213" s="686" t="s">
        <v>341</v>
      </c>
      <c r="F213" s="686"/>
      <c r="G213" s="682" t="s">
        <v>1154</v>
      </c>
      <c r="H213" s="3"/>
    </row>
    <row r="214" spans="1:8" ht="15" customHeight="1">
      <c r="A214" s="690" t="s">
        <v>1433</v>
      </c>
      <c r="B214" s="678" t="s">
        <v>1376</v>
      </c>
      <c r="C214" s="679" t="s">
        <v>92</v>
      </c>
      <c r="D214" s="679" t="s">
        <v>97</v>
      </c>
      <c r="E214" s="680" t="s">
        <v>303</v>
      </c>
      <c r="F214" s="681" t="s">
        <v>1368</v>
      </c>
      <c r="G214" s="680" t="e">
        <v>#N/A</v>
      </c>
      <c r="H214" s="3"/>
    </row>
    <row r="215" spans="1:8" ht="15" customHeight="1">
      <c r="A215" s="690" t="s">
        <v>1420</v>
      </c>
      <c r="B215" s="678" t="s">
        <v>1421</v>
      </c>
      <c r="C215" s="679" t="s">
        <v>92</v>
      </c>
      <c r="D215" s="679" t="s">
        <v>97</v>
      </c>
      <c r="E215" s="686" t="s">
        <v>341</v>
      </c>
      <c r="F215" s="686"/>
      <c r="G215" s="680" t="s">
        <v>1154</v>
      </c>
      <c r="H215" s="3"/>
    </row>
    <row r="216" spans="1:8" ht="15" customHeight="1">
      <c r="A216" s="690" t="s">
        <v>995</v>
      </c>
      <c r="B216" s="678" t="s">
        <v>994</v>
      </c>
      <c r="C216" s="679" t="s">
        <v>92</v>
      </c>
      <c r="D216" s="679" t="s">
        <v>103</v>
      </c>
      <c r="E216" s="680" t="s">
        <v>303</v>
      </c>
      <c r="F216" s="681" t="s">
        <v>1368</v>
      </c>
      <c r="G216" s="682" t="s">
        <v>963</v>
      </c>
      <c r="H216" s="3"/>
    </row>
    <row r="217" spans="1:8" ht="15" customHeight="1">
      <c r="A217" s="690" t="s">
        <v>997</v>
      </c>
      <c r="B217" s="678" t="s">
        <v>996</v>
      </c>
      <c r="C217" s="679" t="s">
        <v>92</v>
      </c>
      <c r="D217" s="679" t="s">
        <v>103</v>
      </c>
      <c r="E217" s="686" t="s">
        <v>341</v>
      </c>
      <c r="F217" s="686"/>
      <c r="G217" s="682" t="e">
        <v>#N/A</v>
      </c>
      <c r="H217" s="3"/>
    </row>
    <row r="218" spans="1:8" ht="15" customHeight="1">
      <c r="A218" s="690" t="s">
        <v>999</v>
      </c>
      <c r="B218" s="678" t="s">
        <v>998</v>
      </c>
      <c r="C218" s="679" t="s">
        <v>92</v>
      </c>
      <c r="D218" s="679" t="s">
        <v>102</v>
      </c>
      <c r="E218" s="680" t="s">
        <v>303</v>
      </c>
      <c r="F218" s="681" t="s">
        <v>1368</v>
      </c>
      <c r="G218" s="682" t="s">
        <v>7</v>
      </c>
      <c r="H218" s="3"/>
    </row>
    <row r="219" spans="1:8" ht="15" customHeight="1">
      <c r="A219" s="678" t="s">
        <v>1001</v>
      </c>
      <c r="B219" s="678" t="s">
        <v>1000</v>
      </c>
      <c r="C219" s="679" t="s">
        <v>92</v>
      </c>
      <c r="D219" s="679" t="s">
        <v>102</v>
      </c>
      <c r="E219" s="686" t="s">
        <v>341</v>
      </c>
      <c r="F219" s="686"/>
      <c r="G219" s="682" t="s">
        <v>2</v>
      </c>
      <c r="H219" s="3"/>
    </row>
    <row r="220" spans="1:8" ht="15" customHeight="1">
      <c r="A220" s="678" t="s">
        <v>3893</v>
      </c>
      <c r="B220" s="678" t="s">
        <v>3892</v>
      </c>
      <c r="C220" s="679" t="s">
        <v>92</v>
      </c>
      <c r="D220" s="679" t="s">
        <v>98</v>
      </c>
      <c r="E220" s="680" t="s">
        <v>303</v>
      </c>
      <c r="F220" s="681" t="s">
        <v>1368</v>
      </c>
      <c r="G220" s="682" t="e">
        <v>#N/A</v>
      </c>
      <c r="H220" s="3"/>
    </row>
    <row r="221" spans="1:8" ht="15" customHeight="1">
      <c r="A221" s="1098" t="s">
        <v>3897</v>
      </c>
      <c r="B221" s="678" t="s">
        <v>3896</v>
      </c>
      <c r="C221" s="679" t="s">
        <v>92</v>
      </c>
      <c r="D221" s="679" t="s">
        <v>98</v>
      </c>
      <c r="E221" s="686" t="s">
        <v>341</v>
      </c>
      <c r="F221" s="686"/>
      <c r="G221" s="682" t="s">
        <v>1154</v>
      </c>
      <c r="H221" s="3"/>
    </row>
    <row r="222" spans="1:8" ht="15" customHeight="1">
      <c r="A222" s="690" t="s">
        <v>3380</v>
      </c>
      <c r="B222" s="678" t="s">
        <v>1377</v>
      </c>
      <c r="C222" s="679" t="s">
        <v>92</v>
      </c>
      <c r="D222" s="679" t="s">
        <v>97</v>
      </c>
      <c r="E222" s="680" t="s">
        <v>303</v>
      </c>
      <c r="F222" s="681" t="s">
        <v>1368</v>
      </c>
      <c r="G222" s="682" t="s">
        <v>963</v>
      </c>
      <c r="H222" s="3"/>
    </row>
    <row r="223" spans="1:8" ht="15" customHeight="1">
      <c r="A223" s="690" t="s">
        <v>1005</v>
      </c>
      <c r="B223" s="678" t="s">
        <v>1422</v>
      </c>
      <c r="C223" s="679" t="s">
        <v>92</v>
      </c>
      <c r="D223" s="679" t="s">
        <v>97</v>
      </c>
      <c r="E223" s="686" t="s">
        <v>341</v>
      </c>
      <c r="F223" s="686"/>
      <c r="G223" s="682" t="s">
        <v>1154</v>
      </c>
      <c r="H223" s="3"/>
    </row>
    <row r="224" spans="1:8" ht="15" customHeight="1">
      <c r="A224" s="690" t="s">
        <v>3381</v>
      </c>
      <c r="B224" s="678" t="s">
        <v>1378</v>
      </c>
      <c r="C224" s="679" t="s">
        <v>92</v>
      </c>
      <c r="D224" s="679" t="s">
        <v>104</v>
      </c>
      <c r="E224" s="680" t="s">
        <v>303</v>
      </c>
      <c r="F224" s="681" t="s">
        <v>1368</v>
      </c>
      <c r="G224" s="680" t="s">
        <v>7</v>
      </c>
      <c r="H224" s="3"/>
    </row>
    <row r="225" spans="1:9" ht="15" customHeight="1">
      <c r="A225" s="690" t="s">
        <v>1007</v>
      </c>
      <c r="B225" s="678" t="s">
        <v>1006</v>
      </c>
      <c r="C225" s="679" t="s">
        <v>152</v>
      </c>
      <c r="D225" s="679" t="s">
        <v>153</v>
      </c>
      <c r="E225" s="680" t="s">
        <v>303</v>
      </c>
      <c r="F225" s="681" t="s">
        <v>1368</v>
      </c>
      <c r="G225" s="682" t="e">
        <v>#N/A</v>
      </c>
      <c r="H225" s="3"/>
    </row>
    <row r="226" spans="1:9" ht="15" customHeight="1">
      <c r="A226" s="690" t="s">
        <v>1009</v>
      </c>
      <c r="B226" s="678" t="s">
        <v>1008</v>
      </c>
      <c r="C226" s="679" t="s">
        <v>152</v>
      </c>
      <c r="D226" s="679" t="s">
        <v>153</v>
      </c>
      <c r="E226" s="686" t="s">
        <v>341</v>
      </c>
      <c r="F226" s="686"/>
      <c r="G226" s="682" t="s">
        <v>1154</v>
      </c>
      <c r="H226" s="3"/>
    </row>
    <row r="227" spans="1:9" ht="15" customHeight="1">
      <c r="A227" s="690" t="s">
        <v>1905</v>
      </c>
      <c r="B227" s="678" t="s">
        <v>773</v>
      </c>
      <c r="C227" s="679"/>
      <c r="D227" s="679"/>
      <c r="E227" s="680"/>
      <c r="F227" s="681"/>
      <c r="G227" s="682" t="s">
        <v>816</v>
      </c>
      <c r="H227" s="3"/>
    </row>
    <row r="228" spans="1:9" ht="15" customHeight="1">
      <c r="A228" s="690" t="s">
        <v>1011</v>
      </c>
      <c r="B228" s="678" t="s">
        <v>1010</v>
      </c>
      <c r="C228" s="679" t="s">
        <v>152</v>
      </c>
      <c r="D228" s="679" t="s">
        <v>154</v>
      </c>
      <c r="E228" s="680" t="s">
        <v>303</v>
      </c>
      <c r="F228" s="681" t="s">
        <v>1368</v>
      </c>
      <c r="G228" s="682" t="e">
        <v>#N/A</v>
      </c>
      <c r="H228" s="4"/>
    </row>
    <row r="229" spans="1:9" ht="15" customHeight="1">
      <c r="A229" s="690" t="s">
        <v>1013</v>
      </c>
      <c r="B229" s="678" t="s">
        <v>1012</v>
      </c>
      <c r="C229" s="679" t="s">
        <v>152</v>
      </c>
      <c r="D229" s="679" t="s">
        <v>154</v>
      </c>
      <c r="E229" s="686" t="s">
        <v>341</v>
      </c>
      <c r="F229" s="686"/>
      <c r="G229" s="682" t="s">
        <v>1154</v>
      </c>
      <c r="H229" s="3"/>
    </row>
    <row r="230" spans="1:9" ht="15" customHeight="1">
      <c r="A230" s="690" t="s">
        <v>1912</v>
      </c>
      <c r="B230" s="678" t="s">
        <v>774</v>
      </c>
      <c r="C230" s="679"/>
      <c r="D230" s="679"/>
      <c r="E230" s="680"/>
      <c r="F230" s="681"/>
      <c r="G230" s="682" t="e">
        <v>#N/A</v>
      </c>
      <c r="H230" s="3"/>
    </row>
    <row r="231" spans="1:9" ht="15" customHeight="1">
      <c r="A231" s="690" t="s">
        <v>1915</v>
      </c>
      <c r="B231" s="678" t="s">
        <v>775</v>
      </c>
      <c r="C231" s="679"/>
      <c r="D231" s="679"/>
      <c r="E231" s="680"/>
      <c r="F231" s="681"/>
      <c r="G231" s="682" t="s">
        <v>816</v>
      </c>
      <c r="H231" s="3"/>
    </row>
    <row r="232" spans="1:9" ht="15" customHeight="1">
      <c r="A232" s="690" t="s">
        <v>1918</v>
      </c>
      <c r="B232" s="678" t="s">
        <v>776</v>
      </c>
      <c r="C232" s="679"/>
      <c r="D232" s="679"/>
      <c r="E232" s="680"/>
      <c r="F232" s="681"/>
      <c r="G232" s="682" t="e">
        <v>#N/A</v>
      </c>
      <c r="H232" s="3"/>
    </row>
    <row r="233" spans="1:9" ht="15" customHeight="1">
      <c r="A233" s="690" t="s">
        <v>1921</v>
      </c>
      <c r="B233" s="678" t="s">
        <v>777</v>
      </c>
      <c r="C233" s="679"/>
      <c r="D233" s="679"/>
      <c r="E233" s="680"/>
      <c r="F233" s="681"/>
      <c r="G233" s="682" t="s">
        <v>816</v>
      </c>
      <c r="H233" s="3"/>
    </row>
    <row r="234" spans="1:9" ht="15" customHeight="1">
      <c r="A234" s="690" t="s">
        <v>1924</v>
      </c>
      <c r="B234" s="678" t="s">
        <v>778</v>
      </c>
      <c r="C234" s="679"/>
      <c r="D234" s="679"/>
      <c r="E234" s="680"/>
      <c r="F234" s="681"/>
      <c r="G234" s="682" t="s">
        <v>816</v>
      </c>
      <c r="H234" s="3"/>
    </row>
    <row r="235" spans="1:9" ht="15" customHeight="1">
      <c r="A235" s="690" t="s">
        <v>1927</v>
      </c>
      <c r="B235" s="678" t="s">
        <v>779</v>
      </c>
      <c r="C235" s="679"/>
      <c r="D235" s="679"/>
      <c r="E235" s="680"/>
      <c r="F235" s="681"/>
      <c r="G235" s="682" t="e">
        <v>#N/A</v>
      </c>
      <c r="H235" s="3"/>
    </row>
    <row r="236" spans="1:9" ht="15" customHeight="1">
      <c r="A236" s="690" t="s">
        <v>1930</v>
      </c>
      <c r="B236" s="678" t="s">
        <v>780</v>
      </c>
      <c r="C236" s="679"/>
      <c r="D236" s="679"/>
      <c r="E236" s="680"/>
      <c r="F236" s="681"/>
      <c r="G236" s="682" t="e">
        <v>#N/A</v>
      </c>
      <c r="H236" s="3"/>
    </row>
    <row r="237" spans="1:9" ht="15" customHeight="1">
      <c r="A237" s="690" t="s">
        <v>1933</v>
      </c>
      <c r="B237" s="678" t="s">
        <v>1014</v>
      </c>
      <c r="C237" s="679" t="s">
        <v>152</v>
      </c>
      <c r="D237" s="679" t="s">
        <v>3858</v>
      </c>
      <c r="E237" s="680" t="s">
        <v>303</v>
      </c>
      <c r="F237" s="681" t="s">
        <v>1368</v>
      </c>
      <c r="G237" s="682" t="s">
        <v>963</v>
      </c>
      <c r="H237" s="3"/>
      <c r="I237" s="1135" t="s">
        <v>3858</v>
      </c>
    </row>
    <row r="238" spans="1:9" ht="15" customHeight="1">
      <c r="A238" s="690" t="s">
        <v>1017</v>
      </c>
      <c r="B238" s="678" t="s">
        <v>1016</v>
      </c>
      <c r="C238" s="679" t="s">
        <v>152</v>
      </c>
      <c r="D238" s="679" t="s">
        <v>3858</v>
      </c>
      <c r="E238" s="686" t="s">
        <v>341</v>
      </c>
      <c r="F238" s="686"/>
      <c r="G238" s="682" t="s">
        <v>1154</v>
      </c>
      <c r="H238" s="3"/>
    </row>
    <row r="239" spans="1:9" ht="15" customHeight="1">
      <c r="A239" s="690" t="s">
        <v>1939</v>
      </c>
      <c r="B239" s="678" t="s">
        <v>781</v>
      </c>
      <c r="C239" s="679"/>
      <c r="D239" s="679"/>
      <c r="E239" s="680"/>
      <c r="F239" s="681"/>
      <c r="G239" s="682" t="e">
        <v>#N/A</v>
      </c>
      <c r="H239" s="3"/>
    </row>
    <row r="240" spans="1:9" ht="15" customHeight="1">
      <c r="A240" s="690" t="s">
        <v>1942</v>
      </c>
      <c r="B240" s="678" t="s">
        <v>1018</v>
      </c>
      <c r="C240" s="679" t="s">
        <v>152</v>
      </c>
      <c r="D240" s="679" t="s">
        <v>156</v>
      </c>
      <c r="E240" s="680" t="s">
        <v>303</v>
      </c>
      <c r="F240" s="681" t="s">
        <v>1368</v>
      </c>
      <c r="G240" s="682" t="s">
        <v>7</v>
      </c>
      <c r="H240" s="3"/>
    </row>
    <row r="241" spans="1:8" ht="15" customHeight="1">
      <c r="A241" s="690" t="s">
        <v>1021</v>
      </c>
      <c r="B241" s="678" t="s">
        <v>1020</v>
      </c>
      <c r="C241" s="679" t="s">
        <v>152</v>
      </c>
      <c r="D241" s="679" t="s">
        <v>156</v>
      </c>
      <c r="E241" s="686" t="s">
        <v>341</v>
      </c>
      <c r="F241" s="686"/>
      <c r="G241" s="682" t="s">
        <v>1154</v>
      </c>
      <c r="H241" s="3"/>
    </row>
    <row r="242" spans="1:8" ht="15" customHeight="1">
      <c r="A242" s="690" t="s">
        <v>1947</v>
      </c>
      <c r="B242" s="678" t="s">
        <v>782</v>
      </c>
      <c r="C242" s="679"/>
      <c r="D242" s="679"/>
      <c r="E242" s="680"/>
      <c r="F242" s="681"/>
      <c r="G242" s="682" t="e">
        <v>#N/A</v>
      </c>
      <c r="H242" s="3"/>
    </row>
    <row r="243" spans="1:8" ht="15" customHeight="1">
      <c r="A243" s="690" t="s">
        <v>1950</v>
      </c>
      <c r="B243" s="678" t="s">
        <v>783</v>
      </c>
      <c r="C243" s="679"/>
      <c r="D243" s="679"/>
      <c r="E243" s="680"/>
      <c r="F243" s="681"/>
      <c r="G243" s="682" t="s">
        <v>816</v>
      </c>
      <c r="H243" s="3"/>
    </row>
    <row r="244" spans="1:8" ht="15" customHeight="1">
      <c r="A244" s="690" t="s">
        <v>3353</v>
      </c>
      <c r="B244" s="678" t="s">
        <v>1333</v>
      </c>
      <c r="C244" s="679"/>
      <c r="D244" s="679"/>
      <c r="E244" s="680"/>
      <c r="F244" s="681"/>
      <c r="G244" s="682" t="e">
        <v>#N/A</v>
      </c>
      <c r="H244" s="3"/>
    </row>
    <row r="245" spans="1:8" ht="15" customHeight="1">
      <c r="A245" s="690" t="s">
        <v>1023</v>
      </c>
      <c r="B245" s="678" t="s">
        <v>1022</v>
      </c>
      <c r="C245" s="679" t="s">
        <v>161</v>
      </c>
      <c r="D245" s="679" t="s">
        <v>164</v>
      </c>
      <c r="E245" s="680" t="s">
        <v>303</v>
      </c>
      <c r="F245" s="681" t="s">
        <v>1368</v>
      </c>
      <c r="G245" s="682" t="s">
        <v>963</v>
      </c>
      <c r="H245" s="4"/>
    </row>
    <row r="246" spans="1:8" ht="15" customHeight="1">
      <c r="A246" s="690" t="s">
        <v>1024</v>
      </c>
      <c r="B246" s="678" t="s">
        <v>1022</v>
      </c>
      <c r="C246" s="679" t="s">
        <v>161</v>
      </c>
      <c r="D246" s="679" t="s">
        <v>164</v>
      </c>
      <c r="E246" s="686" t="s">
        <v>341</v>
      </c>
      <c r="F246" s="686"/>
      <c r="G246" s="682" t="s">
        <v>1154</v>
      </c>
      <c r="H246" s="3"/>
    </row>
    <row r="247" spans="1:8" ht="15" customHeight="1">
      <c r="A247" s="690" t="s">
        <v>1026</v>
      </c>
      <c r="B247" s="678" t="s">
        <v>1025</v>
      </c>
      <c r="C247" s="679" t="s">
        <v>161</v>
      </c>
      <c r="D247" s="679" t="s">
        <v>168</v>
      </c>
      <c r="E247" s="680" t="s">
        <v>303</v>
      </c>
      <c r="F247" s="681" t="s">
        <v>1368</v>
      </c>
      <c r="G247" s="682" t="s">
        <v>7</v>
      </c>
      <c r="H247" s="3"/>
    </row>
    <row r="248" spans="1:8" ht="15" customHeight="1">
      <c r="A248" s="690" t="s">
        <v>1423</v>
      </c>
      <c r="B248" s="678" t="s">
        <v>1424</v>
      </c>
      <c r="C248" s="679" t="s">
        <v>161</v>
      </c>
      <c r="D248" s="679" t="s">
        <v>168</v>
      </c>
      <c r="E248" s="686" t="s">
        <v>341</v>
      </c>
      <c r="F248" s="686"/>
      <c r="G248" s="680" t="e">
        <v>#N/A</v>
      </c>
      <c r="H248" s="3"/>
    </row>
    <row r="249" spans="1:8" ht="15" customHeight="1">
      <c r="A249" s="690" t="s">
        <v>1028</v>
      </c>
      <c r="B249" s="678" t="s">
        <v>1027</v>
      </c>
      <c r="C249" s="679" t="s">
        <v>161</v>
      </c>
      <c r="D249" s="679" t="s">
        <v>166</v>
      </c>
      <c r="E249" s="680" t="s">
        <v>303</v>
      </c>
      <c r="F249" s="681" t="s">
        <v>1368</v>
      </c>
      <c r="G249" s="682" t="s">
        <v>963</v>
      </c>
      <c r="H249" s="3"/>
    </row>
    <row r="250" spans="1:8" ht="15" customHeight="1">
      <c r="A250" s="690" t="s">
        <v>1029</v>
      </c>
      <c r="B250" s="678" t="s">
        <v>1027</v>
      </c>
      <c r="C250" s="679" t="s">
        <v>161</v>
      </c>
      <c r="D250" s="679" t="s">
        <v>166</v>
      </c>
      <c r="E250" s="686" t="s">
        <v>341</v>
      </c>
      <c r="F250" s="686"/>
      <c r="G250" s="682" t="e">
        <v>#N/A</v>
      </c>
      <c r="H250" s="3"/>
    </row>
    <row r="251" spans="1:8" ht="15" customHeight="1">
      <c r="A251" s="678" t="s">
        <v>1031</v>
      </c>
      <c r="B251" s="678" t="s">
        <v>1030</v>
      </c>
      <c r="C251" s="679" t="s">
        <v>161</v>
      </c>
      <c r="D251" s="679" t="s">
        <v>167</v>
      </c>
      <c r="E251" s="680" t="s">
        <v>303</v>
      </c>
      <c r="F251" s="681" t="s">
        <v>1368</v>
      </c>
      <c r="G251" s="682" t="s">
        <v>7</v>
      </c>
      <c r="H251" s="3"/>
    </row>
    <row r="252" spans="1:8" ht="15" customHeight="1">
      <c r="A252" s="690" t="s">
        <v>1032</v>
      </c>
      <c r="B252" s="678" t="s">
        <v>1030</v>
      </c>
      <c r="C252" s="679" t="s">
        <v>161</v>
      </c>
      <c r="D252" s="679" t="s">
        <v>167</v>
      </c>
      <c r="E252" s="686" t="s">
        <v>341</v>
      </c>
      <c r="F252" s="686"/>
      <c r="G252" s="682" t="e">
        <v>#N/A</v>
      </c>
      <c r="H252" s="3"/>
    </row>
    <row r="253" spans="1:8" ht="15" customHeight="1">
      <c r="A253" s="678" t="s">
        <v>1969</v>
      </c>
      <c r="B253" s="688" t="s">
        <v>1379</v>
      </c>
      <c r="C253" s="679" t="s">
        <v>161</v>
      </c>
      <c r="D253" s="679" t="s">
        <v>164</v>
      </c>
      <c r="E253" s="680" t="s">
        <v>303</v>
      </c>
      <c r="F253" s="681" t="s">
        <v>1368</v>
      </c>
      <c r="G253" s="680" t="s">
        <v>963</v>
      </c>
      <c r="H253" s="3"/>
    </row>
    <row r="254" spans="1:8" ht="15" customHeight="1">
      <c r="A254" s="690" t="s">
        <v>1425</v>
      </c>
      <c r="B254" s="678" t="s">
        <v>1426</v>
      </c>
      <c r="C254" s="679" t="s">
        <v>161</v>
      </c>
      <c r="D254" s="679" t="s">
        <v>164</v>
      </c>
      <c r="E254" s="686" t="s">
        <v>341</v>
      </c>
      <c r="F254" s="686"/>
      <c r="G254" s="680" t="e">
        <v>#N/A</v>
      </c>
      <c r="H254" s="3"/>
    </row>
    <row r="255" spans="1:8" ht="15" customHeight="1">
      <c r="A255" s="690" t="s">
        <v>3424</v>
      </c>
      <c r="B255" s="678" t="s">
        <v>3423</v>
      </c>
      <c r="C255" s="679" t="s">
        <v>161</v>
      </c>
      <c r="D255" s="679" t="s">
        <v>167</v>
      </c>
      <c r="E255" s="680" t="s">
        <v>303</v>
      </c>
      <c r="F255" s="681" t="s">
        <v>1368</v>
      </c>
      <c r="G255" s="680" t="e">
        <v>#N/A</v>
      </c>
      <c r="H255" s="3"/>
    </row>
    <row r="256" spans="1:8" ht="15" customHeight="1">
      <c r="A256" s="690" t="s">
        <v>1974</v>
      </c>
      <c r="B256" s="678" t="s">
        <v>1033</v>
      </c>
      <c r="C256" s="679" t="s">
        <v>180</v>
      </c>
      <c r="D256" s="679" t="s">
        <v>192</v>
      </c>
      <c r="E256" s="680" t="s">
        <v>303</v>
      </c>
      <c r="F256" s="681" t="s">
        <v>1368</v>
      </c>
      <c r="G256" s="682" t="s">
        <v>7</v>
      </c>
      <c r="H256" s="3"/>
    </row>
    <row r="257" spans="1:8" ht="15" customHeight="1">
      <c r="A257" s="690" t="s">
        <v>1035</v>
      </c>
      <c r="B257" s="678" t="s">
        <v>1033</v>
      </c>
      <c r="C257" s="679" t="s">
        <v>180</v>
      </c>
      <c r="D257" s="679" t="s">
        <v>192</v>
      </c>
      <c r="E257" s="686" t="s">
        <v>341</v>
      </c>
      <c r="F257" s="686"/>
      <c r="G257" s="682" t="e">
        <v>#N/A</v>
      </c>
      <c r="H257" s="3"/>
    </row>
    <row r="258" spans="1:8" ht="15" customHeight="1">
      <c r="A258" s="690" t="s">
        <v>3945</v>
      </c>
      <c r="B258" s="678" t="s">
        <v>3944</v>
      </c>
      <c r="C258" s="679" t="s">
        <v>92</v>
      </c>
      <c r="D258" s="679" t="s">
        <v>98</v>
      </c>
      <c r="E258" s="680" t="s">
        <v>303</v>
      </c>
      <c r="F258" s="681" t="s">
        <v>1368</v>
      </c>
      <c r="G258" s="682" t="e">
        <v>#N/A</v>
      </c>
      <c r="H258" s="3"/>
    </row>
    <row r="259" spans="1:8" ht="15" customHeight="1">
      <c r="A259" s="1098" t="s">
        <v>3947</v>
      </c>
      <c r="B259" s="678" t="s">
        <v>3944</v>
      </c>
      <c r="C259" s="679" t="s">
        <v>92</v>
      </c>
      <c r="D259" s="679" t="s">
        <v>98</v>
      </c>
      <c r="E259" s="686" t="s">
        <v>341</v>
      </c>
      <c r="F259" s="686"/>
      <c r="G259" s="682" t="s">
        <v>1154</v>
      </c>
      <c r="H259" s="3"/>
    </row>
    <row r="260" spans="1:8" ht="15" customHeight="1">
      <c r="A260" s="690" t="s">
        <v>3946</v>
      </c>
      <c r="B260" s="685" t="s">
        <v>3944</v>
      </c>
      <c r="C260" s="679" t="s">
        <v>92</v>
      </c>
      <c r="D260" s="679" t="s">
        <v>98</v>
      </c>
      <c r="E260" s="680" t="s">
        <v>303</v>
      </c>
      <c r="F260" s="680"/>
      <c r="G260" s="682" t="e">
        <v>#N/A</v>
      </c>
      <c r="H260" s="3"/>
    </row>
    <row r="261" spans="1:8" ht="15" customHeight="1">
      <c r="A261" s="690" t="s">
        <v>1037</v>
      </c>
      <c r="B261" s="678" t="s">
        <v>1036</v>
      </c>
      <c r="C261" s="679" t="s">
        <v>161</v>
      </c>
      <c r="D261" s="679" t="s">
        <v>172</v>
      </c>
      <c r="E261" s="680" t="s">
        <v>303</v>
      </c>
      <c r="F261" s="681" t="s">
        <v>1368</v>
      </c>
      <c r="G261" s="682" t="e">
        <v>#N/A</v>
      </c>
      <c r="H261" s="3"/>
    </row>
    <row r="262" spans="1:8" ht="15" customHeight="1">
      <c r="A262" s="690" t="s">
        <v>1038</v>
      </c>
      <c r="B262" s="678" t="s">
        <v>1036</v>
      </c>
      <c r="C262" s="679" t="s">
        <v>161</v>
      </c>
      <c r="D262" s="679" t="s">
        <v>172</v>
      </c>
      <c r="E262" s="686" t="s">
        <v>341</v>
      </c>
      <c r="F262" s="686"/>
      <c r="G262" s="682" t="s">
        <v>1285</v>
      </c>
      <c r="H262" s="3"/>
    </row>
    <row r="263" spans="1:8" ht="15" customHeight="1">
      <c r="A263" s="690" t="s">
        <v>1040</v>
      </c>
      <c r="B263" s="678" t="s">
        <v>1039</v>
      </c>
      <c r="C263" s="679" t="s">
        <v>161</v>
      </c>
      <c r="D263" s="679" t="s">
        <v>172</v>
      </c>
      <c r="E263" s="680" t="s">
        <v>303</v>
      </c>
      <c r="F263" s="681" t="s">
        <v>1368</v>
      </c>
      <c r="G263" s="682" t="s">
        <v>963</v>
      </c>
      <c r="H263" s="3"/>
    </row>
    <row r="264" spans="1:8" ht="15" customHeight="1">
      <c r="A264" s="690" t="s">
        <v>1042</v>
      </c>
      <c r="B264" s="678" t="s">
        <v>1041</v>
      </c>
      <c r="C264" s="679" t="s">
        <v>161</v>
      </c>
      <c r="D264" s="679" t="s">
        <v>172</v>
      </c>
      <c r="E264" s="686" t="s">
        <v>341</v>
      </c>
      <c r="F264" s="686"/>
      <c r="G264" s="682" t="s">
        <v>1285</v>
      </c>
      <c r="H264" s="3"/>
    </row>
    <row r="265" spans="1:8" ht="15" customHeight="1">
      <c r="A265" s="690" t="s">
        <v>1044</v>
      </c>
      <c r="B265" s="678" t="s">
        <v>1043</v>
      </c>
      <c r="C265" s="679" t="s">
        <v>161</v>
      </c>
      <c r="D265" s="679" t="s">
        <v>172</v>
      </c>
      <c r="E265" s="680" t="s">
        <v>303</v>
      </c>
      <c r="F265" s="681" t="s">
        <v>1368</v>
      </c>
      <c r="G265" s="682" t="s">
        <v>7</v>
      </c>
      <c r="H265" s="3"/>
    </row>
    <row r="266" spans="1:8" ht="15" customHeight="1">
      <c r="A266" s="690" t="s">
        <v>1046</v>
      </c>
      <c r="B266" s="678" t="s">
        <v>1045</v>
      </c>
      <c r="C266" s="679" t="s">
        <v>161</v>
      </c>
      <c r="D266" s="679" t="s">
        <v>172</v>
      </c>
      <c r="E266" s="686" t="s">
        <v>341</v>
      </c>
      <c r="F266" s="686"/>
      <c r="G266" s="682" t="e">
        <v>#N/A</v>
      </c>
      <c r="H266" s="3"/>
    </row>
    <row r="267" spans="1:8" ht="15" customHeight="1">
      <c r="A267" s="690" t="s">
        <v>3333</v>
      </c>
      <c r="B267" s="678" t="s">
        <v>1047</v>
      </c>
      <c r="C267" s="679" t="s">
        <v>176</v>
      </c>
      <c r="D267" s="679" t="s">
        <v>177</v>
      </c>
      <c r="E267" s="680" t="s">
        <v>303</v>
      </c>
      <c r="F267" s="681" t="s">
        <v>1368</v>
      </c>
      <c r="G267" s="682" t="s">
        <v>963</v>
      </c>
      <c r="H267" s="3"/>
    </row>
    <row r="268" spans="1:8" ht="15" customHeight="1">
      <c r="A268" s="963" t="s">
        <v>1049</v>
      </c>
      <c r="B268" s="678" t="s">
        <v>1048</v>
      </c>
      <c r="C268" s="679" t="s">
        <v>176</v>
      </c>
      <c r="D268" s="679" t="s">
        <v>177</v>
      </c>
      <c r="E268" s="686" t="s">
        <v>341</v>
      </c>
      <c r="F268" s="686"/>
      <c r="G268" s="682" t="e">
        <v>#N/A</v>
      </c>
      <c r="H268" s="3"/>
    </row>
    <row r="269" spans="1:8" ht="15" customHeight="1">
      <c r="A269" s="690" t="s">
        <v>3426</v>
      </c>
      <c r="B269" s="678" t="s">
        <v>3425</v>
      </c>
      <c r="C269" s="679" t="s">
        <v>161</v>
      </c>
      <c r="D269" s="679" t="s">
        <v>173</v>
      </c>
      <c r="E269" s="680" t="s">
        <v>303</v>
      </c>
      <c r="F269" s="681" t="s">
        <v>1368</v>
      </c>
      <c r="G269" s="682" t="s">
        <v>7</v>
      </c>
      <c r="H269" s="3"/>
    </row>
    <row r="270" spans="1:8" ht="15" customHeight="1">
      <c r="A270" s="963" t="s">
        <v>3430</v>
      </c>
      <c r="B270" s="678" t="s">
        <v>3429</v>
      </c>
      <c r="C270" s="679" t="s">
        <v>161</v>
      </c>
      <c r="D270" s="679" t="s">
        <v>173</v>
      </c>
      <c r="E270" s="686" t="s">
        <v>341</v>
      </c>
      <c r="F270" s="686"/>
      <c r="G270" s="682" t="s">
        <v>7</v>
      </c>
      <c r="H270" s="3"/>
    </row>
    <row r="271" spans="1:8" ht="15" customHeight="1">
      <c r="A271" s="690" t="s">
        <v>1051</v>
      </c>
      <c r="B271" s="678" t="s">
        <v>1050</v>
      </c>
      <c r="C271" s="679" t="s">
        <v>176</v>
      </c>
      <c r="D271" s="679" t="s">
        <v>177</v>
      </c>
      <c r="E271" s="680" t="s">
        <v>303</v>
      </c>
      <c r="F271" s="681" t="s">
        <v>1368</v>
      </c>
      <c r="G271" s="682" t="s">
        <v>1285</v>
      </c>
      <c r="H271" s="3"/>
    </row>
    <row r="272" spans="1:8" ht="15" customHeight="1">
      <c r="A272" s="690" t="s">
        <v>1053</v>
      </c>
      <c r="B272" s="678" t="s">
        <v>1052</v>
      </c>
      <c r="C272" s="679" t="s">
        <v>176</v>
      </c>
      <c r="D272" s="679" t="s">
        <v>177</v>
      </c>
      <c r="E272" s="686" t="s">
        <v>341</v>
      </c>
      <c r="F272" s="686"/>
      <c r="G272" s="682" t="s">
        <v>7</v>
      </c>
      <c r="H272" s="3"/>
    </row>
    <row r="273" spans="1:8" ht="15" customHeight="1">
      <c r="A273" s="690" t="s">
        <v>1055</v>
      </c>
      <c r="B273" s="678" t="s">
        <v>1054</v>
      </c>
      <c r="C273" s="679" t="s">
        <v>176</v>
      </c>
      <c r="D273" s="679" t="s">
        <v>177</v>
      </c>
      <c r="E273" s="680" t="s">
        <v>303</v>
      </c>
      <c r="F273" s="681" t="s">
        <v>1368</v>
      </c>
      <c r="G273" s="682" t="s">
        <v>1285</v>
      </c>
      <c r="H273" s="3"/>
    </row>
    <row r="274" spans="1:8" ht="15" customHeight="1">
      <c r="A274" s="690" t="s">
        <v>1057</v>
      </c>
      <c r="B274" s="678" t="s">
        <v>1056</v>
      </c>
      <c r="C274" s="679" t="s">
        <v>176</v>
      </c>
      <c r="D274" s="679" t="s">
        <v>177</v>
      </c>
      <c r="E274" s="686" t="s">
        <v>341</v>
      </c>
      <c r="F274" s="686"/>
      <c r="G274" s="682" t="s">
        <v>7</v>
      </c>
      <c r="H274" s="3"/>
    </row>
    <row r="275" spans="1:8" ht="15" customHeight="1">
      <c r="A275" s="690" t="s">
        <v>1059</v>
      </c>
      <c r="B275" s="678" t="s">
        <v>1058</v>
      </c>
      <c r="C275" s="679" t="s">
        <v>176</v>
      </c>
      <c r="D275" s="679" t="s">
        <v>177</v>
      </c>
      <c r="E275" s="680" t="s">
        <v>303</v>
      </c>
      <c r="F275" s="681" t="s">
        <v>1368</v>
      </c>
      <c r="G275" s="682" t="s">
        <v>1285</v>
      </c>
      <c r="H275" s="3"/>
    </row>
    <row r="276" spans="1:8" ht="15" customHeight="1">
      <c r="A276" s="678" t="s">
        <v>1061</v>
      </c>
      <c r="B276" s="678" t="s">
        <v>1060</v>
      </c>
      <c r="C276" s="679" t="s">
        <v>176</v>
      </c>
      <c r="D276" s="679" t="s">
        <v>177</v>
      </c>
      <c r="E276" s="686" t="s">
        <v>341</v>
      </c>
      <c r="F276" s="686"/>
      <c r="G276" s="682" t="s">
        <v>7</v>
      </c>
      <c r="H276" s="3"/>
    </row>
    <row r="277" spans="1:8" ht="15" customHeight="1">
      <c r="A277" s="690" t="s">
        <v>1063</v>
      </c>
      <c r="B277" s="678" t="s">
        <v>1062</v>
      </c>
      <c r="C277" s="679" t="s">
        <v>180</v>
      </c>
      <c r="D277" s="679" t="s">
        <v>182</v>
      </c>
      <c r="E277" s="680" t="s">
        <v>303</v>
      </c>
      <c r="F277" s="681" t="s">
        <v>1368</v>
      </c>
      <c r="G277" s="682" t="s">
        <v>963</v>
      </c>
      <c r="H277" s="3"/>
    </row>
    <row r="278" spans="1:8" ht="15" customHeight="1">
      <c r="A278" s="690" t="s">
        <v>1065</v>
      </c>
      <c r="B278" s="678" t="s">
        <v>1064</v>
      </c>
      <c r="C278" s="679" t="s">
        <v>180</v>
      </c>
      <c r="D278" s="679" t="s">
        <v>182</v>
      </c>
      <c r="E278" s="686" t="s">
        <v>341</v>
      </c>
      <c r="F278" s="686"/>
      <c r="G278" s="682" t="e">
        <v>#N/A</v>
      </c>
      <c r="H278" s="3"/>
    </row>
    <row r="279" spans="1:8" ht="15" customHeight="1">
      <c r="A279" s="690" t="s">
        <v>1067</v>
      </c>
      <c r="B279" s="678" t="s">
        <v>1066</v>
      </c>
      <c r="C279" s="679" t="s">
        <v>161</v>
      </c>
      <c r="D279" s="679" t="s">
        <v>164</v>
      </c>
      <c r="E279" s="680" t="s">
        <v>303</v>
      </c>
      <c r="F279" s="681" t="s">
        <v>1368</v>
      </c>
      <c r="G279" s="682" t="s">
        <v>7</v>
      </c>
      <c r="H279" s="3"/>
    </row>
    <row r="280" spans="1:8" ht="15" customHeight="1">
      <c r="A280" s="690" t="s">
        <v>1069</v>
      </c>
      <c r="B280" s="678" t="s">
        <v>1068</v>
      </c>
      <c r="C280" s="679" t="s">
        <v>180</v>
      </c>
      <c r="D280" s="679" t="s">
        <v>184</v>
      </c>
      <c r="E280" s="680" t="s">
        <v>303</v>
      </c>
      <c r="F280" s="681" t="s">
        <v>1368</v>
      </c>
      <c r="G280" s="682" t="s">
        <v>963</v>
      </c>
      <c r="H280" s="3"/>
    </row>
    <row r="281" spans="1:8" ht="15" customHeight="1">
      <c r="A281" s="690" t="s">
        <v>1071</v>
      </c>
      <c r="B281" s="678" t="s">
        <v>1070</v>
      </c>
      <c r="C281" s="679" t="s">
        <v>180</v>
      </c>
      <c r="D281" s="679" t="s">
        <v>184</v>
      </c>
      <c r="E281" s="686" t="s">
        <v>341</v>
      </c>
      <c r="F281" s="681"/>
      <c r="G281" s="682" t="s">
        <v>1285</v>
      </c>
      <c r="H281" s="3"/>
    </row>
    <row r="282" spans="1:8" ht="15" customHeight="1">
      <c r="A282" s="690" t="s">
        <v>3416</v>
      </c>
      <c r="B282" s="678" t="s">
        <v>1066</v>
      </c>
      <c r="C282" s="679" t="s">
        <v>161</v>
      </c>
      <c r="D282" s="679" t="s">
        <v>167</v>
      </c>
      <c r="E282" s="680" t="s">
        <v>303</v>
      </c>
      <c r="F282" s="681" t="s">
        <v>1368</v>
      </c>
      <c r="G282" s="682" t="s">
        <v>7</v>
      </c>
      <c r="H282" s="3"/>
    </row>
    <row r="283" spans="1:8" ht="15" customHeight="1">
      <c r="A283" s="690" t="s">
        <v>1073</v>
      </c>
      <c r="B283" s="678" t="s">
        <v>1072</v>
      </c>
      <c r="C283" s="679" t="s">
        <v>180</v>
      </c>
      <c r="D283" s="679" t="s">
        <v>185</v>
      </c>
      <c r="E283" s="680" t="s">
        <v>303</v>
      </c>
      <c r="F283" s="681" t="s">
        <v>1368</v>
      </c>
      <c r="G283" s="682" t="s">
        <v>963</v>
      </c>
      <c r="H283" s="3"/>
    </row>
    <row r="284" spans="1:8" ht="15" customHeight="1">
      <c r="A284" s="690" t="s">
        <v>1075</v>
      </c>
      <c r="B284" s="678" t="s">
        <v>1074</v>
      </c>
      <c r="C284" s="679" t="s">
        <v>180</v>
      </c>
      <c r="D284" s="679" t="s">
        <v>185</v>
      </c>
      <c r="E284" s="686" t="s">
        <v>341</v>
      </c>
      <c r="F284" s="681"/>
      <c r="G284" s="682" t="s">
        <v>7</v>
      </c>
      <c r="H284" s="3"/>
    </row>
    <row r="285" spans="1:8" ht="15" customHeight="1">
      <c r="A285" s="690" t="s">
        <v>1076</v>
      </c>
      <c r="B285" s="678" t="s">
        <v>1066</v>
      </c>
      <c r="C285" s="679" t="s">
        <v>161</v>
      </c>
      <c r="D285" s="679" t="s">
        <v>167</v>
      </c>
      <c r="E285" s="680" t="s">
        <v>303</v>
      </c>
      <c r="F285" s="681" t="s">
        <v>1368</v>
      </c>
      <c r="G285" s="682" t="s">
        <v>7</v>
      </c>
      <c r="H285" s="3"/>
    </row>
    <row r="286" spans="1:8" ht="15" customHeight="1">
      <c r="A286" s="690" t="s">
        <v>1142</v>
      </c>
      <c r="B286" s="678" t="s">
        <v>1077</v>
      </c>
      <c r="C286" s="679" t="s">
        <v>180</v>
      </c>
      <c r="D286" s="679" t="s">
        <v>182</v>
      </c>
      <c r="E286" s="680" t="s">
        <v>303</v>
      </c>
      <c r="F286" s="681" t="s">
        <v>1368</v>
      </c>
      <c r="G286" s="682" t="s">
        <v>963</v>
      </c>
      <c r="H286" s="3"/>
    </row>
    <row r="287" spans="1:8" ht="15" customHeight="1">
      <c r="A287" s="678" t="s">
        <v>1080</v>
      </c>
      <c r="B287" s="678" t="s">
        <v>1079</v>
      </c>
      <c r="C287" s="679" t="s">
        <v>180</v>
      </c>
      <c r="D287" s="679" t="s">
        <v>182</v>
      </c>
      <c r="E287" s="686" t="s">
        <v>341</v>
      </c>
      <c r="F287" s="681"/>
      <c r="G287" s="682" t="s">
        <v>1285</v>
      </c>
      <c r="H287" s="3"/>
    </row>
    <row r="288" spans="1:8" ht="15" customHeight="1">
      <c r="A288" s="690" t="s">
        <v>3382</v>
      </c>
      <c r="B288" s="678" t="s">
        <v>1081</v>
      </c>
      <c r="C288" s="679" t="s">
        <v>180</v>
      </c>
      <c r="D288" s="679" t="s">
        <v>185</v>
      </c>
      <c r="E288" s="680" t="s">
        <v>303</v>
      </c>
      <c r="F288" s="681" t="s">
        <v>1368</v>
      </c>
      <c r="G288" s="682" t="s">
        <v>7</v>
      </c>
      <c r="H288" s="3"/>
    </row>
    <row r="289" spans="1:8" ht="15" customHeight="1">
      <c r="A289" s="978" t="s">
        <v>1083</v>
      </c>
      <c r="B289" s="678" t="s">
        <v>1082</v>
      </c>
      <c r="C289" s="679" t="s">
        <v>180</v>
      </c>
      <c r="D289" s="679" t="s">
        <v>185</v>
      </c>
      <c r="E289" s="686" t="s">
        <v>341</v>
      </c>
      <c r="F289" s="681"/>
      <c r="G289" s="682" t="s">
        <v>7</v>
      </c>
      <c r="H289" s="3"/>
    </row>
    <row r="290" spans="1:8" ht="15" customHeight="1">
      <c r="A290" s="678" t="s">
        <v>2022</v>
      </c>
      <c r="B290" s="678" t="s">
        <v>1077</v>
      </c>
      <c r="C290" s="679" t="s">
        <v>180</v>
      </c>
      <c r="D290" s="679" t="s">
        <v>182</v>
      </c>
      <c r="E290" s="680" t="s">
        <v>303</v>
      </c>
      <c r="F290" s="681" t="s">
        <v>1368</v>
      </c>
      <c r="G290" s="680" t="s">
        <v>963</v>
      </c>
      <c r="H290" s="3"/>
    </row>
    <row r="291" spans="1:8" ht="15" customHeight="1">
      <c r="A291" s="690" t="s">
        <v>1427</v>
      </c>
      <c r="B291" s="678" t="s">
        <v>1428</v>
      </c>
      <c r="C291" s="679" t="s">
        <v>180</v>
      </c>
      <c r="D291" s="679" t="s">
        <v>182</v>
      </c>
      <c r="E291" s="686" t="s">
        <v>341</v>
      </c>
      <c r="F291" s="681"/>
      <c r="G291" s="680" t="s">
        <v>1285</v>
      </c>
      <c r="H291" s="3"/>
    </row>
    <row r="292" spans="1:8" ht="15" customHeight="1">
      <c r="A292" s="690" t="s">
        <v>1086</v>
      </c>
      <c r="B292" s="678" t="s">
        <v>1085</v>
      </c>
      <c r="C292" s="679" t="s">
        <v>180</v>
      </c>
      <c r="D292" s="679" t="s">
        <v>183</v>
      </c>
      <c r="E292" s="680" t="s">
        <v>303</v>
      </c>
      <c r="F292" s="681" t="s">
        <v>1368</v>
      </c>
      <c r="G292" s="682" t="s">
        <v>963</v>
      </c>
      <c r="H292" s="3"/>
    </row>
    <row r="293" spans="1:8" ht="15" customHeight="1">
      <c r="A293" s="690" t="s">
        <v>1088</v>
      </c>
      <c r="B293" s="678" t="s">
        <v>1087</v>
      </c>
      <c r="C293" s="679" t="s">
        <v>180</v>
      </c>
      <c r="D293" s="679" t="s">
        <v>183</v>
      </c>
      <c r="E293" s="686" t="s">
        <v>341</v>
      </c>
      <c r="F293" s="681"/>
      <c r="G293" s="682" t="s">
        <v>7</v>
      </c>
      <c r="H293" s="3"/>
    </row>
    <row r="294" spans="1:8" ht="15" customHeight="1">
      <c r="A294" s="690" t="s">
        <v>1090</v>
      </c>
      <c r="B294" s="685" t="s">
        <v>1089</v>
      </c>
      <c r="C294" s="679" t="s">
        <v>180</v>
      </c>
      <c r="D294" s="679" t="s">
        <v>183</v>
      </c>
      <c r="E294" s="680" t="s">
        <v>303</v>
      </c>
      <c r="F294" s="681" t="s">
        <v>1368</v>
      </c>
      <c r="G294" s="682" t="s">
        <v>7</v>
      </c>
      <c r="H294" s="3"/>
    </row>
    <row r="295" spans="1:8" ht="15" customHeight="1">
      <c r="A295" s="690" t="s">
        <v>1092</v>
      </c>
      <c r="B295" s="685" t="s">
        <v>1091</v>
      </c>
      <c r="C295" s="679" t="s">
        <v>180</v>
      </c>
      <c r="D295" s="679" t="s">
        <v>183</v>
      </c>
      <c r="E295" s="686" t="s">
        <v>341</v>
      </c>
      <c r="F295" s="681"/>
      <c r="G295" s="682" t="s">
        <v>1285</v>
      </c>
      <c r="H295" s="3"/>
    </row>
    <row r="296" spans="1:8" ht="15" customHeight="1">
      <c r="A296" s="678" t="s">
        <v>1094</v>
      </c>
      <c r="B296" s="685" t="s">
        <v>1093</v>
      </c>
      <c r="C296" s="679" t="s">
        <v>180</v>
      </c>
      <c r="D296" s="679" t="s">
        <v>183</v>
      </c>
      <c r="E296" s="680" t="s">
        <v>303</v>
      </c>
      <c r="F296" s="681" t="s">
        <v>1368</v>
      </c>
      <c r="G296" s="682" t="e">
        <v>#N/A</v>
      </c>
      <c r="H296" s="3"/>
    </row>
    <row r="297" spans="1:8" ht="15" customHeight="1">
      <c r="A297" s="690" t="s">
        <v>1096</v>
      </c>
      <c r="B297" s="685" t="s">
        <v>1095</v>
      </c>
      <c r="C297" s="679" t="s">
        <v>180</v>
      </c>
      <c r="D297" s="679" t="s">
        <v>183</v>
      </c>
      <c r="E297" s="686" t="s">
        <v>341</v>
      </c>
      <c r="F297" s="681"/>
      <c r="G297" s="682" t="s">
        <v>7</v>
      </c>
      <c r="H297" s="3"/>
    </row>
    <row r="298" spans="1:8" ht="15" customHeight="1">
      <c r="A298" s="690" t="s">
        <v>1098</v>
      </c>
      <c r="B298" s="685" t="s">
        <v>1097</v>
      </c>
      <c r="C298" s="679" t="s">
        <v>180</v>
      </c>
      <c r="D298" s="679" t="s">
        <v>186</v>
      </c>
      <c r="E298" s="680" t="s">
        <v>303</v>
      </c>
      <c r="F298" s="681" t="s">
        <v>1368</v>
      </c>
      <c r="G298" s="682" t="e">
        <v>#N/A</v>
      </c>
      <c r="H298" s="3"/>
    </row>
    <row r="299" spans="1:8" ht="15" customHeight="1">
      <c r="A299" s="690" t="s">
        <v>1100</v>
      </c>
      <c r="B299" s="685" t="s">
        <v>1099</v>
      </c>
      <c r="C299" s="679" t="s">
        <v>180</v>
      </c>
      <c r="D299" s="679" t="s">
        <v>186</v>
      </c>
      <c r="E299" s="686" t="s">
        <v>341</v>
      </c>
      <c r="F299" s="681"/>
      <c r="G299" s="682" t="s">
        <v>1285</v>
      </c>
      <c r="H299" s="3"/>
    </row>
    <row r="300" spans="1:8" ht="15" customHeight="1">
      <c r="A300" s="690" t="s">
        <v>1102</v>
      </c>
      <c r="B300" s="685" t="s">
        <v>1101</v>
      </c>
      <c r="C300" s="679" t="s">
        <v>180</v>
      </c>
      <c r="D300" s="679" t="s">
        <v>187</v>
      </c>
      <c r="E300" s="680" t="s">
        <v>303</v>
      </c>
      <c r="F300" s="681" t="s">
        <v>1368</v>
      </c>
      <c r="G300" s="682" t="e">
        <v>#N/A</v>
      </c>
      <c r="H300" s="3"/>
    </row>
    <row r="301" spans="1:8" ht="15" customHeight="1">
      <c r="A301" s="690" t="s">
        <v>1104</v>
      </c>
      <c r="B301" s="685" t="s">
        <v>1103</v>
      </c>
      <c r="C301" s="679" t="s">
        <v>180</v>
      </c>
      <c r="D301" s="679" t="s">
        <v>187</v>
      </c>
      <c r="E301" s="686" t="s">
        <v>341</v>
      </c>
      <c r="F301" s="681"/>
      <c r="G301" s="682" t="s">
        <v>7</v>
      </c>
      <c r="H301" s="3"/>
    </row>
    <row r="302" spans="1:8" ht="15" customHeight="1">
      <c r="A302" s="690" t="s">
        <v>1106</v>
      </c>
      <c r="B302" s="685" t="s">
        <v>1105</v>
      </c>
      <c r="C302" s="679" t="s">
        <v>180</v>
      </c>
      <c r="D302" s="679" t="s">
        <v>191</v>
      </c>
      <c r="E302" s="680" t="s">
        <v>303</v>
      </c>
      <c r="F302" s="681" t="s">
        <v>1368</v>
      </c>
      <c r="G302" s="682" t="e">
        <v>#N/A</v>
      </c>
      <c r="H302" s="3"/>
    </row>
    <row r="303" spans="1:8" ht="15" customHeight="1">
      <c r="A303" s="690" t="s">
        <v>1107</v>
      </c>
      <c r="B303" s="685" t="s">
        <v>1105</v>
      </c>
      <c r="C303" s="679" t="s">
        <v>180</v>
      </c>
      <c r="D303" s="679" t="s">
        <v>191</v>
      </c>
      <c r="E303" s="686" t="s">
        <v>341</v>
      </c>
      <c r="F303" s="681"/>
      <c r="G303" s="682" t="s">
        <v>1285</v>
      </c>
      <c r="H303" s="3"/>
    </row>
    <row r="304" spans="1:8" ht="15" customHeight="1">
      <c r="A304" s="690" t="s">
        <v>2050</v>
      </c>
      <c r="B304" s="685" t="s">
        <v>1108</v>
      </c>
      <c r="C304" s="679" t="s">
        <v>180</v>
      </c>
      <c r="D304" s="679" t="s">
        <v>191</v>
      </c>
      <c r="E304" s="680" t="s">
        <v>303</v>
      </c>
      <c r="F304" s="681" t="s">
        <v>1368</v>
      </c>
      <c r="G304" s="682" t="s">
        <v>963</v>
      </c>
      <c r="H304" s="3"/>
    </row>
    <row r="305" spans="1:8" ht="15" customHeight="1">
      <c r="A305" s="962" t="s">
        <v>785</v>
      </c>
      <c r="B305" s="695" t="s">
        <v>724</v>
      </c>
      <c r="C305" s="693"/>
      <c r="D305" s="679"/>
      <c r="E305" s="686"/>
      <c r="F305" s="681"/>
      <c r="G305" s="682" t="s">
        <v>816</v>
      </c>
      <c r="H305" s="3"/>
    </row>
    <row r="306" spans="1:8" ht="15" customHeight="1">
      <c r="A306" s="962" t="s">
        <v>2055</v>
      </c>
      <c r="B306" s="694" t="s">
        <v>784</v>
      </c>
      <c r="C306" s="679"/>
      <c r="D306" s="679"/>
      <c r="E306" s="680" t="s">
        <v>303</v>
      </c>
      <c r="F306" s="680"/>
      <c r="G306" s="682" t="e">
        <v>#N/A</v>
      </c>
      <c r="H306" s="3"/>
    </row>
    <row r="307" spans="1:8" ht="15" customHeight="1">
      <c r="A307" s="692" t="s">
        <v>2058</v>
      </c>
      <c r="B307" s="694" t="s">
        <v>1109</v>
      </c>
      <c r="C307" s="679" t="s">
        <v>92</v>
      </c>
      <c r="D307" s="679" t="s">
        <v>104</v>
      </c>
      <c r="E307" s="680" t="s">
        <v>303</v>
      </c>
      <c r="F307" s="681"/>
      <c r="G307" s="682" t="s">
        <v>7</v>
      </c>
      <c r="H307" s="3"/>
    </row>
    <row r="308" spans="1:8" ht="15" customHeight="1">
      <c r="A308" s="962" t="s">
        <v>2061</v>
      </c>
      <c r="B308" s="685" t="s">
        <v>1380</v>
      </c>
      <c r="C308" s="679" t="s">
        <v>92</v>
      </c>
      <c r="D308" s="679" t="s">
        <v>97</v>
      </c>
      <c r="E308" s="680" t="s">
        <v>303</v>
      </c>
      <c r="F308" s="680"/>
      <c r="G308" s="680" t="s">
        <v>963</v>
      </c>
      <c r="H308" s="3"/>
    </row>
    <row r="309" spans="1:8" ht="15" customHeight="1">
      <c r="A309" s="962" t="s">
        <v>2064</v>
      </c>
      <c r="B309" s="983" t="s">
        <v>1381</v>
      </c>
      <c r="C309" s="679" t="s">
        <v>92</v>
      </c>
      <c r="D309" s="679" t="s">
        <v>97</v>
      </c>
      <c r="E309" s="680" t="s">
        <v>303</v>
      </c>
      <c r="F309" s="680"/>
      <c r="G309" s="680" t="s">
        <v>7</v>
      </c>
      <c r="H309" s="3"/>
    </row>
    <row r="310" spans="1:8" ht="15" customHeight="1">
      <c r="A310" s="962" t="s">
        <v>2067</v>
      </c>
      <c r="B310" s="695" t="s">
        <v>1382</v>
      </c>
      <c r="C310" s="693" t="s">
        <v>92</v>
      </c>
      <c r="D310" s="679" t="s">
        <v>97</v>
      </c>
      <c r="E310" s="680" t="s">
        <v>303</v>
      </c>
      <c r="F310" s="680"/>
      <c r="G310" s="680" t="s">
        <v>963</v>
      </c>
      <c r="H310" s="3"/>
    </row>
    <row r="311" spans="1:8" ht="15" customHeight="1">
      <c r="A311" s="690" t="s">
        <v>2070</v>
      </c>
      <c r="B311" s="678" t="s">
        <v>1111</v>
      </c>
      <c r="C311" s="679" t="s">
        <v>92</v>
      </c>
      <c r="D311" s="679" t="s">
        <v>97</v>
      </c>
      <c r="E311" s="680" t="s">
        <v>303</v>
      </c>
      <c r="F311" s="680"/>
      <c r="G311" s="682" t="s">
        <v>7</v>
      </c>
      <c r="H311" s="3"/>
    </row>
    <row r="312" spans="1:8" ht="15" customHeight="1">
      <c r="A312" s="690" t="s">
        <v>1113</v>
      </c>
      <c r="B312" s="685" t="s">
        <v>786</v>
      </c>
      <c r="C312" s="679"/>
      <c r="D312" s="679"/>
      <c r="E312" s="680" t="s">
        <v>303</v>
      </c>
      <c r="F312" s="680"/>
      <c r="G312" s="682" t="e">
        <v>#N/A</v>
      </c>
      <c r="H312" s="3"/>
    </row>
    <row r="313" spans="1:8" ht="15" customHeight="1">
      <c r="A313" s="690" t="s">
        <v>2075</v>
      </c>
      <c r="B313" s="678" t="s">
        <v>1383</v>
      </c>
      <c r="C313" s="679" t="s">
        <v>92</v>
      </c>
      <c r="D313" s="679" t="s">
        <v>97</v>
      </c>
      <c r="E313" s="680" t="s">
        <v>303</v>
      </c>
      <c r="F313" s="680"/>
      <c r="G313" s="682" t="s">
        <v>963</v>
      </c>
      <c r="H313" s="3"/>
    </row>
    <row r="314" spans="1:8" ht="15" customHeight="1">
      <c r="A314" s="690" t="s">
        <v>2078</v>
      </c>
      <c r="B314" s="685" t="s">
        <v>1384</v>
      </c>
      <c r="C314" s="679" t="s">
        <v>92</v>
      </c>
      <c r="D314" s="679" t="s">
        <v>97</v>
      </c>
      <c r="E314" s="680" t="s">
        <v>303</v>
      </c>
      <c r="F314" s="680"/>
      <c r="G314" s="680" t="s">
        <v>7</v>
      </c>
      <c r="H314" s="3"/>
    </row>
    <row r="315" spans="1:8" ht="15" customHeight="1">
      <c r="A315" s="690" t="s">
        <v>2081</v>
      </c>
      <c r="B315" s="678" t="s">
        <v>1385</v>
      </c>
      <c r="C315" s="679" t="s">
        <v>92</v>
      </c>
      <c r="D315" s="679" t="s">
        <v>97</v>
      </c>
      <c r="E315" s="680" t="s">
        <v>303</v>
      </c>
      <c r="F315" s="680"/>
      <c r="G315" s="680" t="s">
        <v>963</v>
      </c>
      <c r="H315" s="3"/>
    </row>
    <row r="316" spans="1:8" ht="15" customHeight="1">
      <c r="A316" s="690" t="s">
        <v>3383</v>
      </c>
      <c r="B316" s="685" t="s">
        <v>1112</v>
      </c>
      <c r="C316" s="679" t="s">
        <v>92</v>
      </c>
      <c r="D316" s="679" t="s">
        <v>98</v>
      </c>
      <c r="E316" s="680" t="s">
        <v>303</v>
      </c>
      <c r="F316" s="680"/>
      <c r="G316" s="682" t="s">
        <v>7</v>
      </c>
      <c r="H316" s="3"/>
    </row>
    <row r="317" spans="1:8" ht="15" customHeight="1">
      <c r="A317" s="690" t="s">
        <v>2084</v>
      </c>
      <c r="B317" s="685" t="s">
        <v>1114</v>
      </c>
      <c r="C317" s="679" t="s">
        <v>92</v>
      </c>
      <c r="D317" s="679" t="s">
        <v>98</v>
      </c>
      <c r="E317" s="680" t="s">
        <v>303</v>
      </c>
      <c r="F317" s="680"/>
      <c r="G317" s="682" t="s">
        <v>963</v>
      </c>
      <c r="H317" s="3"/>
    </row>
    <row r="318" spans="1:8" ht="15" customHeight="1">
      <c r="A318" s="690" t="s">
        <v>2087</v>
      </c>
      <c r="B318" s="678" t="s">
        <v>787</v>
      </c>
      <c r="C318" s="679"/>
      <c r="D318" s="679"/>
      <c r="E318" s="680" t="s">
        <v>303</v>
      </c>
      <c r="F318" s="680"/>
      <c r="G318" s="682" t="e">
        <v>#N/A</v>
      </c>
      <c r="H318" s="3"/>
    </row>
    <row r="319" spans="1:8" ht="15" customHeight="1">
      <c r="A319" s="690" t="s">
        <v>3384</v>
      </c>
      <c r="B319" s="685" t="s">
        <v>1115</v>
      </c>
      <c r="C319" s="679" t="s">
        <v>92</v>
      </c>
      <c r="D319" s="679" t="s">
        <v>98</v>
      </c>
      <c r="E319" s="680" t="s">
        <v>303</v>
      </c>
      <c r="F319" s="681"/>
      <c r="G319" s="682" t="s">
        <v>7</v>
      </c>
      <c r="H319" s="3"/>
    </row>
    <row r="320" spans="1:8" ht="15" customHeight="1">
      <c r="A320" s="690" t="s">
        <v>2090</v>
      </c>
      <c r="B320" s="678" t="s">
        <v>1116</v>
      </c>
      <c r="C320" s="679" t="s">
        <v>92</v>
      </c>
      <c r="D320" s="679" t="s">
        <v>97</v>
      </c>
      <c r="E320" s="680" t="s">
        <v>303</v>
      </c>
      <c r="F320" s="680"/>
      <c r="G320" s="682" t="s">
        <v>963</v>
      </c>
      <c r="H320" s="3"/>
    </row>
    <row r="321" spans="1:8" ht="15" customHeight="1">
      <c r="A321" s="690" t="s">
        <v>2093</v>
      </c>
      <c r="B321" s="678" t="s">
        <v>1117</v>
      </c>
      <c r="C321" s="679" t="s">
        <v>92</v>
      </c>
      <c r="D321" s="679" t="s">
        <v>98</v>
      </c>
      <c r="E321" s="680" t="s">
        <v>303</v>
      </c>
      <c r="F321" s="680"/>
      <c r="G321" s="682" t="e">
        <v>#N/A</v>
      </c>
      <c r="H321" s="3"/>
    </row>
    <row r="322" spans="1:8" ht="15" customHeight="1">
      <c r="A322" s="690" t="s">
        <v>2096</v>
      </c>
      <c r="B322" s="685" t="s">
        <v>1386</v>
      </c>
      <c r="C322" s="679" t="s">
        <v>92</v>
      </c>
      <c r="D322" s="679" t="s">
        <v>97</v>
      </c>
      <c r="E322" s="680" t="s">
        <v>303</v>
      </c>
      <c r="F322" s="680"/>
      <c r="G322" s="680" t="s">
        <v>2</v>
      </c>
      <c r="H322" s="3"/>
    </row>
    <row r="323" spans="1:8" ht="15" customHeight="1">
      <c r="A323" s="690" t="s">
        <v>2099</v>
      </c>
      <c r="B323" s="678" t="s">
        <v>1118</v>
      </c>
      <c r="C323" s="679" t="s">
        <v>92</v>
      </c>
      <c r="D323" s="679" t="s">
        <v>103</v>
      </c>
      <c r="E323" s="680" t="s">
        <v>303</v>
      </c>
      <c r="F323" s="680"/>
      <c r="G323" s="682" t="s">
        <v>1110</v>
      </c>
      <c r="H323" s="3"/>
    </row>
    <row r="324" spans="1:8" ht="15" customHeight="1">
      <c r="A324" s="690" t="s">
        <v>2102</v>
      </c>
      <c r="B324" s="685" t="s">
        <v>1118</v>
      </c>
      <c r="C324" s="679" t="s">
        <v>92</v>
      </c>
      <c r="D324" s="679" t="s">
        <v>102</v>
      </c>
      <c r="E324" s="680" t="s">
        <v>303</v>
      </c>
      <c r="F324" s="680"/>
      <c r="G324" s="682" t="e">
        <v>#N/A</v>
      </c>
      <c r="H324" s="3"/>
    </row>
    <row r="325" spans="1:8" ht="15" customHeight="1">
      <c r="A325" s="690" t="s">
        <v>3895</v>
      </c>
      <c r="B325" s="685" t="s">
        <v>3894</v>
      </c>
      <c r="C325" s="679" t="s">
        <v>92</v>
      </c>
      <c r="D325" s="679" t="s">
        <v>98</v>
      </c>
      <c r="E325" s="680" t="s">
        <v>303</v>
      </c>
      <c r="F325" s="680"/>
      <c r="G325" s="682" t="e">
        <v>#N/A</v>
      </c>
      <c r="H325" s="3"/>
    </row>
    <row r="326" spans="1:8" ht="15" customHeight="1">
      <c r="A326" s="690" t="s">
        <v>1120</v>
      </c>
      <c r="B326" s="678" t="s">
        <v>788</v>
      </c>
      <c r="C326" s="679"/>
      <c r="D326" s="679"/>
      <c r="E326" s="680" t="s">
        <v>303</v>
      </c>
      <c r="F326" s="680"/>
      <c r="G326" s="682" t="e">
        <v>#N/A</v>
      </c>
      <c r="H326" s="3"/>
    </row>
    <row r="327" spans="1:8" ht="15" customHeight="1">
      <c r="A327" s="690" t="s">
        <v>3385</v>
      </c>
      <c r="B327" s="678" t="s">
        <v>1119</v>
      </c>
      <c r="C327" s="679" t="s">
        <v>92</v>
      </c>
      <c r="D327" s="679" t="s">
        <v>97</v>
      </c>
      <c r="E327" s="680" t="s">
        <v>303</v>
      </c>
      <c r="F327" s="680"/>
      <c r="G327" s="682" t="e">
        <v>#N/A</v>
      </c>
      <c r="H327" s="3"/>
    </row>
    <row r="328" spans="1:8" ht="15" customHeight="1">
      <c r="A328" s="690" t="s">
        <v>2107</v>
      </c>
      <c r="B328" s="685" t="s">
        <v>1335</v>
      </c>
      <c r="C328" s="679"/>
      <c r="D328" s="679"/>
      <c r="E328" s="680" t="s">
        <v>303</v>
      </c>
      <c r="F328" s="680"/>
      <c r="G328" s="680" t="s">
        <v>816</v>
      </c>
      <c r="H328" s="3"/>
    </row>
    <row r="329" spans="1:8" ht="15" customHeight="1">
      <c r="A329" s="690" t="s">
        <v>2110</v>
      </c>
      <c r="B329" s="678" t="s">
        <v>789</v>
      </c>
      <c r="C329" s="679"/>
      <c r="D329" s="679"/>
      <c r="E329" s="680" t="s">
        <v>303</v>
      </c>
      <c r="F329" s="680"/>
      <c r="G329" s="682" t="e">
        <v>#N/A</v>
      </c>
      <c r="H329" s="3"/>
    </row>
    <row r="330" spans="1:8" ht="15" customHeight="1">
      <c r="A330" s="690" t="s">
        <v>2113</v>
      </c>
      <c r="B330" s="685" t="s">
        <v>1121</v>
      </c>
      <c r="C330" s="679" t="s">
        <v>152</v>
      </c>
      <c r="D330" s="679" t="s">
        <v>153</v>
      </c>
      <c r="E330" s="680" t="s">
        <v>303</v>
      </c>
      <c r="F330" s="680"/>
      <c r="G330" s="682" t="e">
        <v>#N/A</v>
      </c>
      <c r="H330" s="3"/>
    </row>
    <row r="331" spans="1:8" ht="15" customHeight="1">
      <c r="A331" s="690" t="s">
        <v>2116</v>
      </c>
      <c r="B331" s="678" t="s">
        <v>1122</v>
      </c>
      <c r="C331" s="679" t="s">
        <v>152</v>
      </c>
      <c r="D331" s="679" t="s">
        <v>153</v>
      </c>
      <c r="E331" s="680" t="s">
        <v>303</v>
      </c>
      <c r="F331" s="680"/>
      <c r="G331" s="682" t="s">
        <v>1110</v>
      </c>
      <c r="H331" s="3"/>
    </row>
    <row r="332" spans="1:8" ht="15" customHeight="1">
      <c r="A332" s="690" t="s">
        <v>2119</v>
      </c>
      <c r="B332" s="685" t="s">
        <v>790</v>
      </c>
      <c r="C332" s="679"/>
      <c r="D332" s="679"/>
      <c r="E332" s="680" t="s">
        <v>303</v>
      </c>
      <c r="F332" s="680"/>
      <c r="G332" s="682" t="s">
        <v>816</v>
      </c>
      <c r="H332" s="3"/>
    </row>
    <row r="333" spans="1:8" ht="15" customHeight="1">
      <c r="A333" s="690" t="s">
        <v>2122</v>
      </c>
      <c r="B333" s="685" t="s">
        <v>1123</v>
      </c>
      <c r="C333" s="679" t="s">
        <v>152</v>
      </c>
      <c r="D333" s="679" t="s">
        <v>154</v>
      </c>
      <c r="E333" s="680" t="s">
        <v>303</v>
      </c>
      <c r="F333" s="680"/>
      <c r="G333" s="682" t="s">
        <v>2</v>
      </c>
      <c r="H333" s="3"/>
    </row>
    <row r="334" spans="1:8" ht="15" customHeight="1">
      <c r="A334" s="690" t="s">
        <v>2125</v>
      </c>
      <c r="B334" s="678" t="s">
        <v>1124</v>
      </c>
      <c r="C334" s="679" t="s">
        <v>152</v>
      </c>
      <c r="D334" s="679" t="s">
        <v>154</v>
      </c>
      <c r="E334" s="680" t="s">
        <v>303</v>
      </c>
      <c r="F334" s="680"/>
      <c r="G334" s="682" t="s">
        <v>1110</v>
      </c>
      <c r="H334" s="3"/>
    </row>
    <row r="335" spans="1:8" ht="15" customHeight="1">
      <c r="A335" s="690" t="s">
        <v>2128</v>
      </c>
      <c r="B335" s="685" t="s">
        <v>791</v>
      </c>
      <c r="C335" s="679"/>
      <c r="D335" s="679"/>
      <c r="E335" s="680" t="s">
        <v>303</v>
      </c>
      <c r="F335" s="680"/>
      <c r="G335" s="682" t="s">
        <v>816</v>
      </c>
      <c r="H335" s="3"/>
    </row>
    <row r="336" spans="1:8" ht="15" customHeight="1">
      <c r="A336" s="690" t="s">
        <v>2131</v>
      </c>
      <c r="B336" s="685" t="s">
        <v>792</v>
      </c>
      <c r="C336" s="679"/>
      <c r="D336" s="679"/>
      <c r="E336" s="680" t="s">
        <v>303</v>
      </c>
      <c r="F336" s="680"/>
      <c r="G336" s="682" t="e">
        <v>#N/A</v>
      </c>
      <c r="H336" s="3"/>
    </row>
    <row r="337" spans="1:8" ht="15" customHeight="1">
      <c r="A337" s="678" t="s">
        <v>2133</v>
      </c>
      <c r="B337" s="685" t="s">
        <v>793</v>
      </c>
      <c r="C337" s="679"/>
      <c r="D337" s="679"/>
      <c r="E337" s="680" t="s">
        <v>303</v>
      </c>
      <c r="F337" s="680"/>
      <c r="G337" s="682" t="s">
        <v>816</v>
      </c>
      <c r="H337" s="3"/>
    </row>
    <row r="338" spans="1:8" ht="15" customHeight="1">
      <c r="A338" s="690" t="s">
        <v>2136</v>
      </c>
      <c r="B338" s="678" t="s">
        <v>1014</v>
      </c>
      <c r="C338" s="679" t="s">
        <v>152</v>
      </c>
      <c r="D338" s="679" t="s">
        <v>3858</v>
      </c>
      <c r="E338" s="680" t="s">
        <v>303</v>
      </c>
      <c r="F338" s="680"/>
      <c r="G338" s="682" t="e">
        <v>#N/A</v>
      </c>
      <c r="H338" s="3"/>
    </row>
    <row r="339" spans="1:8" ht="15" customHeight="1">
      <c r="A339" s="678" t="s">
        <v>2139</v>
      </c>
      <c r="B339" s="685" t="s">
        <v>1125</v>
      </c>
      <c r="C339" s="679" t="s">
        <v>152</v>
      </c>
      <c r="D339" s="679" t="s">
        <v>154</v>
      </c>
      <c r="E339" s="680" t="s">
        <v>303</v>
      </c>
      <c r="F339" s="680"/>
      <c r="G339" s="682" t="e">
        <v>#N/A</v>
      </c>
      <c r="H339" s="3"/>
    </row>
    <row r="340" spans="1:8" ht="15" customHeight="1">
      <c r="A340" s="690" t="s">
        <v>2142</v>
      </c>
      <c r="B340" s="685" t="s">
        <v>1018</v>
      </c>
      <c r="C340" s="679" t="s">
        <v>152</v>
      </c>
      <c r="D340" s="679" t="s">
        <v>156</v>
      </c>
      <c r="E340" s="680" t="s">
        <v>303</v>
      </c>
      <c r="F340" s="680"/>
      <c r="G340" s="682" t="s">
        <v>1110</v>
      </c>
      <c r="H340" s="3"/>
    </row>
    <row r="341" spans="1:8" ht="15" customHeight="1">
      <c r="A341" s="690" t="s">
        <v>2145</v>
      </c>
      <c r="B341" s="678" t="s">
        <v>1126</v>
      </c>
      <c r="C341" s="679" t="s">
        <v>161</v>
      </c>
      <c r="D341" s="679" t="s">
        <v>164</v>
      </c>
      <c r="E341" s="680" t="s">
        <v>303</v>
      </c>
      <c r="F341" s="680"/>
      <c r="G341" s="682" t="s">
        <v>1110</v>
      </c>
      <c r="H341" s="3"/>
    </row>
    <row r="342" spans="1:8" ht="15" customHeight="1">
      <c r="A342" s="690" t="s">
        <v>2148</v>
      </c>
      <c r="B342" s="685" t="s">
        <v>1127</v>
      </c>
      <c r="C342" s="679" t="s">
        <v>161</v>
      </c>
      <c r="D342" s="679" t="s">
        <v>168</v>
      </c>
      <c r="E342" s="680" t="s">
        <v>303</v>
      </c>
      <c r="F342" s="680"/>
      <c r="G342" s="682" t="s">
        <v>2</v>
      </c>
      <c r="H342" s="3"/>
    </row>
    <row r="343" spans="1:8" ht="15" customHeight="1">
      <c r="A343" s="690" t="s">
        <v>2151</v>
      </c>
      <c r="B343" s="685" t="s">
        <v>1128</v>
      </c>
      <c r="C343" s="679" t="s">
        <v>161</v>
      </c>
      <c r="D343" s="679" t="s">
        <v>166</v>
      </c>
      <c r="E343" s="680" t="s">
        <v>303</v>
      </c>
      <c r="F343" s="680"/>
      <c r="G343" s="682" t="e">
        <v>#N/A</v>
      </c>
      <c r="H343" s="3"/>
    </row>
    <row r="344" spans="1:8" ht="15" customHeight="1">
      <c r="A344" s="690" t="s">
        <v>2154</v>
      </c>
      <c r="B344" s="685" t="s">
        <v>1129</v>
      </c>
      <c r="C344" s="679" t="s">
        <v>161</v>
      </c>
      <c r="D344" s="679" t="s">
        <v>167</v>
      </c>
      <c r="E344" s="680" t="s">
        <v>303</v>
      </c>
      <c r="F344" s="680"/>
      <c r="G344" s="682" t="s">
        <v>1110</v>
      </c>
      <c r="H344" s="3"/>
    </row>
    <row r="345" spans="1:8" ht="15" customHeight="1">
      <c r="A345" s="690" t="s">
        <v>2157</v>
      </c>
      <c r="B345" s="685" t="s">
        <v>794</v>
      </c>
      <c r="C345" s="679"/>
      <c r="D345" s="679"/>
      <c r="E345" s="680" t="s">
        <v>303</v>
      </c>
      <c r="F345" s="680"/>
      <c r="G345" s="682" t="e">
        <v>#N/A</v>
      </c>
      <c r="H345" s="3"/>
    </row>
    <row r="346" spans="1:8" ht="15" customHeight="1">
      <c r="A346" s="690" t="s">
        <v>2160</v>
      </c>
      <c r="B346" s="685" t="s">
        <v>1130</v>
      </c>
      <c r="C346" s="679" t="s">
        <v>161</v>
      </c>
      <c r="D346" s="679" t="s">
        <v>169</v>
      </c>
      <c r="E346" s="680" t="s">
        <v>303</v>
      </c>
      <c r="F346" s="680"/>
      <c r="G346" s="682" t="s">
        <v>1110</v>
      </c>
      <c r="H346" s="3"/>
    </row>
    <row r="347" spans="1:8" ht="15" customHeight="1">
      <c r="A347" s="690" t="s">
        <v>2163</v>
      </c>
      <c r="B347" s="678" t="s">
        <v>795</v>
      </c>
      <c r="C347" s="679"/>
      <c r="D347" s="679"/>
      <c r="E347" s="680" t="s">
        <v>303</v>
      </c>
      <c r="F347" s="680"/>
      <c r="G347" s="682" t="s">
        <v>816</v>
      </c>
      <c r="H347" s="3"/>
    </row>
    <row r="348" spans="1:8" ht="15" customHeight="1">
      <c r="A348" s="690" t="s">
        <v>2166</v>
      </c>
      <c r="B348" s="695" t="s">
        <v>1033</v>
      </c>
      <c r="C348" s="693" t="s">
        <v>180</v>
      </c>
      <c r="D348" s="679" t="s">
        <v>192</v>
      </c>
      <c r="E348" s="680" t="s">
        <v>303</v>
      </c>
      <c r="F348" s="680"/>
      <c r="G348" s="682" t="e">
        <v>#N/A</v>
      </c>
      <c r="H348" s="3"/>
    </row>
    <row r="349" spans="1:8" ht="15" customHeight="1">
      <c r="A349" s="690" t="s">
        <v>2169</v>
      </c>
      <c r="B349" s="695" t="s">
        <v>1036</v>
      </c>
      <c r="C349" s="693" t="s">
        <v>161</v>
      </c>
      <c r="D349" s="679" t="s">
        <v>172</v>
      </c>
      <c r="E349" s="680" t="s">
        <v>303</v>
      </c>
      <c r="F349" s="680"/>
      <c r="G349" s="682" t="s">
        <v>1110</v>
      </c>
      <c r="H349" s="3"/>
    </row>
    <row r="350" spans="1:8" ht="15" customHeight="1">
      <c r="A350" s="690" t="s">
        <v>2172</v>
      </c>
      <c r="B350" s="692" t="s">
        <v>1132</v>
      </c>
      <c r="C350" s="693" t="s">
        <v>161</v>
      </c>
      <c r="D350" s="679" t="s">
        <v>172</v>
      </c>
      <c r="E350" s="680" t="s">
        <v>303</v>
      </c>
      <c r="F350" s="686"/>
      <c r="G350" s="682" t="s">
        <v>1110</v>
      </c>
      <c r="H350" s="3"/>
    </row>
    <row r="351" spans="1:8" ht="15" customHeight="1">
      <c r="A351" s="690" t="s">
        <v>2175</v>
      </c>
      <c r="B351" s="695" t="s">
        <v>1133</v>
      </c>
      <c r="C351" s="693" t="s">
        <v>161</v>
      </c>
      <c r="D351" s="679" t="s">
        <v>172</v>
      </c>
      <c r="E351" s="680" t="s">
        <v>303</v>
      </c>
      <c r="F351" s="680"/>
      <c r="G351" s="682" t="s">
        <v>2</v>
      </c>
      <c r="H351" s="3"/>
    </row>
    <row r="352" spans="1:8" ht="15" customHeight="1">
      <c r="A352" s="690" t="s">
        <v>3551</v>
      </c>
      <c r="B352" s="692" t="s">
        <v>3550</v>
      </c>
      <c r="C352" s="679" t="s">
        <v>176</v>
      </c>
      <c r="D352" s="679" t="s">
        <v>177</v>
      </c>
      <c r="E352" s="680" t="s">
        <v>303</v>
      </c>
      <c r="F352" s="680"/>
      <c r="G352" s="682" t="e">
        <v>#N/A</v>
      </c>
      <c r="H352" s="3"/>
    </row>
    <row r="353" spans="1:8" ht="15" customHeight="1">
      <c r="A353" s="690" t="s">
        <v>3428</v>
      </c>
      <c r="B353" s="692" t="s">
        <v>3427</v>
      </c>
      <c r="C353" s="693" t="s">
        <v>161</v>
      </c>
      <c r="D353" s="679" t="s">
        <v>173</v>
      </c>
      <c r="E353" s="680" t="s">
        <v>303</v>
      </c>
      <c r="F353" s="686"/>
      <c r="G353" s="682" t="s">
        <v>1285</v>
      </c>
      <c r="H353" s="3"/>
    </row>
    <row r="354" spans="1:8" ht="15" customHeight="1">
      <c r="A354" s="690" t="s">
        <v>2178</v>
      </c>
      <c r="B354" s="685" t="s">
        <v>796</v>
      </c>
      <c r="C354" s="679"/>
      <c r="D354" s="679"/>
      <c r="E354" s="680" t="s">
        <v>303</v>
      </c>
      <c r="F354" s="680"/>
      <c r="G354" s="682" t="e">
        <v>#N/A</v>
      </c>
      <c r="H354" s="3"/>
    </row>
    <row r="355" spans="1:8" ht="15" customHeight="1">
      <c r="A355" s="690" t="s">
        <v>2181</v>
      </c>
      <c r="B355" s="678" t="s">
        <v>797</v>
      </c>
      <c r="C355" s="679"/>
      <c r="D355" s="679"/>
      <c r="E355" s="680" t="s">
        <v>303</v>
      </c>
      <c r="F355" s="680"/>
      <c r="G355" s="682" t="e">
        <v>#N/A</v>
      </c>
      <c r="H355" s="3"/>
    </row>
    <row r="356" spans="1:8" ht="15" customHeight="1">
      <c r="A356" s="690" t="s">
        <v>2184</v>
      </c>
      <c r="B356" s="685" t="s">
        <v>1134</v>
      </c>
      <c r="C356" s="679" t="s">
        <v>176</v>
      </c>
      <c r="D356" s="679" t="s">
        <v>177</v>
      </c>
      <c r="E356" s="680" t="s">
        <v>303</v>
      </c>
      <c r="F356" s="680"/>
      <c r="G356" s="682" t="s">
        <v>1110</v>
      </c>
      <c r="H356" s="3"/>
    </row>
    <row r="357" spans="1:8" ht="15" customHeight="1">
      <c r="A357" s="690" t="s">
        <v>2187</v>
      </c>
      <c r="B357" s="685" t="s">
        <v>1135</v>
      </c>
      <c r="C357" s="679" t="s">
        <v>176</v>
      </c>
      <c r="D357" s="679" t="s">
        <v>177</v>
      </c>
      <c r="E357" s="680" t="s">
        <v>303</v>
      </c>
      <c r="F357" s="680"/>
      <c r="G357" s="682" t="e">
        <v>#N/A</v>
      </c>
      <c r="H357" s="3"/>
    </row>
    <row r="358" spans="1:8" ht="15" customHeight="1">
      <c r="A358" s="690" t="s">
        <v>2190</v>
      </c>
      <c r="B358" s="685" t="s">
        <v>1136</v>
      </c>
      <c r="C358" s="679" t="s">
        <v>176</v>
      </c>
      <c r="D358" s="679" t="s">
        <v>177</v>
      </c>
      <c r="E358" s="680" t="s">
        <v>303</v>
      </c>
      <c r="F358" s="680"/>
      <c r="G358" s="682" t="s">
        <v>2</v>
      </c>
      <c r="H358" s="3"/>
    </row>
    <row r="359" spans="1:8" ht="15" customHeight="1">
      <c r="A359" s="687" t="s">
        <v>3354</v>
      </c>
      <c r="B359" s="687" t="s">
        <v>798</v>
      </c>
      <c r="C359" s="679"/>
      <c r="D359" s="679"/>
      <c r="E359" s="680" t="s">
        <v>303</v>
      </c>
      <c r="F359" s="681"/>
      <c r="G359" s="682" t="e">
        <v>#N/A</v>
      </c>
      <c r="H359" s="3"/>
    </row>
    <row r="360" spans="1:8" ht="15" customHeight="1">
      <c r="A360" s="690" t="s">
        <v>2193</v>
      </c>
      <c r="B360" s="685" t="s">
        <v>1137</v>
      </c>
      <c r="C360" s="679" t="s">
        <v>180</v>
      </c>
      <c r="D360" s="679" t="s">
        <v>182</v>
      </c>
      <c r="E360" s="680" t="s">
        <v>303</v>
      </c>
      <c r="F360" s="680"/>
      <c r="G360" s="682" t="s">
        <v>1110</v>
      </c>
      <c r="H360" s="3"/>
    </row>
    <row r="361" spans="1:8" ht="15" customHeight="1">
      <c r="A361" s="690" t="s">
        <v>2196</v>
      </c>
      <c r="B361" s="685" t="s">
        <v>1138</v>
      </c>
      <c r="C361" s="679" t="s">
        <v>161</v>
      </c>
      <c r="D361" s="679" t="s">
        <v>164</v>
      </c>
      <c r="E361" s="680" t="s">
        <v>303</v>
      </c>
      <c r="F361" s="680"/>
      <c r="G361" s="682" t="s">
        <v>1110</v>
      </c>
      <c r="H361" s="3"/>
    </row>
    <row r="362" spans="1:8" ht="15" customHeight="1">
      <c r="A362" s="690" t="s">
        <v>2199</v>
      </c>
      <c r="B362" s="678" t="s">
        <v>1139</v>
      </c>
      <c r="C362" s="679" t="s">
        <v>180</v>
      </c>
      <c r="D362" s="679" t="s">
        <v>184</v>
      </c>
      <c r="E362" s="680" t="s">
        <v>303</v>
      </c>
      <c r="F362" s="680"/>
      <c r="G362" s="682" t="s">
        <v>2</v>
      </c>
      <c r="H362" s="3"/>
    </row>
    <row r="363" spans="1:8" ht="15" customHeight="1">
      <c r="A363" s="690" t="s">
        <v>3417</v>
      </c>
      <c r="B363" s="678" t="s">
        <v>1138</v>
      </c>
      <c r="C363" s="679" t="s">
        <v>161</v>
      </c>
      <c r="D363" s="679" t="s">
        <v>167</v>
      </c>
      <c r="E363" s="680" t="s">
        <v>303</v>
      </c>
      <c r="F363" s="680"/>
      <c r="G363" s="682" t="s">
        <v>2</v>
      </c>
      <c r="H363" s="3"/>
    </row>
    <row r="364" spans="1:8" ht="15" customHeight="1">
      <c r="A364" s="690" t="s">
        <v>2202</v>
      </c>
      <c r="B364" s="685" t="s">
        <v>1140</v>
      </c>
      <c r="C364" s="679" t="s">
        <v>180</v>
      </c>
      <c r="D364" s="679" t="s">
        <v>185</v>
      </c>
      <c r="E364" s="680" t="s">
        <v>303</v>
      </c>
      <c r="F364" s="680"/>
      <c r="G364" s="682" t="s">
        <v>1110</v>
      </c>
      <c r="H364" s="3"/>
    </row>
    <row r="365" spans="1:8" ht="15" customHeight="1">
      <c r="A365" s="690" t="s">
        <v>2205</v>
      </c>
      <c r="B365" s="678" t="s">
        <v>1138</v>
      </c>
      <c r="C365" s="679" t="s">
        <v>161</v>
      </c>
      <c r="D365" s="679" t="s">
        <v>167</v>
      </c>
      <c r="E365" s="680" t="s">
        <v>303</v>
      </c>
      <c r="F365" s="680"/>
      <c r="G365" s="682" t="e">
        <v>#N/A</v>
      </c>
      <c r="H365" s="3"/>
    </row>
    <row r="366" spans="1:8" ht="15" customHeight="1">
      <c r="A366" s="690" t="s">
        <v>2208</v>
      </c>
      <c r="B366" s="685" t="s">
        <v>1141</v>
      </c>
      <c r="C366" s="679" t="s">
        <v>180</v>
      </c>
      <c r="D366" s="679" t="s">
        <v>182</v>
      </c>
      <c r="E366" s="680" t="s">
        <v>303</v>
      </c>
      <c r="F366" s="680"/>
      <c r="G366" s="682" t="s">
        <v>2</v>
      </c>
      <c r="H366" s="3"/>
    </row>
    <row r="367" spans="1:8" ht="15" customHeight="1">
      <c r="A367" s="690" t="s">
        <v>3386</v>
      </c>
      <c r="B367" s="685" t="s">
        <v>1143</v>
      </c>
      <c r="C367" s="679" t="s">
        <v>180</v>
      </c>
      <c r="D367" s="679" t="s">
        <v>185</v>
      </c>
      <c r="E367" s="680" t="s">
        <v>303</v>
      </c>
      <c r="F367" s="680"/>
      <c r="G367" s="682" t="s">
        <v>2</v>
      </c>
      <c r="H367" s="3"/>
    </row>
    <row r="368" spans="1:8" ht="15" customHeight="1">
      <c r="A368" s="690" t="s">
        <v>2211</v>
      </c>
      <c r="B368" s="678" t="s">
        <v>1141</v>
      </c>
      <c r="C368" s="679" t="s">
        <v>180</v>
      </c>
      <c r="D368" s="679" t="s">
        <v>182</v>
      </c>
      <c r="E368" s="680" t="s">
        <v>303</v>
      </c>
      <c r="F368" s="680"/>
      <c r="G368" s="680" t="s">
        <v>2</v>
      </c>
      <c r="H368" s="3"/>
    </row>
    <row r="369" spans="1:8" ht="15" customHeight="1">
      <c r="A369" s="690" t="s">
        <v>2214</v>
      </c>
      <c r="B369" s="685" t="s">
        <v>1144</v>
      </c>
      <c r="C369" s="679" t="s">
        <v>180</v>
      </c>
      <c r="D369" s="679" t="s">
        <v>183</v>
      </c>
      <c r="E369" s="680" t="s">
        <v>303</v>
      </c>
      <c r="F369" s="680"/>
      <c r="G369" s="682" t="s">
        <v>1110</v>
      </c>
      <c r="H369" s="3"/>
    </row>
    <row r="370" spans="1:8" ht="15" customHeight="1">
      <c r="A370" s="690" t="s">
        <v>2217</v>
      </c>
      <c r="B370" s="678" t="s">
        <v>1145</v>
      </c>
      <c r="C370" s="679" t="s">
        <v>180</v>
      </c>
      <c r="D370" s="679" t="s">
        <v>183</v>
      </c>
      <c r="E370" s="680" t="s">
        <v>303</v>
      </c>
      <c r="F370" s="680"/>
      <c r="G370" s="682" t="e">
        <v>#N/A</v>
      </c>
      <c r="H370" s="3"/>
    </row>
    <row r="371" spans="1:8" ht="15" customHeight="1">
      <c r="A371" s="690" t="s">
        <v>2220</v>
      </c>
      <c r="B371" s="685" t="s">
        <v>1146</v>
      </c>
      <c r="C371" s="679" t="s">
        <v>180</v>
      </c>
      <c r="D371" s="679" t="s">
        <v>183</v>
      </c>
      <c r="E371" s="680" t="s">
        <v>303</v>
      </c>
      <c r="F371" s="680"/>
      <c r="G371" s="682" t="s">
        <v>1110</v>
      </c>
      <c r="H371" s="3"/>
    </row>
    <row r="372" spans="1:8" ht="15" customHeight="1">
      <c r="A372" s="690" t="s">
        <v>2223</v>
      </c>
      <c r="B372" s="685" t="s">
        <v>1147</v>
      </c>
      <c r="C372" s="679" t="s">
        <v>180</v>
      </c>
      <c r="D372" s="679" t="s">
        <v>186</v>
      </c>
      <c r="E372" s="680" t="s">
        <v>303</v>
      </c>
      <c r="F372" s="680"/>
      <c r="G372" s="682" t="s">
        <v>1110</v>
      </c>
      <c r="H372" s="3"/>
    </row>
    <row r="373" spans="1:8" ht="15" customHeight="1">
      <c r="A373" s="690" t="s">
        <v>2226</v>
      </c>
      <c r="B373" s="685" t="s">
        <v>1148</v>
      </c>
      <c r="C373" s="679" t="s">
        <v>180</v>
      </c>
      <c r="D373" s="679" t="s">
        <v>187</v>
      </c>
      <c r="E373" s="680" t="s">
        <v>303</v>
      </c>
      <c r="F373" s="680"/>
      <c r="G373" s="682" t="s">
        <v>1110</v>
      </c>
      <c r="H373" s="3"/>
    </row>
    <row r="374" spans="1:8" ht="15" customHeight="1">
      <c r="A374" s="690" t="s">
        <v>3683</v>
      </c>
      <c r="B374" s="685" t="s">
        <v>3682</v>
      </c>
      <c r="C374" s="679" t="s">
        <v>180</v>
      </c>
      <c r="D374" s="679" t="s">
        <v>187</v>
      </c>
      <c r="E374" s="680" t="s">
        <v>303</v>
      </c>
      <c r="F374" s="680"/>
      <c r="G374" s="682" t="s">
        <v>1110</v>
      </c>
      <c r="H374" s="3"/>
    </row>
    <row r="375" spans="1:8" ht="15" customHeight="1">
      <c r="A375" s="690" t="s">
        <v>2229</v>
      </c>
      <c r="B375" s="685" t="s">
        <v>1149</v>
      </c>
      <c r="C375" s="679" t="s">
        <v>180</v>
      </c>
      <c r="D375" s="679" t="s">
        <v>191</v>
      </c>
      <c r="E375" s="680" t="s">
        <v>303</v>
      </c>
      <c r="F375" s="680"/>
      <c r="G375" s="682" t="s">
        <v>1110</v>
      </c>
      <c r="H375" s="3"/>
    </row>
    <row r="376" spans="1:8" ht="15" customHeight="1">
      <c r="A376" s="690" t="s">
        <v>2232</v>
      </c>
      <c r="B376" s="685" t="s">
        <v>1150</v>
      </c>
      <c r="C376" s="679" t="s">
        <v>180</v>
      </c>
      <c r="D376" s="679" t="s">
        <v>191</v>
      </c>
      <c r="E376" s="680" t="s">
        <v>303</v>
      </c>
      <c r="F376" s="680"/>
      <c r="G376" s="682" t="s">
        <v>1110</v>
      </c>
      <c r="H376" s="3"/>
    </row>
    <row r="377" spans="1:8" ht="15" customHeight="1">
      <c r="A377" s="690" t="s">
        <v>3918</v>
      </c>
      <c r="B377" s="685" t="s">
        <v>3917</v>
      </c>
      <c r="C377" s="679" t="s">
        <v>180</v>
      </c>
      <c r="D377" s="679" t="s">
        <v>191</v>
      </c>
      <c r="E377" s="680" t="s">
        <v>303</v>
      </c>
      <c r="F377" s="680"/>
      <c r="G377" s="682" t="s">
        <v>1110</v>
      </c>
      <c r="H377" s="3"/>
    </row>
    <row r="378" spans="1:8" ht="15" customHeight="1">
      <c r="A378" s="690" t="s">
        <v>1152</v>
      </c>
      <c r="B378" s="678" t="s">
        <v>1387</v>
      </c>
      <c r="C378" s="679" t="s">
        <v>180</v>
      </c>
      <c r="D378" s="679" t="s">
        <v>189</v>
      </c>
      <c r="E378" s="680" t="s">
        <v>303</v>
      </c>
      <c r="F378" s="680"/>
      <c r="G378" s="680" t="s">
        <v>2</v>
      </c>
      <c r="H378" s="3"/>
    </row>
    <row r="379" spans="1:8" ht="15" customHeight="1">
      <c r="A379" s="690" t="s">
        <v>2237</v>
      </c>
      <c r="B379" s="685" t="s">
        <v>1151</v>
      </c>
      <c r="C379" s="679" t="s">
        <v>180</v>
      </c>
      <c r="D379" s="679" t="s">
        <v>188</v>
      </c>
      <c r="E379" s="680" t="s">
        <v>303</v>
      </c>
      <c r="F379" s="680"/>
      <c r="G379" s="682" t="s">
        <v>1110</v>
      </c>
      <c r="H379" s="3"/>
    </row>
    <row r="380" spans="1:8" ht="15" customHeight="1">
      <c r="A380" s="678" t="s">
        <v>2240</v>
      </c>
      <c r="B380" s="678" t="s">
        <v>725</v>
      </c>
      <c r="C380" s="679"/>
      <c r="D380" s="679"/>
      <c r="E380" s="686"/>
      <c r="F380" s="680"/>
      <c r="G380" s="682" t="s">
        <v>816</v>
      </c>
      <c r="H380" s="3"/>
    </row>
    <row r="381" spans="1:8" ht="15" customHeight="1">
      <c r="A381" s="690" t="s">
        <v>1155</v>
      </c>
      <c r="B381" s="685" t="s">
        <v>1153</v>
      </c>
      <c r="C381" s="679" t="s">
        <v>92</v>
      </c>
      <c r="D381" s="679" t="s">
        <v>111</v>
      </c>
      <c r="E381" s="680" t="s">
        <v>303</v>
      </c>
      <c r="F381" s="680"/>
      <c r="G381" s="682" t="s">
        <v>2</v>
      </c>
      <c r="H381" s="3"/>
    </row>
    <row r="382" spans="1:8" ht="15" customHeight="1">
      <c r="A382" s="690" t="s">
        <v>1157</v>
      </c>
      <c r="B382" s="685" t="s">
        <v>1156</v>
      </c>
      <c r="C382" s="679" t="s">
        <v>92</v>
      </c>
      <c r="D382" s="679" t="s">
        <v>112</v>
      </c>
      <c r="E382" s="680" t="s">
        <v>303</v>
      </c>
      <c r="F382" s="680"/>
      <c r="G382" s="682" t="s">
        <v>1110</v>
      </c>
      <c r="H382" s="3"/>
    </row>
    <row r="383" spans="1:8" ht="15" customHeight="1">
      <c r="A383" s="690" t="s">
        <v>1159</v>
      </c>
      <c r="B383" s="685" t="s">
        <v>1158</v>
      </c>
      <c r="C383" s="679" t="s">
        <v>92</v>
      </c>
      <c r="D383" s="679" t="s">
        <v>114</v>
      </c>
      <c r="E383" s="680" t="s">
        <v>303</v>
      </c>
      <c r="F383" s="680"/>
      <c r="G383" s="682" t="s">
        <v>1110</v>
      </c>
      <c r="H383" s="3"/>
    </row>
    <row r="384" spans="1:8" ht="15" customHeight="1">
      <c r="A384" s="690" t="s">
        <v>1161</v>
      </c>
      <c r="B384" s="685" t="s">
        <v>1160</v>
      </c>
      <c r="C384" s="679" t="s">
        <v>92</v>
      </c>
      <c r="D384" s="679" t="s">
        <v>115</v>
      </c>
      <c r="E384" s="680" t="s">
        <v>303</v>
      </c>
      <c r="F384" s="680"/>
      <c r="G384" s="682" t="s">
        <v>1110</v>
      </c>
      <c r="H384" s="3"/>
    </row>
    <row r="385" spans="1:8" ht="15" customHeight="1">
      <c r="A385" s="678" t="s">
        <v>1163</v>
      </c>
      <c r="B385" s="678" t="s">
        <v>1162</v>
      </c>
      <c r="C385" s="679" t="s">
        <v>92</v>
      </c>
      <c r="D385" s="679" t="s">
        <v>117</v>
      </c>
      <c r="E385" s="680" t="s">
        <v>303</v>
      </c>
      <c r="F385" s="680"/>
      <c r="G385" s="682" t="s">
        <v>1110</v>
      </c>
      <c r="H385" s="3"/>
    </row>
    <row r="386" spans="1:8" ht="15" customHeight="1">
      <c r="A386" s="690" t="s">
        <v>1165</v>
      </c>
      <c r="B386" s="685" t="s">
        <v>1164</v>
      </c>
      <c r="C386" s="679" t="s">
        <v>92</v>
      </c>
      <c r="D386" s="679" t="s">
        <v>113</v>
      </c>
      <c r="E386" s="680" t="s">
        <v>303</v>
      </c>
      <c r="F386" s="680"/>
      <c r="G386" s="682" t="s">
        <v>1110</v>
      </c>
      <c r="H386" s="3"/>
    </row>
    <row r="387" spans="1:8" ht="15" customHeight="1">
      <c r="A387" s="678" t="s">
        <v>1167</v>
      </c>
      <c r="B387" s="678" t="s">
        <v>1166</v>
      </c>
      <c r="C387" s="679" t="s">
        <v>92</v>
      </c>
      <c r="D387" s="679" t="s">
        <v>116</v>
      </c>
      <c r="E387" s="680" t="s">
        <v>303</v>
      </c>
      <c r="F387" s="680"/>
      <c r="G387" s="682" t="s">
        <v>2</v>
      </c>
      <c r="H387" s="3"/>
    </row>
    <row r="388" spans="1:8" ht="15" customHeight="1">
      <c r="A388" s="690" t="s">
        <v>2257</v>
      </c>
      <c r="B388" s="685" t="s">
        <v>1168</v>
      </c>
      <c r="C388" s="679" t="s">
        <v>92</v>
      </c>
      <c r="D388" s="679" t="s">
        <v>116</v>
      </c>
      <c r="E388" s="680" t="s">
        <v>303</v>
      </c>
      <c r="F388" s="680"/>
      <c r="G388" s="682" t="s">
        <v>2</v>
      </c>
      <c r="H388" s="3"/>
    </row>
    <row r="389" spans="1:8" ht="15" customHeight="1">
      <c r="A389" s="690" t="s">
        <v>1170</v>
      </c>
      <c r="B389" s="685" t="s">
        <v>1169</v>
      </c>
      <c r="C389" s="679" t="s">
        <v>92</v>
      </c>
      <c r="D389" s="679" t="s">
        <v>204</v>
      </c>
      <c r="E389" s="680" t="s">
        <v>303</v>
      </c>
      <c r="F389" s="680"/>
      <c r="G389" s="682" t="s">
        <v>1110</v>
      </c>
      <c r="H389" s="3"/>
    </row>
    <row r="390" spans="1:8" ht="15" customHeight="1">
      <c r="A390" s="678" t="s">
        <v>1172</v>
      </c>
      <c r="B390" s="678" t="s">
        <v>1171</v>
      </c>
      <c r="C390" s="679" t="s">
        <v>92</v>
      </c>
      <c r="D390" s="679" t="s">
        <v>120</v>
      </c>
      <c r="E390" s="680" t="s">
        <v>303</v>
      </c>
      <c r="F390" s="680"/>
      <c r="G390" s="682" t="s">
        <v>1110</v>
      </c>
      <c r="H390" s="3"/>
    </row>
    <row r="391" spans="1:8" ht="15" customHeight="1">
      <c r="A391" s="690" t="s">
        <v>1174</v>
      </c>
      <c r="B391" s="685" t="s">
        <v>1173</v>
      </c>
      <c r="C391" s="679" t="s">
        <v>92</v>
      </c>
      <c r="D391" s="679" t="s">
        <v>121</v>
      </c>
      <c r="E391" s="680" t="s">
        <v>303</v>
      </c>
      <c r="F391" s="680"/>
      <c r="G391" s="682" t="s">
        <v>1110</v>
      </c>
      <c r="H391" s="3"/>
    </row>
    <row r="392" spans="1:8" ht="15" customHeight="1">
      <c r="A392" s="678" t="s">
        <v>1176</v>
      </c>
      <c r="B392" s="678" t="s">
        <v>1175</v>
      </c>
      <c r="C392" s="679" t="s">
        <v>92</v>
      </c>
      <c r="D392" s="679" t="s">
        <v>122</v>
      </c>
      <c r="E392" s="680" t="s">
        <v>303</v>
      </c>
      <c r="F392" s="680"/>
      <c r="G392" s="682" t="s">
        <v>2</v>
      </c>
      <c r="H392" s="3"/>
    </row>
    <row r="393" spans="1:8" ht="15" customHeight="1">
      <c r="A393" s="690" t="s">
        <v>1178</v>
      </c>
      <c r="B393" s="685" t="s">
        <v>1177</v>
      </c>
      <c r="C393" s="679" t="s">
        <v>92</v>
      </c>
      <c r="D393" s="679" t="s">
        <v>124</v>
      </c>
      <c r="E393" s="680" t="s">
        <v>303</v>
      </c>
      <c r="F393" s="680"/>
      <c r="G393" s="682" t="s">
        <v>1110</v>
      </c>
      <c r="H393" s="3"/>
    </row>
    <row r="394" spans="1:8" ht="15" customHeight="1">
      <c r="A394" s="690" t="s">
        <v>1180</v>
      </c>
      <c r="B394" s="685" t="s">
        <v>1179</v>
      </c>
      <c r="C394" s="679" t="s">
        <v>92</v>
      </c>
      <c r="D394" s="679" t="s">
        <v>127</v>
      </c>
      <c r="E394" s="680" t="s">
        <v>303</v>
      </c>
      <c r="F394" s="680"/>
      <c r="G394" s="682" t="s">
        <v>1110</v>
      </c>
      <c r="H394" s="3"/>
    </row>
    <row r="395" spans="1:8" ht="15" customHeight="1">
      <c r="A395" s="690" t="s">
        <v>1182</v>
      </c>
      <c r="B395" s="685" t="s">
        <v>1181</v>
      </c>
      <c r="C395" s="679" t="s">
        <v>92</v>
      </c>
      <c r="D395" s="679" t="s">
        <v>125</v>
      </c>
      <c r="E395" s="680" t="s">
        <v>303</v>
      </c>
      <c r="F395" s="680"/>
      <c r="G395" s="682" t="s">
        <v>1110</v>
      </c>
      <c r="H395" s="4"/>
    </row>
    <row r="396" spans="1:8" ht="15" customHeight="1">
      <c r="A396" s="690" t="s">
        <v>1184</v>
      </c>
      <c r="B396" s="685" t="s">
        <v>1388</v>
      </c>
      <c r="C396" s="679" t="s">
        <v>92</v>
      </c>
      <c r="D396" s="679" t="s">
        <v>126</v>
      </c>
      <c r="E396" s="680" t="s">
        <v>303</v>
      </c>
      <c r="F396" s="680"/>
      <c r="G396" s="682" t="s">
        <v>1110</v>
      </c>
      <c r="H396" s="4"/>
    </row>
    <row r="397" spans="1:8" ht="15" customHeight="1">
      <c r="A397" s="678" t="s">
        <v>1186</v>
      </c>
      <c r="B397" s="678" t="s">
        <v>1185</v>
      </c>
      <c r="C397" s="679" t="s">
        <v>92</v>
      </c>
      <c r="D397" s="679" t="s">
        <v>126</v>
      </c>
      <c r="E397" s="680" t="s">
        <v>303</v>
      </c>
      <c r="F397" s="680"/>
      <c r="G397" s="682" t="s">
        <v>1110</v>
      </c>
      <c r="H397" s="3"/>
    </row>
    <row r="398" spans="1:8" ht="15" customHeight="1">
      <c r="A398" s="690" t="s">
        <v>2276</v>
      </c>
      <c r="B398" s="688" t="s">
        <v>799</v>
      </c>
      <c r="C398" s="679"/>
      <c r="D398" s="679"/>
      <c r="E398" s="680" t="s">
        <v>303</v>
      </c>
      <c r="F398" s="680"/>
      <c r="G398" s="682" t="s">
        <v>816</v>
      </c>
      <c r="H398" s="3"/>
    </row>
    <row r="399" spans="1:8" ht="15" customHeight="1">
      <c r="A399" s="678" t="s">
        <v>1188</v>
      </c>
      <c r="B399" s="678" t="s">
        <v>1187</v>
      </c>
      <c r="C399" s="679" t="s">
        <v>92</v>
      </c>
      <c r="D399" s="679" t="s">
        <v>135</v>
      </c>
      <c r="E399" s="680" t="s">
        <v>303</v>
      </c>
      <c r="F399" s="680"/>
      <c r="G399" s="682" t="s">
        <v>1110</v>
      </c>
      <c r="H399" s="3"/>
    </row>
    <row r="400" spans="1:8" ht="15" customHeight="1">
      <c r="A400" s="678" t="s">
        <v>1190</v>
      </c>
      <c r="B400" s="685" t="s">
        <v>1189</v>
      </c>
      <c r="C400" s="679" t="s">
        <v>92</v>
      </c>
      <c r="D400" s="679" t="s">
        <v>136</v>
      </c>
      <c r="E400" s="680" t="s">
        <v>303</v>
      </c>
      <c r="F400" s="680"/>
      <c r="G400" s="682" t="e">
        <v>#N/A</v>
      </c>
      <c r="H400" s="3"/>
    </row>
    <row r="401" spans="1:8" ht="15" customHeight="1">
      <c r="A401" s="678" t="s">
        <v>1192</v>
      </c>
      <c r="B401" s="685" t="s">
        <v>1191</v>
      </c>
      <c r="C401" s="679" t="s">
        <v>92</v>
      </c>
      <c r="D401" s="679" t="s">
        <v>141</v>
      </c>
      <c r="E401" s="680" t="s">
        <v>303</v>
      </c>
      <c r="F401" s="680"/>
      <c r="G401" s="682" t="e">
        <v>#N/A</v>
      </c>
      <c r="H401" s="3"/>
    </row>
    <row r="402" spans="1:8" ht="15" customHeight="1">
      <c r="A402" s="690" t="s">
        <v>1194</v>
      </c>
      <c r="B402" s="685" t="s">
        <v>1193</v>
      </c>
      <c r="C402" s="679" t="s">
        <v>92</v>
      </c>
      <c r="D402" s="679" t="s">
        <v>131</v>
      </c>
      <c r="E402" s="680" t="s">
        <v>303</v>
      </c>
      <c r="F402" s="680"/>
      <c r="G402" s="682" t="s">
        <v>1110</v>
      </c>
      <c r="H402" s="3"/>
    </row>
    <row r="403" spans="1:8" ht="15" customHeight="1">
      <c r="A403" s="678" t="s">
        <v>1196</v>
      </c>
      <c r="B403" s="678" t="s">
        <v>1195</v>
      </c>
      <c r="C403" s="679" t="s">
        <v>92</v>
      </c>
      <c r="D403" s="679" t="s">
        <v>139</v>
      </c>
      <c r="E403" s="680" t="s">
        <v>303</v>
      </c>
      <c r="F403" s="680"/>
      <c r="G403" s="682" t="s">
        <v>1110</v>
      </c>
      <c r="H403" s="3"/>
    </row>
    <row r="404" spans="1:8" ht="15" customHeight="1">
      <c r="A404" s="690" t="s">
        <v>1208</v>
      </c>
      <c r="B404" s="688" t="s">
        <v>800</v>
      </c>
      <c r="C404" s="679"/>
      <c r="D404" s="679"/>
      <c r="E404" s="680" t="s">
        <v>303</v>
      </c>
      <c r="F404" s="680"/>
      <c r="G404" s="682" t="s">
        <v>816</v>
      </c>
      <c r="H404" s="3"/>
    </row>
    <row r="405" spans="1:8" ht="15" customHeight="1">
      <c r="A405" s="678" t="s">
        <v>1198</v>
      </c>
      <c r="B405" s="678" t="s">
        <v>1197</v>
      </c>
      <c r="C405" s="679" t="s">
        <v>92</v>
      </c>
      <c r="D405" s="679" t="s">
        <v>132</v>
      </c>
      <c r="E405" s="680" t="s">
        <v>303</v>
      </c>
      <c r="F405" s="680"/>
      <c r="G405" s="682" t="s">
        <v>1110</v>
      </c>
      <c r="H405" s="3"/>
    </row>
    <row r="406" spans="1:8" ht="15" customHeight="1">
      <c r="A406" s="690" t="s">
        <v>1200</v>
      </c>
      <c r="B406" s="678" t="s">
        <v>1199</v>
      </c>
      <c r="C406" s="679" t="s">
        <v>92</v>
      </c>
      <c r="D406" s="679" t="s">
        <v>137</v>
      </c>
      <c r="E406" s="680" t="s">
        <v>303</v>
      </c>
      <c r="F406" s="680"/>
      <c r="G406" s="682" t="s">
        <v>1110</v>
      </c>
      <c r="H406" s="3"/>
    </row>
    <row r="407" spans="1:8" ht="15" customHeight="1">
      <c r="A407" s="678" t="s">
        <v>1202</v>
      </c>
      <c r="B407" s="678" t="s">
        <v>1201</v>
      </c>
      <c r="C407" s="679" t="s">
        <v>92</v>
      </c>
      <c r="D407" s="679" t="s">
        <v>138</v>
      </c>
      <c r="E407" s="680" t="s">
        <v>303</v>
      </c>
      <c r="F407" s="680"/>
      <c r="G407" s="682" t="s">
        <v>1110</v>
      </c>
      <c r="H407" s="3"/>
    </row>
    <row r="408" spans="1:8" ht="15" customHeight="1">
      <c r="A408" s="690" t="s">
        <v>1204</v>
      </c>
      <c r="B408" s="678" t="s">
        <v>1203</v>
      </c>
      <c r="C408" s="679" t="s">
        <v>92</v>
      </c>
      <c r="D408" s="679" t="s">
        <v>140</v>
      </c>
      <c r="E408" s="680" t="s">
        <v>303</v>
      </c>
      <c r="F408" s="680"/>
      <c r="G408" s="682" t="s">
        <v>1110</v>
      </c>
      <c r="H408" s="3"/>
    </row>
    <row r="409" spans="1:8" ht="15" customHeight="1">
      <c r="A409" s="678" t="s">
        <v>1206</v>
      </c>
      <c r="B409" s="678" t="s">
        <v>1205</v>
      </c>
      <c r="C409" s="679" t="s">
        <v>92</v>
      </c>
      <c r="D409" s="679" t="s">
        <v>133</v>
      </c>
      <c r="E409" s="680" t="s">
        <v>303</v>
      </c>
      <c r="F409" s="680"/>
      <c r="G409" s="682" t="s">
        <v>1110</v>
      </c>
      <c r="H409" s="3"/>
    </row>
    <row r="410" spans="1:8" ht="15" customHeight="1">
      <c r="A410" s="678" t="s">
        <v>3387</v>
      </c>
      <c r="B410" s="678" t="s">
        <v>1207</v>
      </c>
      <c r="C410" s="679" t="s">
        <v>92</v>
      </c>
      <c r="D410" s="679" t="s">
        <v>142</v>
      </c>
      <c r="E410" s="680" t="s">
        <v>303</v>
      </c>
      <c r="F410" s="680"/>
      <c r="G410" s="682" t="e">
        <v>#N/A</v>
      </c>
      <c r="H410" s="3"/>
    </row>
    <row r="411" spans="1:8" ht="15" customHeight="1">
      <c r="A411" s="690" t="s">
        <v>1210</v>
      </c>
      <c r="B411" s="685" t="s">
        <v>1209</v>
      </c>
      <c r="C411" s="679" t="s">
        <v>92</v>
      </c>
      <c r="D411" s="679" t="s">
        <v>134</v>
      </c>
      <c r="E411" s="680" t="s">
        <v>303</v>
      </c>
      <c r="F411" s="680"/>
      <c r="G411" s="682" t="s">
        <v>1110</v>
      </c>
      <c r="H411" s="3"/>
    </row>
    <row r="412" spans="1:8" ht="15" customHeight="1">
      <c r="A412" s="690" t="s">
        <v>1212</v>
      </c>
      <c r="B412" s="685" t="s">
        <v>1211</v>
      </c>
      <c r="C412" s="679" t="s">
        <v>92</v>
      </c>
      <c r="D412" s="679" t="s">
        <v>221</v>
      </c>
      <c r="E412" s="680" t="s">
        <v>303</v>
      </c>
      <c r="F412" s="680"/>
      <c r="G412" s="682" t="e">
        <v>#N/A</v>
      </c>
      <c r="H412" s="3"/>
    </row>
    <row r="413" spans="1:8" ht="15" customHeight="1">
      <c r="A413" s="690" t="s">
        <v>2304</v>
      </c>
      <c r="B413" s="685" t="s">
        <v>1389</v>
      </c>
      <c r="C413" s="679" t="s">
        <v>92</v>
      </c>
      <c r="D413" s="679" t="s">
        <v>213</v>
      </c>
      <c r="E413" s="680" t="s">
        <v>303</v>
      </c>
      <c r="F413" s="680"/>
      <c r="G413" s="680" t="s">
        <v>1154</v>
      </c>
      <c r="H413" s="3"/>
    </row>
    <row r="414" spans="1:8" ht="15" customHeight="1">
      <c r="A414" s="690" t="s">
        <v>1214</v>
      </c>
      <c r="B414" s="685" t="s">
        <v>1213</v>
      </c>
      <c r="C414" s="679" t="s">
        <v>92</v>
      </c>
      <c r="D414" s="679" t="s">
        <v>210</v>
      </c>
      <c r="E414" s="680" t="s">
        <v>303</v>
      </c>
      <c r="F414" s="680"/>
      <c r="G414" s="682" t="s">
        <v>1154</v>
      </c>
      <c r="H414" s="3"/>
    </row>
    <row r="415" spans="1:8" ht="15" customHeight="1">
      <c r="A415" s="678" t="s">
        <v>1216</v>
      </c>
      <c r="B415" s="678" t="s">
        <v>1215</v>
      </c>
      <c r="C415" s="679" t="s">
        <v>92</v>
      </c>
      <c r="D415" s="679" t="s">
        <v>205</v>
      </c>
      <c r="E415" s="680" t="s">
        <v>303</v>
      </c>
      <c r="F415" s="680"/>
      <c r="G415" s="682" t="s">
        <v>1154</v>
      </c>
      <c r="H415" s="3"/>
    </row>
    <row r="416" spans="1:8" ht="15" customHeight="1">
      <c r="A416" s="690" t="s">
        <v>1218</v>
      </c>
      <c r="B416" s="685" t="s">
        <v>1217</v>
      </c>
      <c r="C416" s="679" t="s">
        <v>92</v>
      </c>
      <c r="D416" s="679" t="s">
        <v>209</v>
      </c>
      <c r="E416" s="680" t="s">
        <v>303</v>
      </c>
      <c r="F416" s="680"/>
      <c r="G416" s="682" t="s">
        <v>1154</v>
      </c>
      <c r="H416" s="3"/>
    </row>
    <row r="417" spans="1:12" ht="15" customHeight="1">
      <c r="A417" s="678" t="s">
        <v>1220</v>
      </c>
      <c r="B417" s="678" t="s">
        <v>1219</v>
      </c>
      <c r="C417" s="679" t="s">
        <v>92</v>
      </c>
      <c r="D417" s="679" t="s">
        <v>206</v>
      </c>
      <c r="E417" s="680" t="s">
        <v>303</v>
      </c>
      <c r="F417" s="680"/>
      <c r="G417" s="682" t="s">
        <v>1154</v>
      </c>
      <c r="H417" s="3"/>
    </row>
    <row r="418" spans="1:12" ht="15" customHeight="1">
      <c r="A418" s="690" t="s">
        <v>1222</v>
      </c>
      <c r="B418" s="678" t="s">
        <v>1221</v>
      </c>
      <c r="C418" s="679" t="s">
        <v>92</v>
      </c>
      <c r="D418" s="679" t="s">
        <v>207</v>
      </c>
      <c r="E418" s="680" t="s">
        <v>303</v>
      </c>
      <c r="F418" s="680"/>
      <c r="G418" s="682" t="s">
        <v>1154</v>
      </c>
      <c r="H418" s="3"/>
    </row>
    <row r="419" spans="1:12" ht="15" customHeight="1">
      <c r="A419" s="678" t="s">
        <v>1224</v>
      </c>
      <c r="B419" s="678" t="s">
        <v>1223</v>
      </c>
      <c r="C419" s="679" t="s">
        <v>92</v>
      </c>
      <c r="D419" s="679" t="s">
        <v>211</v>
      </c>
      <c r="E419" s="680" t="s">
        <v>303</v>
      </c>
      <c r="F419" s="680"/>
      <c r="G419" s="682" t="s">
        <v>1154</v>
      </c>
      <c r="H419" s="3"/>
    </row>
    <row r="420" spans="1:12" ht="15" customHeight="1">
      <c r="A420" s="678" t="s">
        <v>3388</v>
      </c>
      <c r="B420" s="678" t="s">
        <v>1390</v>
      </c>
      <c r="C420" s="679" t="s">
        <v>92</v>
      </c>
      <c r="D420" s="679" t="s">
        <v>214</v>
      </c>
      <c r="E420" s="680" t="s">
        <v>303</v>
      </c>
      <c r="F420" s="680"/>
      <c r="G420" s="680" t="s">
        <v>1154</v>
      </c>
      <c r="H420" s="3"/>
    </row>
    <row r="421" spans="1:12" ht="15" customHeight="1">
      <c r="A421" s="690" t="s">
        <v>2319</v>
      </c>
      <c r="B421" s="688" t="s">
        <v>1225</v>
      </c>
      <c r="C421" s="679" t="s">
        <v>152</v>
      </c>
      <c r="D421" s="679" t="s">
        <v>111</v>
      </c>
      <c r="E421" s="680" t="s">
        <v>303</v>
      </c>
      <c r="F421" s="680"/>
      <c r="G421" s="682" t="s">
        <v>1154</v>
      </c>
      <c r="H421" s="3"/>
    </row>
    <row r="422" spans="1:12" ht="15" customHeight="1">
      <c r="A422" s="690" t="s">
        <v>2322</v>
      </c>
      <c r="B422" s="688" t="s">
        <v>1156</v>
      </c>
      <c r="C422" s="679" t="s">
        <v>152</v>
      </c>
      <c r="D422" s="679" t="s">
        <v>112</v>
      </c>
      <c r="E422" s="680" t="s">
        <v>303</v>
      </c>
      <c r="F422" s="680"/>
      <c r="G422" s="682" t="s">
        <v>1154</v>
      </c>
      <c r="H422" s="3"/>
    </row>
    <row r="423" spans="1:12" ht="15" customHeight="1">
      <c r="A423" s="678" t="s">
        <v>2325</v>
      </c>
      <c r="B423" s="678" t="s">
        <v>1226</v>
      </c>
      <c r="C423" s="679" t="s">
        <v>152</v>
      </c>
      <c r="D423" s="679" t="s">
        <v>114</v>
      </c>
      <c r="E423" s="680" t="s">
        <v>303</v>
      </c>
      <c r="F423" s="680"/>
      <c r="G423" s="682" t="s">
        <v>1154</v>
      </c>
      <c r="H423" s="3"/>
    </row>
    <row r="424" spans="1:12" ht="15" customHeight="1">
      <c r="A424" s="690" t="s">
        <v>2328</v>
      </c>
      <c r="B424" s="688" t="s">
        <v>1160</v>
      </c>
      <c r="C424" s="679" t="s">
        <v>152</v>
      </c>
      <c r="D424" s="679" t="s">
        <v>115</v>
      </c>
      <c r="E424" s="680" t="s">
        <v>303</v>
      </c>
      <c r="F424" s="680"/>
      <c r="G424" s="682" t="s">
        <v>1154</v>
      </c>
      <c r="H424" s="3"/>
    </row>
    <row r="425" spans="1:12" ht="15" customHeight="1">
      <c r="A425" s="678" t="s">
        <v>2331</v>
      </c>
      <c r="B425" s="678" t="s">
        <v>1162</v>
      </c>
      <c r="C425" s="679" t="s">
        <v>152</v>
      </c>
      <c r="D425" s="679" t="s">
        <v>117</v>
      </c>
      <c r="E425" s="680" t="s">
        <v>303</v>
      </c>
      <c r="F425" s="680"/>
      <c r="G425" s="682" t="s">
        <v>1154</v>
      </c>
      <c r="H425" s="3"/>
    </row>
    <row r="426" spans="1:12" ht="15" customHeight="1">
      <c r="A426" s="690" t="s">
        <v>2334</v>
      </c>
      <c r="B426" s="688" t="s">
        <v>1164</v>
      </c>
      <c r="C426" s="679" t="s">
        <v>152</v>
      </c>
      <c r="D426" s="679" t="s">
        <v>113</v>
      </c>
      <c r="E426" s="680" t="s">
        <v>303</v>
      </c>
      <c r="F426" s="680"/>
      <c r="G426" s="682" t="s">
        <v>1154</v>
      </c>
      <c r="H426" s="3"/>
      <c r="L426" s="3"/>
    </row>
    <row r="427" spans="1:12" ht="15" customHeight="1">
      <c r="A427" s="678" t="s">
        <v>2337</v>
      </c>
      <c r="B427" s="678" t="s">
        <v>801</v>
      </c>
      <c r="C427" s="679"/>
      <c r="D427" s="679"/>
      <c r="E427" s="680" t="s">
        <v>303</v>
      </c>
      <c r="F427" s="680"/>
      <c r="G427" s="682" t="s">
        <v>816</v>
      </c>
      <c r="H427" s="3"/>
      <c r="L427" s="3"/>
    </row>
    <row r="428" spans="1:12" ht="15" customHeight="1">
      <c r="A428" s="690" t="s">
        <v>2340</v>
      </c>
      <c r="B428" s="688" t="s">
        <v>1166</v>
      </c>
      <c r="C428" s="679" t="s">
        <v>152</v>
      </c>
      <c r="D428" s="679" t="s">
        <v>116</v>
      </c>
      <c r="E428" s="680" t="s">
        <v>303</v>
      </c>
      <c r="F428" s="680"/>
      <c r="G428" s="682" t="s">
        <v>1154</v>
      </c>
      <c r="H428" s="3"/>
    </row>
    <row r="429" spans="1:12" ht="15" customHeight="1">
      <c r="A429" s="678" t="s">
        <v>2343</v>
      </c>
      <c r="B429" s="678" t="s">
        <v>1227</v>
      </c>
      <c r="C429" s="679" t="s">
        <v>152</v>
      </c>
      <c r="D429" s="679" t="s">
        <v>116</v>
      </c>
      <c r="E429" s="680" t="s">
        <v>303</v>
      </c>
      <c r="F429" s="680"/>
      <c r="G429" s="682" t="s">
        <v>1154</v>
      </c>
      <c r="H429" s="3"/>
    </row>
    <row r="430" spans="1:12" ht="15" customHeight="1">
      <c r="A430" s="690" t="s">
        <v>2346</v>
      </c>
      <c r="B430" s="688" t="s">
        <v>802</v>
      </c>
      <c r="C430" s="679"/>
      <c r="D430" s="679"/>
      <c r="E430" s="680" t="s">
        <v>303</v>
      </c>
      <c r="F430" s="680"/>
      <c r="G430" s="682" t="s">
        <v>816</v>
      </c>
      <c r="H430" s="3"/>
    </row>
    <row r="431" spans="1:12" ht="15" customHeight="1">
      <c r="A431" s="678" t="s">
        <v>2349</v>
      </c>
      <c r="B431" s="688" t="s">
        <v>1169</v>
      </c>
      <c r="C431" s="679" t="s">
        <v>152</v>
      </c>
      <c r="D431" s="679" t="s">
        <v>204</v>
      </c>
      <c r="E431" s="680" t="s">
        <v>303</v>
      </c>
      <c r="F431" s="680"/>
      <c r="G431" s="682" t="s">
        <v>1154</v>
      </c>
      <c r="H431" s="3"/>
    </row>
    <row r="432" spans="1:12" ht="15" customHeight="1">
      <c r="A432" s="690" t="s">
        <v>2352</v>
      </c>
      <c r="B432" s="688" t="s">
        <v>1171</v>
      </c>
      <c r="C432" s="679" t="s">
        <v>152</v>
      </c>
      <c r="D432" s="679" t="s">
        <v>120</v>
      </c>
      <c r="E432" s="680" t="s">
        <v>303</v>
      </c>
      <c r="F432" s="680"/>
      <c r="G432" s="682" t="s">
        <v>2</v>
      </c>
      <c r="H432" s="3"/>
    </row>
    <row r="433" spans="1:8" ht="15" customHeight="1">
      <c r="A433" s="690" t="s">
        <v>2355</v>
      </c>
      <c r="B433" s="688" t="s">
        <v>1173</v>
      </c>
      <c r="C433" s="679" t="s">
        <v>152</v>
      </c>
      <c r="D433" s="679" t="s">
        <v>121</v>
      </c>
      <c r="E433" s="680" t="s">
        <v>303</v>
      </c>
      <c r="F433" s="680"/>
      <c r="G433" s="682" t="s">
        <v>1154</v>
      </c>
      <c r="H433" s="3"/>
    </row>
    <row r="434" spans="1:8" ht="15" customHeight="1">
      <c r="A434" s="690" t="s">
        <v>2358</v>
      </c>
      <c r="B434" s="688" t="s">
        <v>1228</v>
      </c>
      <c r="C434" s="679" t="s">
        <v>152</v>
      </c>
      <c r="D434" s="679" t="s">
        <v>122</v>
      </c>
      <c r="E434" s="680" t="s">
        <v>303</v>
      </c>
      <c r="F434" s="680"/>
      <c r="G434" s="682" t="e">
        <v>#N/A</v>
      </c>
      <c r="H434" s="3"/>
    </row>
    <row r="435" spans="1:8" ht="15" customHeight="1">
      <c r="A435" s="690" t="s">
        <v>2359</v>
      </c>
      <c r="B435" s="688" t="s">
        <v>1229</v>
      </c>
      <c r="C435" s="679" t="s">
        <v>152</v>
      </c>
      <c r="D435" s="679" t="s">
        <v>124</v>
      </c>
      <c r="E435" s="680" t="s">
        <v>303</v>
      </c>
      <c r="F435" s="680"/>
      <c r="G435" s="682" t="s">
        <v>1154</v>
      </c>
      <c r="H435" s="3"/>
    </row>
    <row r="436" spans="1:8" ht="15" customHeight="1">
      <c r="A436" s="690" t="s">
        <v>2362</v>
      </c>
      <c r="B436" s="688" t="s">
        <v>1179</v>
      </c>
      <c r="C436" s="679" t="s">
        <v>152</v>
      </c>
      <c r="D436" s="679" t="s">
        <v>127</v>
      </c>
      <c r="E436" s="680" t="s">
        <v>303</v>
      </c>
      <c r="F436" s="680"/>
      <c r="G436" s="682" t="s">
        <v>1154</v>
      </c>
      <c r="H436" s="3"/>
    </row>
    <row r="437" spans="1:8" ht="15" customHeight="1">
      <c r="A437" s="690" t="s">
        <v>2365</v>
      </c>
      <c r="B437" s="688" t="s">
        <v>1181</v>
      </c>
      <c r="C437" s="679" t="s">
        <v>152</v>
      </c>
      <c r="D437" s="679" t="s">
        <v>125</v>
      </c>
      <c r="E437" s="680" t="s">
        <v>303</v>
      </c>
      <c r="F437" s="680"/>
      <c r="G437" s="682" t="s">
        <v>1154</v>
      </c>
      <c r="H437" s="3"/>
    </row>
    <row r="438" spans="1:8" ht="15" customHeight="1">
      <c r="A438" s="690" t="s">
        <v>3389</v>
      </c>
      <c r="B438" s="688" t="s">
        <v>1391</v>
      </c>
      <c r="C438" s="679" t="s">
        <v>152</v>
      </c>
      <c r="D438" s="679" t="s">
        <v>126</v>
      </c>
      <c r="E438" s="680" t="s">
        <v>303</v>
      </c>
      <c r="F438" s="680"/>
      <c r="G438" s="682" t="s">
        <v>2</v>
      </c>
      <c r="H438" s="3"/>
    </row>
    <row r="439" spans="1:8" ht="15" customHeight="1">
      <c r="A439" s="690" t="s">
        <v>2368</v>
      </c>
      <c r="B439" s="688" t="s">
        <v>1231</v>
      </c>
      <c r="C439" s="679" t="s">
        <v>152</v>
      </c>
      <c r="D439" s="679" t="s">
        <v>126</v>
      </c>
      <c r="E439" s="680" t="s">
        <v>303</v>
      </c>
      <c r="F439" s="680"/>
      <c r="G439" s="682" t="s">
        <v>1154</v>
      </c>
      <c r="H439" s="3"/>
    </row>
    <row r="440" spans="1:8" ht="15" customHeight="1">
      <c r="A440" s="690" t="s">
        <v>2371</v>
      </c>
      <c r="B440" s="688" t="s">
        <v>803</v>
      </c>
      <c r="C440" s="679"/>
      <c r="D440" s="679"/>
      <c r="E440" s="680" t="s">
        <v>303</v>
      </c>
      <c r="F440" s="680"/>
      <c r="G440" s="682" t="s">
        <v>816</v>
      </c>
      <c r="H440" s="3"/>
    </row>
    <row r="441" spans="1:8" ht="15" customHeight="1">
      <c r="A441" s="690" t="s">
        <v>2374</v>
      </c>
      <c r="B441" s="688" t="s">
        <v>1187</v>
      </c>
      <c r="C441" s="679" t="s">
        <v>152</v>
      </c>
      <c r="D441" s="679" t="s">
        <v>135</v>
      </c>
      <c r="E441" s="680" t="s">
        <v>303</v>
      </c>
      <c r="F441" s="680"/>
      <c r="G441" s="682" t="s">
        <v>1154</v>
      </c>
      <c r="H441" s="3"/>
    </row>
    <row r="442" spans="1:8" ht="15" customHeight="1">
      <c r="A442" s="690" t="s">
        <v>2376</v>
      </c>
      <c r="B442" s="688" t="s">
        <v>1189</v>
      </c>
      <c r="C442" s="679" t="s">
        <v>152</v>
      </c>
      <c r="D442" s="679" t="s">
        <v>136</v>
      </c>
      <c r="E442" s="680" t="s">
        <v>303</v>
      </c>
      <c r="F442" s="680"/>
      <c r="G442" s="680" t="s">
        <v>1154</v>
      </c>
      <c r="H442" s="3"/>
    </row>
    <row r="443" spans="1:8" ht="15" customHeight="1">
      <c r="A443" s="678" t="s">
        <v>2379</v>
      </c>
      <c r="B443" s="678" t="s">
        <v>1191</v>
      </c>
      <c r="C443" s="679" t="s">
        <v>152</v>
      </c>
      <c r="D443" s="679" t="s">
        <v>141</v>
      </c>
      <c r="E443" s="680" t="s">
        <v>303</v>
      </c>
      <c r="F443" s="680"/>
      <c r="G443" s="682" t="s">
        <v>1154</v>
      </c>
      <c r="H443" s="3"/>
    </row>
    <row r="444" spans="1:8" ht="15" customHeight="1">
      <c r="A444" s="690" t="s">
        <v>2382</v>
      </c>
      <c r="B444" s="688" t="s">
        <v>1193</v>
      </c>
      <c r="C444" s="679" t="s">
        <v>152</v>
      </c>
      <c r="D444" s="679" t="s">
        <v>131</v>
      </c>
      <c r="E444" s="680" t="s">
        <v>303</v>
      </c>
      <c r="F444" s="680"/>
      <c r="G444" s="682" t="s">
        <v>1154</v>
      </c>
      <c r="H444" s="3"/>
    </row>
    <row r="445" spans="1:8" ht="15" customHeight="1">
      <c r="A445" s="678" t="s">
        <v>2385</v>
      </c>
      <c r="B445" s="678" t="s">
        <v>1195</v>
      </c>
      <c r="C445" s="679" t="s">
        <v>152</v>
      </c>
      <c r="D445" s="679" t="s">
        <v>139</v>
      </c>
      <c r="E445" s="680" t="s">
        <v>303</v>
      </c>
      <c r="F445" s="686"/>
      <c r="G445" s="682" t="s">
        <v>1154</v>
      </c>
      <c r="H445" s="3"/>
    </row>
    <row r="446" spans="1:8" ht="15" customHeight="1">
      <c r="A446" s="690" t="s">
        <v>2388</v>
      </c>
      <c r="B446" s="688" t="s">
        <v>1197</v>
      </c>
      <c r="C446" s="679" t="s">
        <v>152</v>
      </c>
      <c r="D446" s="679" t="s">
        <v>132</v>
      </c>
      <c r="E446" s="680" t="s">
        <v>303</v>
      </c>
      <c r="F446" s="680"/>
      <c r="G446" s="682" t="s">
        <v>1154</v>
      </c>
      <c r="H446" s="3"/>
    </row>
    <row r="447" spans="1:8" ht="15" customHeight="1">
      <c r="A447" s="678" t="s">
        <v>2391</v>
      </c>
      <c r="B447" s="678" t="s">
        <v>1199</v>
      </c>
      <c r="C447" s="679" t="s">
        <v>152</v>
      </c>
      <c r="D447" s="679" t="s">
        <v>137</v>
      </c>
      <c r="E447" s="680" t="s">
        <v>303</v>
      </c>
      <c r="F447" s="680"/>
      <c r="G447" s="682" t="s">
        <v>1154</v>
      </c>
      <c r="H447" s="3"/>
    </row>
    <row r="448" spans="1:8" ht="15" customHeight="1">
      <c r="A448" s="690" t="s">
        <v>2394</v>
      </c>
      <c r="B448" s="688" t="s">
        <v>1201</v>
      </c>
      <c r="C448" s="679" t="s">
        <v>152</v>
      </c>
      <c r="D448" s="679" t="s">
        <v>138</v>
      </c>
      <c r="E448" s="680" t="s">
        <v>303</v>
      </c>
      <c r="F448" s="680"/>
      <c r="G448" s="682" t="e">
        <v>#N/A</v>
      </c>
      <c r="H448" s="3"/>
    </row>
    <row r="449" spans="1:8" ht="15" customHeight="1">
      <c r="A449" s="690" t="s">
        <v>2397</v>
      </c>
      <c r="B449" s="678" t="s">
        <v>1203</v>
      </c>
      <c r="C449" s="679" t="s">
        <v>152</v>
      </c>
      <c r="D449" s="679" t="s">
        <v>140</v>
      </c>
      <c r="E449" s="680" t="s">
        <v>303</v>
      </c>
      <c r="F449" s="680"/>
      <c r="G449" s="682" t="s">
        <v>1154</v>
      </c>
      <c r="H449" s="3"/>
    </row>
    <row r="450" spans="1:8" ht="15" customHeight="1">
      <c r="A450" s="690" t="s">
        <v>2400</v>
      </c>
      <c r="B450" s="688" t="s">
        <v>1232</v>
      </c>
      <c r="C450" s="679" t="s">
        <v>152</v>
      </c>
      <c r="D450" s="679" t="s">
        <v>133</v>
      </c>
      <c r="E450" s="680" t="s">
        <v>303</v>
      </c>
      <c r="F450" s="680"/>
      <c r="G450" s="682" t="s">
        <v>1154</v>
      </c>
      <c r="H450" s="3"/>
    </row>
    <row r="451" spans="1:8" ht="15" customHeight="1">
      <c r="A451" s="690" t="s">
        <v>3390</v>
      </c>
      <c r="B451" s="688" t="s">
        <v>1233</v>
      </c>
      <c r="C451" s="679" t="s">
        <v>152</v>
      </c>
      <c r="D451" s="679" t="s">
        <v>142</v>
      </c>
      <c r="E451" s="680" t="s">
        <v>303</v>
      </c>
      <c r="F451" s="680"/>
      <c r="G451" s="682" t="s">
        <v>1154</v>
      </c>
      <c r="H451" s="3"/>
    </row>
    <row r="452" spans="1:8" ht="15" customHeight="1">
      <c r="A452" s="690" t="s">
        <v>2403</v>
      </c>
      <c r="B452" s="678" t="s">
        <v>1209</v>
      </c>
      <c r="C452" s="679" t="s">
        <v>152</v>
      </c>
      <c r="D452" s="679" t="s">
        <v>134</v>
      </c>
      <c r="E452" s="680" t="s">
        <v>303</v>
      </c>
      <c r="F452" s="686"/>
      <c r="G452" s="682" t="s">
        <v>1154</v>
      </c>
      <c r="H452" s="3"/>
    </row>
    <row r="453" spans="1:8" ht="15" customHeight="1">
      <c r="A453" s="690" t="s">
        <v>2406</v>
      </c>
      <c r="B453" s="688" t="s">
        <v>1211</v>
      </c>
      <c r="C453" s="679" t="s">
        <v>152</v>
      </c>
      <c r="D453" s="679" t="s">
        <v>221</v>
      </c>
      <c r="E453" s="680" t="s">
        <v>303</v>
      </c>
      <c r="F453" s="680"/>
      <c r="G453" s="682" t="s">
        <v>1154</v>
      </c>
      <c r="H453" s="3"/>
    </row>
    <row r="454" spans="1:8" ht="15" customHeight="1">
      <c r="A454" s="690" t="s">
        <v>2409</v>
      </c>
      <c r="B454" s="688" t="s">
        <v>1389</v>
      </c>
      <c r="C454" s="679" t="s">
        <v>152</v>
      </c>
      <c r="D454" s="679" t="s">
        <v>213</v>
      </c>
      <c r="E454" s="680" t="s">
        <v>303</v>
      </c>
      <c r="F454" s="680"/>
      <c r="G454" s="680" t="s">
        <v>1154</v>
      </c>
      <c r="H454" s="3"/>
    </row>
    <row r="455" spans="1:8" ht="15" customHeight="1">
      <c r="A455" s="690" t="s">
        <v>2412</v>
      </c>
      <c r="B455" s="678" t="s">
        <v>1235</v>
      </c>
      <c r="C455" s="679" t="s">
        <v>152</v>
      </c>
      <c r="D455" s="679" t="s">
        <v>210</v>
      </c>
      <c r="E455" s="680" t="s">
        <v>303</v>
      </c>
      <c r="F455" s="680"/>
      <c r="G455" s="682" t="e">
        <v>#N/A</v>
      </c>
      <c r="H455" s="3"/>
    </row>
    <row r="456" spans="1:8" ht="15" customHeight="1">
      <c r="A456" s="690" t="s">
        <v>2415</v>
      </c>
      <c r="B456" s="688" t="s">
        <v>1236</v>
      </c>
      <c r="C456" s="679" t="s">
        <v>152</v>
      </c>
      <c r="D456" s="679" t="s">
        <v>205</v>
      </c>
      <c r="E456" s="680" t="s">
        <v>303</v>
      </c>
      <c r="F456" s="680"/>
      <c r="G456" s="682" t="s">
        <v>1154</v>
      </c>
      <c r="H456" s="3"/>
    </row>
    <row r="457" spans="1:8" ht="15" customHeight="1">
      <c r="A457" s="690" t="s">
        <v>2418</v>
      </c>
      <c r="B457" s="688" t="s">
        <v>1237</v>
      </c>
      <c r="C457" s="679" t="s">
        <v>152</v>
      </c>
      <c r="D457" s="679" t="s">
        <v>209</v>
      </c>
      <c r="E457" s="680" t="s">
        <v>303</v>
      </c>
      <c r="F457" s="680"/>
      <c r="G457" s="682" t="s">
        <v>1154</v>
      </c>
      <c r="H457" s="3"/>
    </row>
    <row r="458" spans="1:8" ht="15" customHeight="1">
      <c r="A458" s="690" t="s">
        <v>2421</v>
      </c>
      <c r="B458" s="678" t="s">
        <v>1238</v>
      </c>
      <c r="C458" s="679" t="s">
        <v>152</v>
      </c>
      <c r="D458" s="679" t="s">
        <v>206</v>
      </c>
      <c r="E458" s="680" t="s">
        <v>303</v>
      </c>
      <c r="F458" s="680"/>
      <c r="G458" s="682" t="s">
        <v>1154</v>
      </c>
      <c r="H458" s="3"/>
    </row>
    <row r="459" spans="1:8" ht="15" customHeight="1">
      <c r="A459" s="690" t="s">
        <v>2424</v>
      </c>
      <c r="B459" s="688" t="s">
        <v>1239</v>
      </c>
      <c r="C459" s="679" t="s">
        <v>152</v>
      </c>
      <c r="D459" s="679" t="s">
        <v>207</v>
      </c>
      <c r="E459" s="680" t="s">
        <v>303</v>
      </c>
      <c r="F459" s="680"/>
      <c r="G459" s="682" t="s">
        <v>1154</v>
      </c>
      <c r="H459" s="3"/>
    </row>
    <row r="460" spans="1:8" ht="15" customHeight="1">
      <c r="A460" s="690" t="s">
        <v>2427</v>
      </c>
      <c r="B460" s="678" t="s">
        <v>1240</v>
      </c>
      <c r="C460" s="679" t="s">
        <v>152</v>
      </c>
      <c r="D460" s="679" t="s">
        <v>211</v>
      </c>
      <c r="E460" s="680" t="s">
        <v>303</v>
      </c>
      <c r="F460" s="680"/>
      <c r="G460" s="682" t="s">
        <v>1154</v>
      </c>
      <c r="H460" s="3"/>
    </row>
    <row r="461" spans="1:8" ht="15" customHeight="1">
      <c r="A461" s="678" t="s">
        <v>3391</v>
      </c>
      <c r="B461" s="678" t="s">
        <v>1392</v>
      </c>
      <c r="C461" s="679" t="s">
        <v>152</v>
      </c>
      <c r="D461" s="679" t="s">
        <v>214</v>
      </c>
      <c r="E461" s="680" t="s">
        <v>303</v>
      </c>
      <c r="F461" s="680"/>
      <c r="G461" s="680" t="s">
        <v>1154</v>
      </c>
      <c r="H461" s="3"/>
    </row>
    <row r="462" spans="1:8" ht="15" customHeight="1">
      <c r="A462" s="678" t="s">
        <v>3392</v>
      </c>
      <c r="B462" s="678" t="s">
        <v>3315</v>
      </c>
      <c r="C462" s="679" t="s">
        <v>152</v>
      </c>
      <c r="D462" s="679" t="s">
        <v>140</v>
      </c>
      <c r="E462" s="680" t="s">
        <v>303</v>
      </c>
      <c r="F462" s="680"/>
      <c r="G462" s="682" t="s">
        <v>2</v>
      </c>
      <c r="H462" s="3"/>
    </row>
    <row r="463" spans="1:8" ht="15" customHeight="1">
      <c r="A463" s="690" t="s">
        <v>2430</v>
      </c>
      <c r="B463" s="688" t="s">
        <v>1241</v>
      </c>
      <c r="C463" s="679" t="s">
        <v>161</v>
      </c>
      <c r="D463" s="679" t="s">
        <v>130</v>
      </c>
      <c r="E463" s="680" t="s">
        <v>303</v>
      </c>
      <c r="F463" s="680"/>
      <c r="G463" s="682" t="s">
        <v>1154</v>
      </c>
      <c r="H463" s="3"/>
    </row>
    <row r="464" spans="1:8" ht="15" customHeight="1">
      <c r="A464" s="678" t="s">
        <v>2433</v>
      </c>
      <c r="B464" s="678" t="s">
        <v>1243</v>
      </c>
      <c r="C464" s="679" t="s">
        <v>161</v>
      </c>
      <c r="D464" s="679" t="s">
        <v>130</v>
      </c>
      <c r="E464" s="680" t="s">
        <v>303</v>
      </c>
      <c r="F464" s="680"/>
      <c r="G464" s="682" t="s">
        <v>1154</v>
      </c>
      <c r="H464" s="3"/>
    </row>
    <row r="465" spans="1:8" ht="15" customHeight="1">
      <c r="A465" s="690" t="s">
        <v>2436</v>
      </c>
      <c r="B465" s="688" t="s">
        <v>1166</v>
      </c>
      <c r="C465" s="679" t="s">
        <v>161</v>
      </c>
      <c r="D465" s="679" t="s">
        <v>129</v>
      </c>
      <c r="E465" s="680" t="s">
        <v>303</v>
      </c>
      <c r="F465" s="680"/>
      <c r="G465" s="682" t="s">
        <v>2</v>
      </c>
      <c r="H465" s="3"/>
    </row>
    <row r="466" spans="1:8" ht="15" customHeight="1">
      <c r="A466" s="678" t="s">
        <v>2439</v>
      </c>
      <c r="B466" s="678" t="s">
        <v>1169</v>
      </c>
      <c r="C466" s="679" t="s">
        <v>161</v>
      </c>
      <c r="D466" s="679" t="s">
        <v>204</v>
      </c>
      <c r="E466" s="680" t="s">
        <v>303</v>
      </c>
      <c r="F466" s="680"/>
      <c r="G466" s="682" t="s">
        <v>1154</v>
      </c>
      <c r="H466" s="3"/>
    </row>
    <row r="467" spans="1:8" ht="15" customHeight="1">
      <c r="A467" s="690" t="s">
        <v>2442</v>
      </c>
      <c r="B467" s="688" t="s">
        <v>1171</v>
      </c>
      <c r="C467" s="679" t="s">
        <v>161</v>
      </c>
      <c r="D467" s="679" t="s">
        <v>120</v>
      </c>
      <c r="E467" s="680" t="s">
        <v>303</v>
      </c>
      <c r="F467" s="680"/>
      <c r="G467" s="682" t="s">
        <v>1154</v>
      </c>
      <c r="H467" s="3"/>
    </row>
    <row r="468" spans="1:8" ht="15" customHeight="1">
      <c r="A468" s="678" t="s">
        <v>2445</v>
      </c>
      <c r="B468" s="678" t="s">
        <v>1244</v>
      </c>
      <c r="C468" s="679" t="s">
        <v>161</v>
      </c>
      <c r="D468" s="679" t="s">
        <v>121</v>
      </c>
      <c r="E468" s="680" t="s">
        <v>303</v>
      </c>
      <c r="F468" s="680"/>
      <c r="G468" s="682" t="s">
        <v>1154</v>
      </c>
      <c r="H468" s="3"/>
    </row>
    <row r="469" spans="1:8" ht="15" customHeight="1">
      <c r="A469" s="690" t="s">
        <v>2448</v>
      </c>
      <c r="B469" s="688" t="s">
        <v>1175</v>
      </c>
      <c r="C469" s="679" t="s">
        <v>161</v>
      </c>
      <c r="D469" s="679" t="s">
        <v>122</v>
      </c>
      <c r="E469" s="680" t="s">
        <v>303</v>
      </c>
      <c r="F469" s="680"/>
      <c r="G469" s="682" t="s">
        <v>1154</v>
      </c>
      <c r="H469" s="3"/>
    </row>
    <row r="470" spans="1:8" ht="15" customHeight="1">
      <c r="A470" s="678" t="s">
        <v>2451</v>
      </c>
      <c r="B470" s="678" t="s">
        <v>1245</v>
      </c>
      <c r="C470" s="679" t="s">
        <v>161</v>
      </c>
      <c r="D470" s="679" t="s">
        <v>123</v>
      </c>
      <c r="E470" s="680" t="s">
        <v>303</v>
      </c>
      <c r="F470" s="680"/>
      <c r="G470" s="682" t="s">
        <v>1154</v>
      </c>
      <c r="H470" s="3"/>
    </row>
    <row r="471" spans="1:8" ht="15" customHeight="1">
      <c r="A471" s="690" t="s">
        <v>2454</v>
      </c>
      <c r="B471" s="688" t="s">
        <v>1247</v>
      </c>
      <c r="C471" s="679" t="s">
        <v>161</v>
      </c>
      <c r="D471" s="679" t="s">
        <v>124</v>
      </c>
      <c r="E471" s="680" t="s">
        <v>303</v>
      </c>
      <c r="F471" s="680"/>
      <c r="G471" s="682" t="s">
        <v>1154</v>
      </c>
      <c r="H471" s="3"/>
    </row>
    <row r="472" spans="1:8" ht="15" customHeight="1">
      <c r="A472" s="678" t="s">
        <v>2457</v>
      </c>
      <c r="B472" s="678" t="s">
        <v>1179</v>
      </c>
      <c r="C472" s="679" t="s">
        <v>161</v>
      </c>
      <c r="D472" s="679" t="s">
        <v>127</v>
      </c>
      <c r="E472" s="680" t="s">
        <v>303</v>
      </c>
      <c r="F472" s="680"/>
      <c r="G472" s="682" t="s">
        <v>1154</v>
      </c>
      <c r="H472" s="3"/>
    </row>
    <row r="473" spans="1:8" ht="15" customHeight="1">
      <c r="A473" s="690" t="s">
        <v>2460</v>
      </c>
      <c r="B473" s="688" t="s">
        <v>1181</v>
      </c>
      <c r="C473" s="679" t="s">
        <v>161</v>
      </c>
      <c r="D473" s="679" t="s">
        <v>125</v>
      </c>
      <c r="E473" s="680" t="s">
        <v>303</v>
      </c>
      <c r="F473" s="680"/>
      <c r="G473" s="682" t="s">
        <v>1154</v>
      </c>
      <c r="H473" s="3"/>
    </row>
    <row r="474" spans="1:8" ht="15" customHeight="1">
      <c r="A474" s="678" t="s">
        <v>2463</v>
      </c>
      <c r="B474" s="678" t="s">
        <v>1248</v>
      </c>
      <c r="C474" s="679" t="s">
        <v>161</v>
      </c>
      <c r="D474" s="679" t="s">
        <v>126</v>
      </c>
      <c r="E474" s="680" t="s">
        <v>303</v>
      </c>
      <c r="F474" s="680"/>
      <c r="G474" s="682" t="s">
        <v>1154</v>
      </c>
      <c r="H474" s="3"/>
    </row>
    <row r="475" spans="1:8" ht="15" customHeight="1">
      <c r="A475" s="690" t="s">
        <v>2466</v>
      </c>
      <c r="B475" s="688" t="s">
        <v>1231</v>
      </c>
      <c r="C475" s="679" t="s">
        <v>161</v>
      </c>
      <c r="D475" s="679" t="s">
        <v>126</v>
      </c>
      <c r="E475" s="680" t="s">
        <v>303</v>
      </c>
      <c r="F475" s="680"/>
      <c r="G475" s="682" t="s">
        <v>2</v>
      </c>
      <c r="H475" s="3"/>
    </row>
    <row r="476" spans="1:8" ht="15" customHeight="1">
      <c r="A476" s="678" t="s">
        <v>2469</v>
      </c>
      <c r="B476" s="678" t="s">
        <v>804</v>
      </c>
      <c r="C476" s="679"/>
      <c r="D476" s="679"/>
      <c r="E476" s="680" t="s">
        <v>303</v>
      </c>
      <c r="F476" s="680"/>
      <c r="G476" s="682" t="s">
        <v>816</v>
      </c>
      <c r="H476" s="3"/>
    </row>
    <row r="477" spans="1:8" ht="15" customHeight="1">
      <c r="A477" s="690" t="s">
        <v>2472</v>
      </c>
      <c r="B477" s="688" t="s">
        <v>1249</v>
      </c>
      <c r="C477" s="679" t="s">
        <v>161</v>
      </c>
      <c r="D477" s="679" t="s">
        <v>130</v>
      </c>
      <c r="E477" s="680" t="s">
        <v>303</v>
      </c>
      <c r="F477" s="680"/>
      <c r="G477" s="682" t="s">
        <v>1154</v>
      </c>
      <c r="H477" s="3"/>
    </row>
    <row r="478" spans="1:8" ht="15" customHeight="1">
      <c r="A478" s="690" t="s">
        <v>2475</v>
      </c>
      <c r="B478" s="688" t="s">
        <v>1187</v>
      </c>
      <c r="C478" s="679" t="s">
        <v>161</v>
      </c>
      <c r="D478" s="679" t="s">
        <v>135</v>
      </c>
      <c r="E478" s="680" t="s">
        <v>303</v>
      </c>
      <c r="F478" s="680"/>
      <c r="G478" s="682" t="e">
        <v>#N/A</v>
      </c>
      <c r="H478" s="3"/>
    </row>
    <row r="479" spans="1:8" ht="15" customHeight="1">
      <c r="A479" s="678" t="s">
        <v>2478</v>
      </c>
      <c r="B479" s="678" t="s">
        <v>1189</v>
      </c>
      <c r="C479" s="679" t="s">
        <v>161</v>
      </c>
      <c r="D479" s="679" t="s">
        <v>136</v>
      </c>
      <c r="E479" s="680" t="s">
        <v>303</v>
      </c>
      <c r="F479" s="680"/>
      <c r="G479" s="682" t="s">
        <v>1154</v>
      </c>
      <c r="H479" s="3"/>
    </row>
    <row r="480" spans="1:8" ht="15" customHeight="1">
      <c r="A480" s="690" t="s">
        <v>2481</v>
      </c>
      <c r="B480" s="688" t="s">
        <v>1191</v>
      </c>
      <c r="C480" s="679" t="s">
        <v>161</v>
      </c>
      <c r="D480" s="679" t="s">
        <v>141</v>
      </c>
      <c r="E480" s="680" t="s">
        <v>303</v>
      </c>
      <c r="F480" s="680"/>
      <c r="G480" s="682" t="s">
        <v>1154</v>
      </c>
      <c r="H480" s="3"/>
    </row>
    <row r="481" spans="1:8" ht="15" customHeight="1">
      <c r="A481" s="678" t="s">
        <v>2484</v>
      </c>
      <c r="B481" s="678" t="s">
        <v>1250</v>
      </c>
      <c r="C481" s="679" t="s">
        <v>161</v>
      </c>
      <c r="D481" s="679" t="s">
        <v>131</v>
      </c>
      <c r="E481" s="680" t="s">
        <v>303</v>
      </c>
      <c r="F481" s="680"/>
      <c r="G481" s="682" t="s">
        <v>1154</v>
      </c>
      <c r="H481" s="3"/>
    </row>
    <row r="482" spans="1:8" ht="15" customHeight="1">
      <c r="A482" s="690" t="s">
        <v>2487</v>
      </c>
      <c r="B482" s="688" t="s">
        <v>1195</v>
      </c>
      <c r="C482" s="679" t="s">
        <v>161</v>
      </c>
      <c r="D482" s="679" t="s">
        <v>139</v>
      </c>
      <c r="E482" s="680" t="s">
        <v>303</v>
      </c>
      <c r="F482" s="680"/>
      <c r="G482" s="682" t="s">
        <v>1154</v>
      </c>
      <c r="H482" s="3"/>
    </row>
    <row r="483" spans="1:8" ht="15" customHeight="1">
      <c r="A483" s="678" t="s">
        <v>2490</v>
      </c>
      <c r="B483" s="678" t="s">
        <v>1197</v>
      </c>
      <c r="C483" s="679" t="s">
        <v>161</v>
      </c>
      <c r="D483" s="679" t="s">
        <v>132</v>
      </c>
      <c r="E483" s="680" t="s">
        <v>303</v>
      </c>
      <c r="F483" s="680"/>
      <c r="G483" s="682" t="s">
        <v>1154</v>
      </c>
      <c r="H483" s="3"/>
    </row>
    <row r="484" spans="1:8" ht="15" customHeight="1">
      <c r="A484" s="690" t="s">
        <v>2493</v>
      </c>
      <c r="B484" s="688" t="s">
        <v>1199</v>
      </c>
      <c r="C484" s="679" t="s">
        <v>161</v>
      </c>
      <c r="D484" s="679" t="s">
        <v>137</v>
      </c>
      <c r="E484" s="680" t="s">
        <v>303</v>
      </c>
      <c r="F484" s="680"/>
      <c r="G484" s="682" t="s">
        <v>1154</v>
      </c>
      <c r="H484" s="3"/>
    </row>
    <row r="485" spans="1:8" ht="15" customHeight="1">
      <c r="A485" s="678" t="s">
        <v>2496</v>
      </c>
      <c r="B485" s="678" t="s">
        <v>1201</v>
      </c>
      <c r="C485" s="679" t="s">
        <v>161</v>
      </c>
      <c r="D485" s="679" t="s">
        <v>138</v>
      </c>
      <c r="E485" s="680" t="s">
        <v>303</v>
      </c>
      <c r="F485" s="680"/>
      <c r="G485" s="682" t="s">
        <v>1154</v>
      </c>
      <c r="H485" s="3"/>
    </row>
    <row r="486" spans="1:8" ht="15" customHeight="1">
      <c r="A486" s="690" t="s">
        <v>2499</v>
      </c>
      <c r="B486" s="688" t="s">
        <v>1203</v>
      </c>
      <c r="C486" s="679" t="s">
        <v>161</v>
      </c>
      <c r="D486" s="679" t="s">
        <v>140</v>
      </c>
      <c r="E486" s="680" t="s">
        <v>303</v>
      </c>
      <c r="F486" s="680"/>
      <c r="G486" s="682" t="s">
        <v>1154</v>
      </c>
      <c r="H486" s="3"/>
    </row>
    <row r="487" spans="1:8" ht="15" customHeight="1">
      <c r="A487" s="690" t="s">
        <v>2502</v>
      </c>
      <c r="B487" s="688" t="s">
        <v>1251</v>
      </c>
      <c r="C487" s="679" t="s">
        <v>161</v>
      </c>
      <c r="D487" s="679" t="s">
        <v>133</v>
      </c>
      <c r="E487" s="680" t="s">
        <v>303</v>
      </c>
      <c r="F487" s="680"/>
      <c r="G487" s="682" t="s">
        <v>1154</v>
      </c>
      <c r="H487" s="3"/>
    </row>
    <row r="488" spans="1:8" ht="15" customHeight="1">
      <c r="A488" s="690" t="s">
        <v>3393</v>
      </c>
      <c r="B488" s="688" t="s">
        <v>1252</v>
      </c>
      <c r="C488" s="679" t="s">
        <v>161</v>
      </c>
      <c r="D488" s="679" t="s">
        <v>142</v>
      </c>
      <c r="E488" s="680" t="s">
        <v>303</v>
      </c>
      <c r="F488" s="680"/>
      <c r="G488" s="682" t="s">
        <v>1154</v>
      </c>
      <c r="H488" s="3"/>
    </row>
    <row r="489" spans="1:8" ht="15" customHeight="1">
      <c r="A489" s="678" t="s">
        <v>2505</v>
      </c>
      <c r="B489" s="678" t="s">
        <v>1209</v>
      </c>
      <c r="C489" s="679" t="s">
        <v>161</v>
      </c>
      <c r="D489" s="679" t="s">
        <v>134</v>
      </c>
      <c r="E489" s="680" t="s">
        <v>303</v>
      </c>
      <c r="F489" s="680"/>
      <c r="G489" s="682" t="s">
        <v>1154</v>
      </c>
      <c r="H489" s="3"/>
    </row>
    <row r="490" spans="1:8" ht="15" customHeight="1">
      <c r="A490" s="690" t="s">
        <v>2508</v>
      </c>
      <c r="B490" s="688" t="s">
        <v>1211</v>
      </c>
      <c r="C490" s="679" t="s">
        <v>161</v>
      </c>
      <c r="D490" s="679" t="s">
        <v>221</v>
      </c>
      <c r="E490" s="680" t="s">
        <v>303</v>
      </c>
      <c r="F490" s="680"/>
      <c r="G490" s="682" t="e">
        <v>#N/A</v>
      </c>
      <c r="H490" s="3"/>
    </row>
    <row r="491" spans="1:8" ht="15" customHeight="1">
      <c r="A491" s="678" t="s">
        <v>2511</v>
      </c>
      <c r="B491" s="678" t="s">
        <v>1389</v>
      </c>
      <c r="C491" s="679" t="s">
        <v>161</v>
      </c>
      <c r="D491" s="679" t="s">
        <v>213</v>
      </c>
      <c r="E491" s="680" t="s">
        <v>303</v>
      </c>
      <c r="F491" s="680"/>
      <c r="G491" s="680" t="s">
        <v>1154</v>
      </c>
      <c r="H491" s="3"/>
    </row>
    <row r="492" spans="1:8" ht="15" customHeight="1">
      <c r="A492" s="690" t="s">
        <v>2514</v>
      </c>
      <c r="B492" s="688" t="s">
        <v>1254</v>
      </c>
      <c r="C492" s="679" t="s">
        <v>161</v>
      </c>
      <c r="D492" s="679" t="s">
        <v>212</v>
      </c>
      <c r="E492" s="680" t="s">
        <v>303</v>
      </c>
      <c r="F492" s="680"/>
      <c r="G492" s="682" t="s">
        <v>1154</v>
      </c>
      <c r="H492" s="3"/>
    </row>
    <row r="493" spans="1:8" ht="15" customHeight="1">
      <c r="A493" s="690" t="s">
        <v>2517</v>
      </c>
      <c r="B493" s="688" t="s">
        <v>1256</v>
      </c>
      <c r="C493" s="679" t="s">
        <v>161</v>
      </c>
      <c r="D493" s="679" t="s">
        <v>210</v>
      </c>
      <c r="E493" s="680" t="s">
        <v>303</v>
      </c>
      <c r="F493" s="680"/>
      <c r="G493" s="682" t="s">
        <v>1154</v>
      </c>
      <c r="H493" s="3"/>
    </row>
    <row r="494" spans="1:8" ht="15" customHeight="1">
      <c r="A494" s="690" t="s">
        <v>2520</v>
      </c>
      <c r="B494" s="688" t="s">
        <v>1257</v>
      </c>
      <c r="C494" s="679" t="s">
        <v>161</v>
      </c>
      <c r="D494" s="679" t="s">
        <v>205</v>
      </c>
      <c r="E494" s="680" t="s">
        <v>303</v>
      </c>
      <c r="F494" s="680"/>
      <c r="G494" s="682" t="s">
        <v>1154</v>
      </c>
      <c r="H494" s="3"/>
    </row>
    <row r="495" spans="1:8" ht="15" customHeight="1">
      <c r="A495" s="678" t="s">
        <v>2523</v>
      </c>
      <c r="B495" s="678" t="s">
        <v>1258</v>
      </c>
      <c r="C495" s="679" t="s">
        <v>161</v>
      </c>
      <c r="D495" s="679" t="s">
        <v>209</v>
      </c>
      <c r="E495" s="680" t="s">
        <v>303</v>
      </c>
      <c r="F495" s="680"/>
      <c r="G495" s="682" t="s">
        <v>1154</v>
      </c>
      <c r="H495" s="3"/>
    </row>
    <row r="496" spans="1:8" ht="15" customHeight="1">
      <c r="A496" s="690" t="s">
        <v>2526</v>
      </c>
      <c r="B496" s="688" t="s">
        <v>1259</v>
      </c>
      <c r="C496" s="679" t="s">
        <v>161</v>
      </c>
      <c r="D496" s="679" t="s">
        <v>206</v>
      </c>
      <c r="E496" s="680" t="s">
        <v>303</v>
      </c>
      <c r="F496" s="680"/>
      <c r="G496" s="682" t="s">
        <v>1154</v>
      </c>
      <c r="H496" s="3"/>
    </row>
    <row r="497" spans="1:8" ht="15" customHeight="1">
      <c r="A497" s="690" t="s">
        <v>2529</v>
      </c>
      <c r="B497" s="688" t="s">
        <v>1260</v>
      </c>
      <c r="C497" s="679" t="s">
        <v>161</v>
      </c>
      <c r="D497" s="679" t="s">
        <v>207</v>
      </c>
      <c r="E497" s="680" t="s">
        <v>303</v>
      </c>
      <c r="F497" s="680"/>
      <c r="G497" s="682" t="e">
        <v>#N/A</v>
      </c>
      <c r="H497" s="3"/>
    </row>
    <row r="498" spans="1:8" ht="15" customHeight="1">
      <c r="A498" s="690" t="s">
        <v>2532</v>
      </c>
      <c r="B498" s="688" t="s">
        <v>1261</v>
      </c>
      <c r="C498" s="679" t="s">
        <v>161</v>
      </c>
      <c r="D498" s="679" t="s">
        <v>211</v>
      </c>
      <c r="E498" s="680" t="s">
        <v>303</v>
      </c>
      <c r="F498" s="680"/>
      <c r="G498" s="682" t="e">
        <v>#N/A</v>
      </c>
      <c r="H498" s="3"/>
    </row>
    <row r="499" spans="1:8" ht="15" customHeight="1">
      <c r="A499" s="678" t="s">
        <v>3394</v>
      </c>
      <c r="B499" s="678" t="s">
        <v>1393</v>
      </c>
      <c r="C499" s="679" t="s">
        <v>161</v>
      </c>
      <c r="D499" s="679" t="s">
        <v>214</v>
      </c>
      <c r="E499" s="680" t="s">
        <v>303</v>
      </c>
      <c r="F499" s="680"/>
      <c r="G499" s="680" t="s">
        <v>1154</v>
      </c>
      <c r="H499" s="3"/>
    </row>
    <row r="500" spans="1:8" ht="15" customHeight="1">
      <c r="A500" s="696" t="s">
        <v>3395</v>
      </c>
      <c r="B500" s="696" t="s">
        <v>1262</v>
      </c>
      <c r="C500" s="679" t="s">
        <v>161</v>
      </c>
      <c r="D500" s="679" t="s">
        <v>140</v>
      </c>
      <c r="E500" s="680" t="s">
        <v>303</v>
      </c>
      <c r="F500" s="680"/>
      <c r="G500" s="682" t="s">
        <v>1154</v>
      </c>
      <c r="H500" s="3"/>
    </row>
    <row r="501" spans="1:8" ht="15" customHeight="1">
      <c r="A501" s="678" t="s">
        <v>2535</v>
      </c>
      <c r="B501" s="678" t="s">
        <v>1158</v>
      </c>
      <c r="C501" s="679" t="s">
        <v>176</v>
      </c>
      <c r="D501" s="679" t="s">
        <v>130</v>
      </c>
      <c r="E501" s="680" t="s">
        <v>303</v>
      </c>
      <c r="F501" s="680"/>
      <c r="G501" s="682" t="s">
        <v>1154</v>
      </c>
      <c r="H501" s="3"/>
    </row>
    <row r="502" spans="1:8" ht="15" customHeight="1">
      <c r="A502" s="690" t="s">
        <v>2538</v>
      </c>
      <c r="B502" s="688" t="s">
        <v>805</v>
      </c>
      <c r="C502" s="679"/>
      <c r="D502" s="679"/>
      <c r="E502" s="680" t="s">
        <v>303</v>
      </c>
      <c r="F502" s="680"/>
      <c r="G502" s="682" t="s">
        <v>816</v>
      </c>
      <c r="H502" s="3"/>
    </row>
    <row r="503" spans="1:8" ht="15" customHeight="1">
      <c r="A503" s="690" t="s">
        <v>2541</v>
      </c>
      <c r="B503" s="688" t="s">
        <v>1166</v>
      </c>
      <c r="C503" s="679" t="s">
        <v>176</v>
      </c>
      <c r="D503" s="679" t="s">
        <v>129</v>
      </c>
      <c r="E503" s="680" t="s">
        <v>303</v>
      </c>
      <c r="F503" s="680"/>
      <c r="G503" s="682" t="s">
        <v>1154</v>
      </c>
      <c r="H503" s="3"/>
    </row>
    <row r="504" spans="1:8" ht="15" customHeight="1">
      <c r="A504" s="690" t="s">
        <v>2544</v>
      </c>
      <c r="B504" s="678" t="s">
        <v>806</v>
      </c>
      <c r="C504" s="679"/>
      <c r="D504" s="679"/>
      <c r="E504" s="680" t="s">
        <v>303</v>
      </c>
      <c r="F504" s="680"/>
      <c r="G504" s="682" t="s">
        <v>816</v>
      </c>
      <c r="H504" s="3"/>
    </row>
    <row r="505" spans="1:8" ht="15" customHeight="1">
      <c r="A505" s="690" t="s">
        <v>2547</v>
      </c>
      <c r="B505" s="688" t="s">
        <v>1169</v>
      </c>
      <c r="C505" s="679" t="s">
        <v>176</v>
      </c>
      <c r="D505" s="679" t="s">
        <v>204</v>
      </c>
      <c r="E505" s="680" t="s">
        <v>303</v>
      </c>
      <c r="F505" s="680"/>
      <c r="G505" s="682" t="s">
        <v>1154</v>
      </c>
      <c r="H505" s="3"/>
    </row>
    <row r="506" spans="1:8" ht="15" customHeight="1">
      <c r="A506" s="690" t="s">
        <v>2550</v>
      </c>
      <c r="B506" s="688" t="s">
        <v>1171</v>
      </c>
      <c r="C506" s="679" t="s">
        <v>176</v>
      </c>
      <c r="D506" s="679" t="s">
        <v>120</v>
      </c>
      <c r="E506" s="680" t="s">
        <v>303</v>
      </c>
      <c r="F506" s="680"/>
      <c r="G506" s="682" t="s">
        <v>1154</v>
      </c>
      <c r="H506" s="3"/>
    </row>
    <row r="507" spans="1:8" ht="15" customHeight="1">
      <c r="A507" s="690" t="s">
        <v>2553</v>
      </c>
      <c r="B507" s="688" t="s">
        <v>1244</v>
      </c>
      <c r="C507" s="679" t="s">
        <v>176</v>
      </c>
      <c r="D507" s="679" t="s">
        <v>121</v>
      </c>
      <c r="E507" s="680" t="s">
        <v>303</v>
      </c>
      <c r="F507" s="680"/>
      <c r="G507" s="682" t="s">
        <v>1154</v>
      </c>
      <c r="H507" s="3"/>
    </row>
    <row r="508" spans="1:8" ht="15" customHeight="1">
      <c r="A508" s="690" t="s">
        <v>2556</v>
      </c>
      <c r="B508" s="688" t="s">
        <v>1175</v>
      </c>
      <c r="C508" s="679" t="s">
        <v>176</v>
      </c>
      <c r="D508" s="679" t="s">
        <v>122</v>
      </c>
      <c r="E508" s="680" t="s">
        <v>303</v>
      </c>
      <c r="F508" s="680"/>
      <c r="G508" s="682" t="s">
        <v>1154</v>
      </c>
      <c r="H508" s="3"/>
    </row>
    <row r="509" spans="1:8" ht="15" customHeight="1">
      <c r="A509" s="690" t="s">
        <v>2559</v>
      </c>
      <c r="B509" s="688" t="s">
        <v>1245</v>
      </c>
      <c r="C509" s="679" t="s">
        <v>176</v>
      </c>
      <c r="D509" s="679" t="s">
        <v>123</v>
      </c>
      <c r="E509" s="680" t="s">
        <v>303</v>
      </c>
      <c r="F509" s="680"/>
      <c r="G509" s="682" t="s">
        <v>1154</v>
      </c>
      <c r="H509" s="3"/>
    </row>
    <row r="510" spans="1:8" ht="15" customHeight="1">
      <c r="A510" s="690" t="s">
        <v>2562</v>
      </c>
      <c r="B510" s="678" t="s">
        <v>1229</v>
      </c>
      <c r="C510" s="679" t="s">
        <v>176</v>
      </c>
      <c r="D510" s="679" t="s">
        <v>124</v>
      </c>
      <c r="E510" s="680" t="s">
        <v>303</v>
      </c>
      <c r="F510" s="680"/>
      <c r="G510" s="682" t="s">
        <v>1154</v>
      </c>
      <c r="H510" s="3"/>
    </row>
    <row r="511" spans="1:8" ht="15" customHeight="1">
      <c r="A511" s="690" t="s">
        <v>2565</v>
      </c>
      <c r="B511" s="688" t="s">
        <v>1179</v>
      </c>
      <c r="C511" s="679" t="s">
        <v>176</v>
      </c>
      <c r="D511" s="679" t="s">
        <v>127</v>
      </c>
      <c r="E511" s="680" t="s">
        <v>303</v>
      </c>
      <c r="F511" s="680"/>
      <c r="G511" s="682" t="s">
        <v>1154</v>
      </c>
      <c r="H511" s="3"/>
    </row>
    <row r="512" spans="1:8" ht="15" customHeight="1">
      <c r="A512" s="690" t="s">
        <v>2568</v>
      </c>
      <c r="B512" s="688" t="s">
        <v>1181</v>
      </c>
      <c r="C512" s="679" t="s">
        <v>176</v>
      </c>
      <c r="D512" s="679" t="s">
        <v>125</v>
      </c>
      <c r="E512" s="680" t="s">
        <v>303</v>
      </c>
      <c r="F512" s="680"/>
      <c r="G512" s="682" t="s">
        <v>1154</v>
      </c>
      <c r="H512" s="3"/>
    </row>
    <row r="513" spans="1:29" ht="15" customHeight="1">
      <c r="A513" s="690" t="s">
        <v>3396</v>
      </c>
      <c r="B513" s="688" t="s">
        <v>1394</v>
      </c>
      <c r="C513" s="679" t="s">
        <v>176</v>
      </c>
      <c r="D513" s="679" t="s">
        <v>126</v>
      </c>
      <c r="E513" s="680" t="s">
        <v>303</v>
      </c>
      <c r="F513" s="680"/>
      <c r="G513" s="682" t="s">
        <v>1154</v>
      </c>
      <c r="H513" s="3"/>
    </row>
    <row r="514" spans="1:29" ht="15" customHeight="1">
      <c r="A514" s="690" t="s">
        <v>2571</v>
      </c>
      <c r="B514" s="688" t="s">
        <v>1231</v>
      </c>
      <c r="C514" s="679" t="s">
        <v>176</v>
      </c>
      <c r="D514" s="679" t="s">
        <v>126</v>
      </c>
      <c r="E514" s="680" t="s">
        <v>303</v>
      </c>
      <c r="F514" s="680"/>
      <c r="G514" s="682" t="s">
        <v>2</v>
      </c>
      <c r="H514" s="3"/>
    </row>
    <row r="515" spans="1:29" ht="15" customHeight="1">
      <c r="A515" s="690" t="s">
        <v>2574</v>
      </c>
      <c r="B515" s="688" t="s">
        <v>807</v>
      </c>
      <c r="C515" s="679"/>
      <c r="D515" s="679"/>
      <c r="E515" s="680" t="s">
        <v>303</v>
      </c>
      <c r="F515" s="680"/>
      <c r="G515" s="682" t="e">
        <v>#N/A</v>
      </c>
      <c r="H515" s="3"/>
    </row>
    <row r="516" spans="1:29" ht="15" customHeight="1">
      <c r="A516" s="690" t="s">
        <v>3685</v>
      </c>
      <c r="B516" s="688" t="s">
        <v>1249</v>
      </c>
      <c r="C516" s="679" t="s">
        <v>161</v>
      </c>
      <c r="D516" s="679" t="s">
        <v>130</v>
      </c>
      <c r="E516" s="680" t="s">
        <v>303</v>
      </c>
      <c r="F516" s="680"/>
      <c r="G516" s="682" t="s">
        <v>1154</v>
      </c>
      <c r="H516" s="3"/>
    </row>
    <row r="517" spans="1:29" ht="15" customHeight="1">
      <c r="A517" s="690" t="s">
        <v>2577</v>
      </c>
      <c r="B517" s="688" t="s">
        <v>1187</v>
      </c>
      <c r="C517" s="679" t="s">
        <v>176</v>
      </c>
      <c r="D517" s="679" t="s">
        <v>135</v>
      </c>
      <c r="E517" s="680" t="s">
        <v>303</v>
      </c>
      <c r="F517" s="680"/>
      <c r="G517" s="682" t="s">
        <v>1154</v>
      </c>
      <c r="H517" s="3"/>
    </row>
    <row r="518" spans="1:29" ht="15" customHeight="1">
      <c r="A518" s="690" t="s">
        <v>2580</v>
      </c>
      <c r="B518" s="678" t="s">
        <v>1395</v>
      </c>
      <c r="C518" s="679" t="s">
        <v>176</v>
      </c>
      <c r="D518" s="679" t="s">
        <v>136</v>
      </c>
      <c r="E518" s="680" t="s">
        <v>303</v>
      </c>
      <c r="F518" s="680"/>
      <c r="G518" s="680" t="s">
        <v>1154</v>
      </c>
      <c r="H518" s="3"/>
    </row>
    <row r="519" spans="1:29" ht="15" customHeight="1">
      <c r="A519" s="690" t="s">
        <v>2583</v>
      </c>
      <c r="B519" s="688" t="s">
        <v>1191</v>
      </c>
      <c r="C519" s="679" t="s">
        <v>176</v>
      </c>
      <c r="D519" s="679" t="s">
        <v>141</v>
      </c>
      <c r="E519" s="680" t="s">
        <v>303</v>
      </c>
      <c r="F519" s="680"/>
      <c r="G519" s="682" t="s">
        <v>1154</v>
      </c>
      <c r="H519" s="3"/>
    </row>
    <row r="520" spans="1:29" ht="15" customHeight="1">
      <c r="A520" s="690" t="s">
        <v>2586</v>
      </c>
      <c r="B520" s="688" t="s">
        <v>1193</v>
      </c>
      <c r="C520" s="679" t="s">
        <v>176</v>
      </c>
      <c r="D520" s="679" t="s">
        <v>131</v>
      </c>
      <c r="E520" s="680" t="s">
        <v>303</v>
      </c>
      <c r="F520" s="680"/>
      <c r="G520" s="682" t="s">
        <v>1154</v>
      </c>
      <c r="H520" s="3"/>
    </row>
    <row r="521" spans="1:29" ht="15" customHeight="1">
      <c r="A521" s="690" t="s">
        <v>2589</v>
      </c>
      <c r="B521" s="678" t="s">
        <v>1195</v>
      </c>
      <c r="C521" s="679" t="s">
        <v>176</v>
      </c>
      <c r="D521" s="679" t="s">
        <v>139</v>
      </c>
      <c r="E521" s="680" t="s">
        <v>303</v>
      </c>
      <c r="F521" s="680"/>
      <c r="G521" s="682" t="s">
        <v>1154</v>
      </c>
      <c r="H521" s="3"/>
    </row>
    <row r="522" spans="1:29" ht="15" customHeight="1">
      <c r="A522" s="690" t="s">
        <v>1267</v>
      </c>
      <c r="B522" s="678" t="s">
        <v>808</v>
      </c>
      <c r="C522" s="679"/>
      <c r="D522" s="679"/>
      <c r="E522" s="680" t="s">
        <v>303</v>
      </c>
      <c r="F522" s="686"/>
      <c r="G522" s="682" t="e">
        <v>#N/A</v>
      </c>
      <c r="H522" s="3"/>
      <c r="I522" s="3"/>
      <c r="J522" s="3"/>
      <c r="L522" s="3"/>
      <c r="M522" s="3"/>
      <c r="N522" s="3"/>
      <c r="O522" s="3"/>
      <c r="P522" s="3"/>
      <c r="Q522" s="3"/>
      <c r="R522" s="3"/>
      <c r="S522" s="3"/>
      <c r="T522" s="3"/>
      <c r="U522" s="3"/>
      <c r="V522" s="3"/>
      <c r="W522" s="3"/>
      <c r="X522" s="3"/>
      <c r="Y522" s="3"/>
      <c r="Z522" s="3"/>
      <c r="AA522" s="3"/>
      <c r="AB522" s="3"/>
      <c r="AC522" s="3"/>
    </row>
    <row r="523" spans="1:29" ht="15" customHeight="1">
      <c r="A523" s="690" t="s">
        <v>2594</v>
      </c>
      <c r="B523" s="688" t="s">
        <v>1197</v>
      </c>
      <c r="C523" s="679" t="s">
        <v>176</v>
      </c>
      <c r="D523" s="679" t="s">
        <v>132</v>
      </c>
      <c r="E523" s="680" t="s">
        <v>303</v>
      </c>
      <c r="F523" s="680"/>
      <c r="G523" s="682" t="s">
        <v>1154</v>
      </c>
      <c r="H523" s="3"/>
      <c r="I523" s="3"/>
      <c r="J523" s="3"/>
      <c r="L523" s="3"/>
      <c r="M523" s="3"/>
      <c r="N523" s="3"/>
      <c r="O523" s="3"/>
      <c r="P523" s="3"/>
      <c r="Q523" s="3"/>
      <c r="R523" s="3"/>
      <c r="S523" s="3"/>
      <c r="T523" s="3"/>
      <c r="U523" s="3"/>
      <c r="V523" s="3"/>
      <c r="W523" s="3"/>
      <c r="X523" s="3"/>
      <c r="Y523" s="3"/>
      <c r="Z523" s="3"/>
      <c r="AA523" s="3"/>
      <c r="AB523" s="3"/>
      <c r="AC523" s="3"/>
    </row>
    <row r="524" spans="1:29" ht="13.5" customHeight="1">
      <c r="A524" s="690" t="s">
        <v>2597</v>
      </c>
      <c r="B524" s="678" t="s">
        <v>1199</v>
      </c>
      <c r="C524" s="679" t="s">
        <v>176</v>
      </c>
      <c r="D524" s="679" t="s">
        <v>137</v>
      </c>
      <c r="E524" s="680" t="s">
        <v>303</v>
      </c>
      <c r="F524" s="686"/>
      <c r="G524" s="682" t="s">
        <v>1154</v>
      </c>
      <c r="H524" s="3"/>
    </row>
    <row r="525" spans="1:29" ht="15" customHeight="1">
      <c r="A525" s="690" t="s">
        <v>2600</v>
      </c>
      <c r="B525" s="688" t="s">
        <v>1201</v>
      </c>
      <c r="C525" s="679" t="s">
        <v>176</v>
      </c>
      <c r="D525" s="679" t="s">
        <v>138</v>
      </c>
      <c r="E525" s="680" t="s">
        <v>303</v>
      </c>
      <c r="F525" s="680"/>
      <c r="G525" s="682" t="s">
        <v>1154</v>
      </c>
      <c r="H525" s="3"/>
    </row>
    <row r="526" spans="1:29" ht="15" customHeight="1">
      <c r="A526" s="690" t="s">
        <v>2603</v>
      </c>
      <c r="B526" s="678" t="s">
        <v>1203</v>
      </c>
      <c r="C526" s="679" t="s">
        <v>176</v>
      </c>
      <c r="D526" s="679" t="s">
        <v>140</v>
      </c>
      <c r="E526" s="680" t="s">
        <v>303</v>
      </c>
      <c r="F526" s="686"/>
      <c r="G526" s="682" t="s">
        <v>1154</v>
      </c>
      <c r="H526" s="3"/>
    </row>
    <row r="527" spans="1:29" ht="15" customHeight="1">
      <c r="A527" s="690" t="s">
        <v>2606</v>
      </c>
      <c r="B527" s="678" t="s">
        <v>1265</v>
      </c>
      <c r="C527" s="679" t="s">
        <v>176</v>
      </c>
      <c r="D527" s="679" t="s">
        <v>133</v>
      </c>
      <c r="E527" s="680" t="s">
        <v>303</v>
      </c>
      <c r="F527" s="680"/>
      <c r="G527" s="682" t="s">
        <v>1154</v>
      </c>
      <c r="H527" s="3"/>
    </row>
    <row r="528" spans="1:29" ht="15" customHeight="1">
      <c r="A528" s="690" t="s">
        <v>3397</v>
      </c>
      <c r="B528" s="678" t="s">
        <v>1266</v>
      </c>
      <c r="C528" s="679" t="s">
        <v>176</v>
      </c>
      <c r="D528" s="679" t="s">
        <v>142</v>
      </c>
      <c r="E528" s="680" t="s">
        <v>303</v>
      </c>
      <c r="F528" s="680"/>
      <c r="G528" s="682" t="s">
        <v>1154</v>
      </c>
      <c r="H528" s="3"/>
    </row>
    <row r="529" spans="1:29" ht="15" customHeight="1">
      <c r="A529" s="690" t="s">
        <v>2609</v>
      </c>
      <c r="B529" s="678" t="s">
        <v>1209</v>
      </c>
      <c r="C529" s="679" t="s">
        <v>176</v>
      </c>
      <c r="D529" s="679" t="s">
        <v>134</v>
      </c>
      <c r="E529" s="680" t="s">
        <v>303</v>
      </c>
      <c r="F529" s="686"/>
      <c r="G529" s="682" t="s">
        <v>1154</v>
      </c>
      <c r="H529" s="3"/>
      <c r="K529" s="3"/>
    </row>
    <row r="530" spans="1:29" ht="15" customHeight="1">
      <c r="A530" s="690" t="s">
        <v>2611</v>
      </c>
      <c r="B530" s="688" t="s">
        <v>1211</v>
      </c>
      <c r="C530" s="679" t="s">
        <v>176</v>
      </c>
      <c r="D530" s="679" t="s">
        <v>221</v>
      </c>
      <c r="E530" s="680" t="s">
        <v>303</v>
      </c>
      <c r="F530" s="680"/>
      <c r="G530" s="682" t="s">
        <v>1154</v>
      </c>
      <c r="H530" s="3"/>
      <c r="I530" s="3"/>
      <c r="J530" s="3"/>
      <c r="K530" s="3"/>
      <c r="L530" s="3"/>
      <c r="M530" s="3"/>
      <c r="N530" s="3"/>
      <c r="O530" s="3"/>
      <c r="P530" s="3"/>
      <c r="Q530" s="3"/>
      <c r="R530" s="3"/>
      <c r="S530" s="3"/>
      <c r="T530" s="3"/>
      <c r="U530" s="3"/>
      <c r="V530" s="3"/>
      <c r="W530" s="3"/>
      <c r="X530" s="3"/>
      <c r="Y530" s="3"/>
      <c r="Z530" s="3"/>
      <c r="AA530" s="3"/>
      <c r="AB530" s="3"/>
      <c r="AC530" s="3"/>
    </row>
    <row r="531" spans="1:29" ht="15" customHeight="1">
      <c r="A531" s="690" t="s">
        <v>2614</v>
      </c>
      <c r="B531" s="678" t="s">
        <v>1389</v>
      </c>
      <c r="C531" s="679" t="s">
        <v>176</v>
      </c>
      <c r="D531" s="679" t="s">
        <v>213</v>
      </c>
      <c r="E531" s="680" t="s">
        <v>303</v>
      </c>
      <c r="F531" s="680"/>
      <c r="G531" s="680" t="s">
        <v>1154</v>
      </c>
      <c r="H531" s="3"/>
    </row>
    <row r="532" spans="1:29" ht="15" customHeight="1">
      <c r="A532" s="678" t="s">
        <v>2617</v>
      </c>
      <c r="B532" s="678" t="s">
        <v>809</v>
      </c>
      <c r="C532" s="679"/>
      <c r="D532" s="679"/>
      <c r="E532" s="680" t="s">
        <v>303</v>
      </c>
      <c r="F532" s="680"/>
      <c r="G532" s="682" t="s">
        <v>816</v>
      </c>
      <c r="H532" s="3"/>
    </row>
    <row r="533" spans="1:29" ht="15" customHeight="1">
      <c r="A533" s="690" t="s">
        <v>2620</v>
      </c>
      <c r="B533" s="688" t="s">
        <v>1268</v>
      </c>
      <c r="C533" s="679" t="s">
        <v>176</v>
      </c>
      <c r="D533" s="679" t="s">
        <v>210</v>
      </c>
      <c r="E533" s="680" t="s">
        <v>303</v>
      </c>
      <c r="F533" s="680"/>
      <c r="G533" s="682" t="s">
        <v>1154</v>
      </c>
      <c r="H533" s="3"/>
    </row>
    <row r="534" spans="1:29" ht="15" customHeight="1">
      <c r="A534" s="690" t="s">
        <v>2623</v>
      </c>
      <c r="B534" s="678" t="s">
        <v>1269</v>
      </c>
      <c r="C534" s="679" t="s">
        <v>176</v>
      </c>
      <c r="D534" s="679" t="s">
        <v>205</v>
      </c>
      <c r="E534" s="680" t="s">
        <v>303</v>
      </c>
      <c r="F534" s="680"/>
      <c r="G534" s="682" t="s">
        <v>1154</v>
      </c>
      <c r="H534" s="3"/>
    </row>
    <row r="535" spans="1:29" ht="15" customHeight="1">
      <c r="A535" s="678" t="s">
        <v>2625</v>
      </c>
      <c r="B535" s="688" t="s">
        <v>1270</v>
      </c>
      <c r="C535" s="679" t="s">
        <v>176</v>
      </c>
      <c r="D535" s="679" t="s">
        <v>209</v>
      </c>
      <c r="E535" s="680" t="s">
        <v>303</v>
      </c>
      <c r="F535" s="680"/>
      <c r="G535" s="682" t="s">
        <v>1154</v>
      </c>
      <c r="H535" s="3"/>
    </row>
    <row r="536" spans="1:29" ht="15" customHeight="1">
      <c r="A536" s="678" t="s">
        <v>2627</v>
      </c>
      <c r="B536" s="688" t="s">
        <v>1271</v>
      </c>
      <c r="C536" s="679" t="s">
        <v>176</v>
      </c>
      <c r="D536" s="679" t="s">
        <v>206</v>
      </c>
      <c r="E536" s="680" t="s">
        <v>303</v>
      </c>
      <c r="F536" s="680"/>
      <c r="G536" s="682" t="s">
        <v>1154</v>
      </c>
      <c r="H536" s="3"/>
    </row>
    <row r="537" spans="1:29" ht="15" customHeight="1">
      <c r="A537" s="690" t="s">
        <v>2630</v>
      </c>
      <c r="B537" s="678" t="s">
        <v>1272</v>
      </c>
      <c r="C537" s="679" t="s">
        <v>176</v>
      </c>
      <c r="D537" s="679" t="s">
        <v>207</v>
      </c>
      <c r="E537" s="680" t="s">
        <v>303</v>
      </c>
      <c r="F537" s="680"/>
      <c r="G537" s="682" t="s">
        <v>1154</v>
      </c>
      <c r="H537" s="3"/>
      <c r="I537" s="3"/>
      <c r="J537" s="3"/>
      <c r="L537" s="3"/>
      <c r="M537" s="3"/>
      <c r="N537" s="3"/>
      <c r="O537" s="3"/>
      <c r="P537" s="3"/>
      <c r="Q537" s="3"/>
      <c r="R537" s="3"/>
      <c r="S537" s="3"/>
      <c r="T537" s="3"/>
      <c r="U537" s="3"/>
      <c r="V537" s="3"/>
      <c r="W537" s="3"/>
      <c r="X537" s="3"/>
      <c r="Y537" s="3"/>
      <c r="Z537" s="3"/>
      <c r="AA537" s="3"/>
      <c r="AB537" s="3"/>
      <c r="AC537" s="3"/>
    </row>
    <row r="538" spans="1:29" ht="15" customHeight="1">
      <c r="A538" s="690" t="s">
        <v>2632</v>
      </c>
      <c r="B538" s="678" t="s">
        <v>1273</v>
      </c>
      <c r="C538" s="679" t="s">
        <v>176</v>
      </c>
      <c r="D538" s="679" t="s">
        <v>211</v>
      </c>
      <c r="E538" s="680" t="s">
        <v>303</v>
      </c>
      <c r="F538" s="680"/>
      <c r="G538" s="682" t="s">
        <v>1154</v>
      </c>
      <c r="H538" s="3"/>
      <c r="K538" s="3"/>
    </row>
    <row r="539" spans="1:29" ht="15" customHeight="1">
      <c r="A539" s="678" t="s">
        <v>3398</v>
      </c>
      <c r="B539" s="678" t="s">
        <v>1396</v>
      </c>
      <c r="C539" s="679" t="s">
        <v>176</v>
      </c>
      <c r="D539" s="679" t="s">
        <v>214</v>
      </c>
      <c r="E539" s="680" t="s">
        <v>303</v>
      </c>
      <c r="F539" s="680"/>
      <c r="G539" s="680" t="s">
        <v>1154</v>
      </c>
      <c r="H539" s="3"/>
      <c r="K539" s="3"/>
    </row>
    <row r="540" spans="1:29" ht="15" customHeight="1">
      <c r="A540" s="678" t="s">
        <v>3399</v>
      </c>
      <c r="B540" s="678" t="s">
        <v>3316</v>
      </c>
      <c r="C540" s="679" t="s">
        <v>176</v>
      </c>
      <c r="D540" s="679" t="s">
        <v>140</v>
      </c>
      <c r="E540" s="680" t="s">
        <v>303</v>
      </c>
      <c r="F540" s="680"/>
      <c r="G540" s="682" t="s">
        <v>1154</v>
      </c>
      <c r="H540" s="3"/>
    </row>
    <row r="541" spans="1:29" ht="15" customHeight="1">
      <c r="A541" s="678" t="s">
        <v>2635</v>
      </c>
      <c r="B541" s="688" t="s">
        <v>810</v>
      </c>
      <c r="C541" s="679"/>
      <c r="D541" s="679"/>
      <c r="E541" s="680" t="s">
        <v>303</v>
      </c>
      <c r="F541" s="680"/>
      <c r="G541" s="682" t="s">
        <v>816</v>
      </c>
      <c r="H541" s="3"/>
    </row>
    <row r="542" spans="1:29" ht="15" customHeight="1">
      <c r="A542" s="690" t="s">
        <v>2638</v>
      </c>
      <c r="B542" s="678" t="s">
        <v>811</v>
      </c>
      <c r="C542" s="679"/>
      <c r="D542" s="679"/>
      <c r="E542" s="680" t="s">
        <v>303</v>
      </c>
      <c r="F542" s="686"/>
      <c r="G542" s="682" t="s">
        <v>816</v>
      </c>
      <c r="H542" s="3"/>
    </row>
    <row r="543" spans="1:29" ht="15" customHeight="1">
      <c r="A543" s="690" t="s">
        <v>2641</v>
      </c>
      <c r="B543" s="688" t="s">
        <v>812</v>
      </c>
      <c r="C543" s="679"/>
      <c r="D543" s="679"/>
      <c r="E543" s="680" t="s">
        <v>303</v>
      </c>
      <c r="F543" s="680"/>
      <c r="G543" s="682" t="s">
        <v>816</v>
      </c>
      <c r="H543" s="3"/>
    </row>
    <row r="544" spans="1:29" ht="15" customHeight="1">
      <c r="A544" s="690" t="s">
        <v>2644</v>
      </c>
      <c r="B544" s="688" t="s">
        <v>813</v>
      </c>
      <c r="C544" s="679"/>
      <c r="D544" s="679"/>
      <c r="E544" s="680" t="s">
        <v>303</v>
      </c>
      <c r="F544" s="680"/>
      <c r="G544" s="682" t="s">
        <v>816</v>
      </c>
      <c r="H544" s="3"/>
    </row>
    <row r="545" spans="1:29" ht="15" customHeight="1">
      <c r="A545" s="690" t="s">
        <v>2647</v>
      </c>
      <c r="B545" s="678" t="s">
        <v>1158</v>
      </c>
      <c r="C545" s="679" t="s">
        <v>180</v>
      </c>
      <c r="D545" s="679" t="s">
        <v>130</v>
      </c>
      <c r="E545" s="680" t="s">
        <v>303</v>
      </c>
      <c r="F545" s="680"/>
      <c r="G545" s="682" t="e">
        <v>#N/A</v>
      </c>
      <c r="H545" s="3"/>
    </row>
    <row r="546" spans="1:29" ht="15" customHeight="1">
      <c r="A546" s="690" t="s">
        <v>2650</v>
      </c>
      <c r="B546" s="688" t="s">
        <v>1397</v>
      </c>
      <c r="C546" s="679" t="s">
        <v>180</v>
      </c>
      <c r="D546" s="679" t="s">
        <v>130</v>
      </c>
      <c r="E546" s="680" t="s">
        <v>303</v>
      </c>
      <c r="F546" s="680"/>
      <c r="G546" s="680" t="e">
        <v>#N/A</v>
      </c>
      <c r="H546" s="3"/>
    </row>
    <row r="547" spans="1:29" ht="15" customHeight="1">
      <c r="A547" s="678" t="s">
        <v>2653</v>
      </c>
      <c r="B547" s="688" t="s">
        <v>1166</v>
      </c>
      <c r="C547" s="679" t="s">
        <v>180</v>
      </c>
      <c r="D547" s="679" t="s">
        <v>129</v>
      </c>
      <c r="E547" s="680" t="s">
        <v>303</v>
      </c>
      <c r="F547" s="680"/>
      <c r="G547" s="682" t="s">
        <v>1154</v>
      </c>
      <c r="H547" s="3"/>
    </row>
    <row r="548" spans="1:29" ht="15" customHeight="1">
      <c r="A548" s="690" t="s">
        <v>2656</v>
      </c>
      <c r="B548" s="678" t="s">
        <v>1274</v>
      </c>
      <c r="C548" s="679" t="s">
        <v>180</v>
      </c>
      <c r="D548" s="679" t="s">
        <v>204</v>
      </c>
      <c r="E548" s="680" t="s">
        <v>303</v>
      </c>
      <c r="F548" s="680"/>
      <c r="G548" s="682" t="s">
        <v>2</v>
      </c>
      <c r="H548" s="3"/>
    </row>
    <row r="549" spans="1:29" ht="15" customHeight="1">
      <c r="A549" s="678" t="s">
        <v>2659</v>
      </c>
      <c r="B549" s="688" t="s">
        <v>1171</v>
      </c>
      <c r="C549" s="679" t="s">
        <v>180</v>
      </c>
      <c r="D549" s="679" t="s">
        <v>120</v>
      </c>
      <c r="E549" s="680" t="s">
        <v>303</v>
      </c>
      <c r="F549" s="680"/>
      <c r="G549" s="682" t="s">
        <v>1154</v>
      </c>
      <c r="H549" s="3"/>
    </row>
    <row r="550" spans="1:29" ht="15" customHeight="1">
      <c r="A550" s="690" t="s">
        <v>2662</v>
      </c>
      <c r="B550" s="678" t="s">
        <v>1173</v>
      </c>
      <c r="C550" s="679" t="s">
        <v>180</v>
      </c>
      <c r="D550" s="679" t="s">
        <v>121</v>
      </c>
      <c r="E550" s="680" t="s">
        <v>303</v>
      </c>
      <c r="F550" s="680"/>
      <c r="G550" s="682" t="s">
        <v>2</v>
      </c>
      <c r="H550" s="3"/>
    </row>
    <row r="551" spans="1:29" ht="15" customHeight="1">
      <c r="A551" s="690" t="s">
        <v>2665</v>
      </c>
      <c r="B551" s="688" t="s">
        <v>1175</v>
      </c>
      <c r="C551" s="679" t="s">
        <v>180</v>
      </c>
      <c r="D551" s="679" t="s">
        <v>122</v>
      </c>
      <c r="E551" s="680" t="s">
        <v>303</v>
      </c>
      <c r="F551" s="680"/>
      <c r="G551" s="682" t="s">
        <v>1154</v>
      </c>
      <c r="H551" s="3"/>
    </row>
    <row r="552" spans="1:29" ht="15" customHeight="1">
      <c r="A552" s="690" t="s">
        <v>2668</v>
      </c>
      <c r="B552" s="678" t="s">
        <v>1275</v>
      </c>
      <c r="C552" s="679" t="s">
        <v>180</v>
      </c>
      <c r="D552" s="679" t="s">
        <v>124</v>
      </c>
      <c r="E552" s="680" t="s">
        <v>303</v>
      </c>
      <c r="F552" s="680"/>
      <c r="G552" s="682" t="s">
        <v>1154</v>
      </c>
      <c r="H552" s="3"/>
    </row>
    <row r="553" spans="1:29" ht="15" customHeight="1">
      <c r="A553" s="690" t="s">
        <v>2671</v>
      </c>
      <c r="B553" s="688" t="s">
        <v>1179</v>
      </c>
      <c r="C553" s="679" t="s">
        <v>180</v>
      </c>
      <c r="D553" s="679" t="s">
        <v>127</v>
      </c>
      <c r="E553" s="680" t="s">
        <v>303</v>
      </c>
      <c r="F553" s="680"/>
      <c r="G553" s="682" t="s">
        <v>1154</v>
      </c>
      <c r="H553" s="3"/>
    </row>
    <row r="554" spans="1:29" ht="15" customHeight="1">
      <c r="A554" s="690" t="s">
        <v>2674</v>
      </c>
      <c r="B554" s="678" t="s">
        <v>1181</v>
      </c>
      <c r="C554" s="679" t="s">
        <v>180</v>
      </c>
      <c r="D554" s="679" t="s">
        <v>125</v>
      </c>
      <c r="E554" s="680" t="s">
        <v>303</v>
      </c>
      <c r="F554" s="680"/>
      <c r="G554" s="682" t="s">
        <v>1154</v>
      </c>
      <c r="H554" s="3"/>
    </row>
    <row r="555" spans="1:29" ht="15" customHeight="1">
      <c r="A555" s="690" t="s">
        <v>2677</v>
      </c>
      <c r="B555" s="688" t="s">
        <v>1276</v>
      </c>
      <c r="C555" s="679" t="s">
        <v>180</v>
      </c>
      <c r="D555" s="679" t="s">
        <v>125</v>
      </c>
      <c r="E555" s="680" t="s">
        <v>303</v>
      </c>
      <c r="F555" s="680"/>
      <c r="G555" s="682" t="e">
        <v>#N/A</v>
      </c>
      <c r="H555" s="3"/>
    </row>
    <row r="556" spans="1:29" ht="15" customHeight="1">
      <c r="A556" s="690" t="s">
        <v>2680</v>
      </c>
      <c r="B556" s="678" t="s">
        <v>1231</v>
      </c>
      <c r="C556" s="679" t="s">
        <v>180</v>
      </c>
      <c r="D556" s="679" t="s">
        <v>126</v>
      </c>
      <c r="E556" s="680" t="s">
        <v>303</v>
      </c>
      <c r="F556" s="680"/>
      <c r="G556" s="682" t="s">
        <v>1154</v>
      </c>
      <c r="H556" s="3"/>
      <c r="I556" s="3"/>
      <c r="J556" s="3"/>
      <c r="L556" s="3"/>
      <c r="M556" s="3"/>
      <c r="N556" s="3"/>
      <c r="O556" s="3"/>
      <c r="P556" s="3"/>
      <c r="Q556" s="3"/>
      <c r="R556" s="3"/>
      <c r="S556" s="3"/>
      <c r="T556" s="3"/>
      <c r="U556" s="3"/>
      <c r="V556" s="3"/>
      <c r="W556" s="3"/>
      <c r="X556" s="3"/>
      <c r="Y556" s="3"/>
      <c r="Z556" s="3"/>
      <c r="AA556" s="3"/>
      <c r="AB556" s="3"/>
      <c r="AC556" s="3"/>
    </row>
    <row r="557" spans="1:29" ht="15" customHeight="1">
      <c r="A557" s="690" t="s">
        <v>2684</v>
      </c>
      <c r="B557" s="688" t="s">
        <v>1187</v>
      </c>
      <c r="C557" s="679" t="s">
        <v>180</v>
      </c>
      <c r="D557" s="679" t="s">
        <v>135</v>
      </c>
      <c r="E557" s="680" t="s">
        <v>303</v>
      </c>
      <c r="F557" s="680"/>
      <c r="G557" s="682" t="s">
        <v>1154</v>
      </c>
      <c r="H557" s="3"/>
    </row>
    <row r="558" spans="1:29" ht="15" customHeight="1">
      <c r="A558" s="962" t="s">
        <v>2687</v>
      </c>
      <c r="B558" s="692" t="s">
        <v>1189</v>
      </c>
      <c r="C558" s="693" t="s">
        <v>180</v>
      </c>
      <c r="D558" s="679" t="s">
        <v>136</v>
      </c>
      <c r="E558" s="680" t="s">
        <v>303</v>
      </c>
      <c r="F558" s="680"/>
      <c r="G558" s="680" t="s">
        <v>1154</v>
      </c>
      <c r="H558" s="3"/>
    </row>
    <row r="559" spans="1:29" ht="15" customHeight="1">
      <c r="A559" s="690" t="s">
        <v>2690</v>
      </c>
      <c r="B559" s="688" t="s">
        <v>1191</v>
      </c>
      <c r="C559" s="679" t="s">
        <v>180</v>
      </c>
      <c r="D559" s="679" t="s">
        <v>141</v>
      </c>
      <c r="E559" s="680" t="s">
        <v>303</v>
      </c>
      <c r="F559" s="680"/>
      <c r="G559" s="682" t="s">
        <v>1154</v>
      </c>
      <c r="H559" s="3"/>
    </row>
    <row r="560" spans="1:29" ht="15" customHeight="1">
      <c r="A560" s="690" t="s">
        <v>2693</v>
      </c>
      <c r="B560" s="678" t="s">
        <v>1193</v>
      </c>
      <c r="C560" s="679" t="s">
        <v>180</v>
      </c>
      <c r="D560" s="679" t="s">
        <v>131</v>
      </c>
      <c r="E560" s="680" t="s">
        <v>303</v>
      </c>
      <c r="F560" s="680"/>
      <c r="G560" s="682" t="s">
        <v>1154</v>
      </c>
      <c r="H560" s="3"/>
    </row>
    <row r="561" spans="1:8" ht="15" customHeight="1">
      <c r="A561" s="678" t="s">
        <v>2696</v>
      </c>
      <c r="B561" s="685" t="s">
        <v>1195</v>
      </c>
      <c r="C561" s="679" t="s">
        <v>180</v>
      </c>
      <c r="D561" s="679" t="s">
        <v>139</v>
      </c>
      <c r="E561" s="680" t="s">
        <v>303</v>
      </c>
      <c r="F561" s="681"/>
      <c r="G561" s="682" t="s">
        <v>2</v>
      </c>
      <c r="H561" s="3"/>
    </row>
    <row r="562" spans="1:8" ht="15" customHeight="1">
      <c r="A562" s="690" t="s">
        <v>2698</v>
      </c>
      <c r="B562" s="685" t="s">
        <v>1197</v>
      </c>
      <c r="C562" s="679" t="s">
        <v>180</v>
      </c>
      <c r="D562" s="679" t="s">
        <v>132</v>
      </c>
      <c r="E562" s="680" t="s">
        <v>303</v>
      </c>
      <c r="F562" s="681"/>
      <c r="G562" s="682" t="e">
        <v>#N/A</v>
      </c>
      <c r="H562" s="3"/>
    </row>
    <row r="563" spans="1:8" ht="15" customHeight="1">
      <c r="A563" s="690" t="s">
        <v>2701</v>
      </c>
      <c r="B563" s="685" t="s">
        <v>1199</v>
      </c>
      <c r="C563" s="679" t="s">
        <v>180</v>
      </c>
      <c r="D563" s="679" t="s">
        <v>137</v>
      </c>
      <c r="E563" s="680" t="s">
        <v>303</v>
      </c>
      <c r="F563" s="681"/>
      <c r="G563" s="682" t="e">
        <v>#N/A</v>
      </c>
      <c r="H563" s="3"/>
    </row>
    <row r="564" spans="1:8" ht="15" customHeight="1">
      <c r="A564" s="690" t="s">
        <v>2704</v>
      </c>
      <c r="B564" s="685" t="s">
        <v>1201</v>
      </c>
      <c r="C564" s="679" t="s">
        <v>180</v>
      </c>
      <c r="D564" s="679" t="s">
        <v>138</v>
      </c>
      <c r="E564" s="680" t="s">
        <v>303</v>
      </c>
      <c r="F564" s="681"/>
      <c r="G564" s="682" t="s">
        <v>1154</v>
      </c>
      <c r="H564" s="3"/>
    </row>
    <row r="565" spans="1:8" ht="15" customHeight="1">
      <c r="A565" s="690" t="s">
        <v>2707</v>
      </c>
      <c r="B565" s="685" t="s">
        <v>1203</v>
      </c>
      <c r="C565" s="679" t="s">
        <v>180</v>
      </c>
      <c r="D565" s="679" t="s">
        <v>140</v>
      </c>
      <c r="E565" s="680" t="s">
        <v>303</v>
      </c>
      <c r="F565" s="681"/>
      <c r="G565" s="682" t="s">
        <v>1154</v>
      </c>
      <c r="H565" s="3"/>
    </row>
    <row r="566" spans="1:8" ht="15" customHeight="1">
      <c r="A566" s="690" t="s">
        <v>2710</v>
      </c>
      <c r="B566" s="685" t="s">
        <v>1277</v>
      </c>
      <c r="C566" s="679" t="s">
        <v>180</v>
      </c>
      <c r="D566" s="679" t="s">
        <v>133</v>
      </c>
      <c r="E566" s="680" t="s">
        <v>303</v>
      </c>
      <c r="F566" s="681"/>
      <c r="G566" s="682" t="s">
        <v>1154</v>
      </c>
      <c r="H566" s="3"/>
    </row>
    <row r="567" spans="1:8" ht="15" customHeight="1">
      <c r="A567" s="690" t="s">
        <v>3400</v>
      </c>
      <c r="B567" s="685" t="s">
        <v>1278</v>
      </c>
      <c r="C567" s="679" t="s">
        <v>180</v>
      </c>
      <c r="D567" s="679" t="s">
        <v>142</v>
      </c>
      <c r="E567" s="680" t="s">
        <v>303</v>
      </c>
      <c r="F567" s="681"/>
      <c r="G567" s="682" t="s">
        <v>2</v>
      </c>
      <c r="H567" s="3"/>
    </row>
    <row r="568" spans="1:8" ht="15" customHeight="1">
      <c r="A568" s="690" t="s">
        <v>3889</v>
      </c>
      <c r="B568" s="685" t="s">
        <v>3888</v>
      </c>
      <c r="C568" s="679" t="s">
        <v>180</v>
      </c>
      <c r="D568" s="679" t="s">
        <v>134</v>
      </c>
      <c r="E568" s="680" t="s">
        <v>303</v>
      </c>
      <c r="F568" s="681"/>
      <c r="G568" s="682" t="s">
        <v>1154</v>
      </c>
      <c r="H568" s="3"/>
    </row>
    <row r="569" spans="1:8" ht="15" customHeight="1">
      <c r="A569" s="690" t="s">
        <v>2713</v>
      </c>
      <c r="B569" s="685" t="s">
        <v>1209</v>
      </c>
      <c r="C569" s="679" t="s">
        <v>180</v>
      </c>
      <c r="D569" s="679" t="s">
        <v>134</v>
      </c>
      <c r="E569" s="680" t="s">
        <v>303</v>
      </c>
      <c r="F569" s="681"/>
      <c r="G569" s="682" t="s">
        <v>1154</v>
      </c>
      <c r="H569" s="3"/>
    </row>
    <row r="570" spans="1:8" ht="15" customHeight="1">
      <c r="A570" s="690" t="s">
        <v>2716</v>
      </c>
      <c r="B570" s="688" t="s">
        <v>1211</v>
      </c>
      <c r="C570" s="679" t="s">
        <v>180</v>
      </c>
      <c r="D570" s="679" t="s">
        <v>221</v>
      </c>
      <c r="E570" s="680" t="s">
        <v>303</v>
      </c>
      <c r="F570" s="681"/>
      <c r="G570" s="682" t="s">
        <v>1154</v>
      </c>
      <c r="H570" s="3"/>
    </row>
    <row r="571" spans="1:8" ht="15" customHeight="1">
      <c r="A571" s="690" t="s">
        <v>2719</v>
      </c>
      <c r="B571" s="685" t="s">
        <v>1389</v>
      </c>
      <c r="C571" s="679" t="s">
        <v>180</v>
      </c>
      <c r="D571" s="679" t="s">
        <v>213</v>
      </c>
      <c r="E571" s="680" t="s">
        <v>303</v>
      </c>
      <c r="F571" s="681"/>
      <c r="G571" s="680" t="s">
        <v>1154</v>
      </c>
      <c r="H571" s="3"/>
    </row>
    <row r="572" spans="1:8" ht="15" customHeight="1">
      <c r="A572" s="690" t="s">
        <v>2722</v>
      </c>
      <c r="B572" s="685" t="s">
        <v>814</v>
      </c>
      <c r="C572" s="679"/>
      <c r="D572" s="679"/>
      <c r="E572" s="680" t="s">
        <v>303</v>
      </c>
      <c r="F572" s="681"/>
      <c r="G572" s="682" t="s">
        <v>816</v>
      </c>
      <c r="H572" s="3"/>
    </row>
    <row r="573" spans="1:8" ht="15" customHeight="1">
      <c r="A573" s="690" t="s">
        <v>2725</v>
      </c>
      <c r="B573" s="685" t="s">
        <v>1279</v>
      </c>
      <c r="C573" s="679" t="s">
        <v>180</v>
      </c>
      <c r="D573" s="679" t="s">
        <v>210</v>
      </c>
      <c r="E573" s="680" t="s">
        <v>303</v>
      </c>
      <c r="F573" s="681"/>
      <c r="G573" s="682" t="s">
        <v>1154</v>
      </c>
      <c r="H573" s="3"/>
    </row>
    <row r="574" spans="1:8" ht="15" customHeight="1">
      <c r="A574" s="690" t="s">
        <v>2728</v>
      </c>
      <c r="B574" s="685" t="s">
        <v>1280</v>
      </c>
      <c r="C574" s="679" t="s">
        <v>180</v>
      </c>
      <c r="D574" s="679" t="s">
        <v>205</v>
      </c>
      <c r="E574" s="680" t="s">
        <v>303</v>
      </c>
      <c r="F574" s="681"/>
      <c r="G574" s="682" t="s">
        <v>1154</v>
      </c>
      <c r="H574" s="3"/>
    </row>
    <row r="575" spans="1:8" ht="15" customHeight="1">
      <c r="A575" s="690" t="s">
        <v>2731</v>
      </c>
      <c r="B575" s="685" t="s">
        <v>1281</v>
      </c>
      <c r="C575" s="679" t="s">
        <v>180</v>
      </c>
      <c r="D575" s="679" t="s">
        <v>209</v>
      </c>
      <c r="E575" s="680" t="s">
        <v>303</v>
      </c>
      <c r="F575" s="681"/>
      <c r="G575" s="682" t="s">
        <v>1154</v>
      </c>
      <c r="H575" s="3"/>
    </row>
    <row r="576" spans="1:8" ht="15" customHeight="1">
      <c r="A576" s="690" t="s">
        <v>2734</v>
      </c>
      <c r="B576" s="685" t="s">
        <v>1282</v>
      </c>
      <c r="C576" s="679" t="s">
        <v>180</v>
      </c>
      <c r="D576" s="679" t="s">
        <v>206</v>
      </c>
      <c r="E576" s="680" t="s">
        <v>303</v>
      </c>
      <c r="F576" s="681"/>
      <c r="G576" s="682" t="s">
        <v>1154</v>
      </c>
      <c r="H576" s="3"/>
    </row>
    <row r="577" spans="1:11" ht="15" customHeight="1">
      <c r="A577" s="690" t="s">
        <v>2737</v>
      </c>
      <c r="B577" s="685" t="s">
        <v>1283</v>
      </c>
      <c r="C577" s="679" t="s">
        <v>180</v>
      </c>
      <c r="D577" s="679" t="s">
        <v>207</v>
      </c>
      <c r="E577" s="680" t="s">
        <v>303</v>
      </c>
      <c r="F577" s="681"/>
      <c r="G577" s="682" t="s">
        <v>1154</v>
      </c>
      <c r="H577" s="3"/>
    </row>
    <row r="578" spans="1:11" ht="15" customHeight="1">
      <c r="A578" s="690" t="s">
        <v>2740</v>
      </c>
      <c r="B578" s="685" t="s">
        <v>1284</v>
      </c>
      <c r="C578" s="679" t="s">
        <v>180</v>
      </c>
      <c r="D578" s="679" t="s">
        <v>211</v>
      </c>
      <c r="E578" s="680" t="s">
        <v>303</v>
      </c>
      <c r="F578" s="681"/>
      <c r="G578" s="682" t="e">
        <v>#N/A</v>
      </c>
      <c r="H578" s="3"/>
    </row>
    <row r="579" spans="1:11" ht="15" customHeight="1">
      <c r="A579" s="697" t="s">
        <v>3401</v>
      </c>
      <c r="B579" s="697" t="s">
        <v>1398</v>
      </c>
      <c r="C579" s="679" t="s">
        <v>180</v>
      </c>
      <c r="D579" s="679" t="s">
        <v>214</v>
      </c>
      <c r="E579" s="680" t="s">
        <v>303</v>
      </c>
      <c r="F579" s="680"/>
      <c r="G579" s="680" t="s">
        <v>2</v>
      </c>
      <c r="H579" s="3"/>
    </row>
    <row r="580" spans="1:11" ht="15" customHeight="1">
      <c r="A580" s="678" t="s">
        <v>2742</v>
      </c>
      <c r="B580" s="685" t="s">
        <v>726</v>
      </c>
      <c r="C580" s="679"/>
      <c r="D580" s="679"/>
      <c r="E580" s="680"/>
      <c r="F580" s="681"/>
      <c r="G580" s="682" t="e">
        <v>#N/A</v>
      </c>
      <c r="H580" s="3"/>
    </row>
    <row r="581" spans="1:11" ht="15" customHeight="1">
      <c r="A581" s="690" t="s">
        <v>2745</v>
      </c>
      <c r="B581" s="685" t="s">
        <v>727</v>
      </c>
      <c r="C581" s="679"/>
      <c r="D581" s="679"/>
      <c r="E581" s="680"/>
      <c r="F581" s="681"/>
      <c r="G581" s="682" t="e">
        <v>#N/A</v>
      </c>
      <c r="H581" s="3"/>
    </row>
    <row r="582" spans="1:11" ht="15" customHeight="1">
      <c r="A582" s="690" t="s">
        <v>2748</v>
      </c>
      <c r="B582" s="685" t="s">
        <v>728</v>
      </c>
      <c r="C582" s="679"/>
      <c r="D582" s="679"/>
      <c r="E582" s="680"/>
      <c r="F582" s="681"/>
      <c r="G582" s="682" t="s">
        <v>816</v>
      </c>
      <c r="H582" s="3"/>
    </row>
    <row r="583" spans="1:11" ht="15" customHeight="1">
      <c r="A583" s="678" t="s">
        <v>3402</v>
      </c>
      <c r="B583" s="678" t="s">
        <v>1399</v>
      </c>
      <c r="C583" s="679" t="s">
        <v>198</v>
      </c>
      <c r="D583" s="679" t="s">
        <v>216</v>
      </c>
      <c r="E583" s="680" t="s">
        <v>303</v>
      </c>
      <c r="F583" s="681"/>
      <c r="G583" s="682" t="s">
        <v>1154</v>
      </c>
      <c r="H583" s="3"/>
    </row>
    <row r="584" spans="1:11" ht="15" customHeight="1">
      <c r="A584" s="698" t="s">
        <v>2751</v>
      </c>
      <c r="B584" s="695" t="s">
        <v>1287</v>
      </c>
      <c r="C584" s="693" t="s">
        <v>92</v>
      </c>
      <c r="D584" s="679" t="s">
        <v>148</v>
      </c>
      <c r="E584" s="680" t="s">
        <v>303</v>
      </c>
      <c r="F584" s="681"/>
      <c r="G584" s="682" t="s">
        <v>1154</v>
      </c>
      <c r="H584" s="3"/>
    </row>
    <row r="585" spans="1:11" ht="15" customHeight="1">
      <c r="A585" s="698" t="s">
        <v>1289</v>
      </c>
      <c r="B585" s="695" t="s">
        <v>1288</v>
      </c>
      <c r="C585" s="693" t="s">
        <v>180</v>
      </c>
      <c r="D585" s="679" t="s">
        <v>188</v>
      </c>
      <c r="E585" s="680" t="s">
        <v>303</v>
      </c>
      <c r="F585" s="681"/>
      <c r="G585" s="682" t="s">
        <v>1154</v>
      </c>
      <c r="H585" s="3"/>
      <c r="K585" s="3"/>
    </row>
    <row r="586" spans="1:11" ht="15" customHeight="1">
      <c r="A586" s="690" t="s">
        <v>2756</v>
      </c>
      <c r="B586" s="685" t="s">
        <v>1400</v>
      </c>
      <c r="C586" s="679" t="s">
        <v>92</v>
      </c>
      <c r="D586" s="679" t="s">
        <v>145</v>
      </c>
      <c r="E586" s="680" t="s">
        <v>303</v>
      </c>
      <c r="F586" s="681"/>
      <c r="G586" s="682" t="s">
        <v>1154</v>
      </c>
      <c r="H586" s="3"/>
    </row>
    <row r="587" spans="1:11" ht="15" customHeight="1">
      <c r="A587" s="698" t="s">
        <v>1291</v>
      </c>
      <c r="B587" s="705" t="s">
        <v>1290</v>
      </c>
      <c r="C587" s="679" t="s">
        <v>92</v>
      </c>
      <c r="D587" s="679" t="s">
        <v>105</v>
      </c>
      <c r="E587" s="680" t="s">
        <v>303</v>
      </c>
      <c r="F587" s="681" t="s">
        <v>1368</v>
      </c>
      <c r="G587" s="682" t="s">
        <v>1154</v>
      </c>
      <c r="H587" s="3"/>
    </row>
    <row r="588" spans="1:11" ht="15" customHeight="1">
      <c r="A588" s="699" t="s">
        <v>1293</v>
      </c>
      <c r="B588" s="981" t="s">
        <v>1292</v>
      </c>
      <c r="C588" s="693" t="s">
        <v>92</v>
      </c>
      <c r="D588" s="679"/>
      <c r="E588" s="686" t="s">
        <v>341</v>
      </c>
      <c r="F588" s="681"/>
      <c r="G588" s="682" t="s">
        <v>1285</v>
      </c>
      <c r="H588" s="3"/>
    </row>
    <row r="589" spans="1:11" ht="15" customHeight="1">
      <c r="A589" s="690" t="s">
        <v>1295</v>
      </c>
      <c r="B589" s="695" t="s">
        <v>1294</v>
      </c>
      <c r="C589" s="693" t="s">
        <v>152</v>
      </c>
      <c r="D589" s="679" t="s">
        <v>105</v>
      </c>
      <c r="E589" s="680" t="s">
        <v>303</v>
      </c>
      <c r="F589" s="681" t="s">
        <v>1368</v>
      </c>
      <c r="G589" s="682" t="s">
        <v>1154</v>
      </c>
      <c r="H589" s="3"/>
    </row>
    <row r="590" spans="1:11" ht="15" customHeight="1">
      <c r="A590" s="977" t="s">
        <v>1296</v>
      </c>
      <c r="B590" s="977" t="s">
        <v>1294</v>
      </c>
      <c r="C590" s="679" t="s">
        <v>152</v>
      </c>
      <c r="D590" s="679"/>
      <c r="E590" s="686" t="s">
        <v>341</v>
      </c>
      <c r="F590" s="681"/>
      <c r="G590" s="682" t="s">
        <v>1285</v>
      </c>
      <c r="H590" s="3"/>
    </row>
    <row r="591" spans="1:11" ht="15" customHeight="1">
      <c r="A591" s="690" t="s">
        <v>2763</v>
      </c>
      <c r="B591" s="685" t="s">
        <v>1297</v>
      </c>
      <c r="C591" s="679" t="s">
        <v>92</v>
      </c>
      <c r="D591" s="679" t="s">
        <v>107</v>
      </c>
      <c r="E591" s="680" t="s">
        <v>303</v>
      </c>
      <c r="F591" s="681" t="s">
        <v>1368</v>
      </c>
      <c r="G591" s="682" t="e">
        <v>#N/A</v>
      </c>
      <c r="H591" s="3"/>
    </row>
    <row r="592" spans="1:11" ht="15" customHeight="1">
      <c r="A592" s="690" t="s">
        <v>2766</v>
      </c>
      <c r="B592" s="685" t="s">
        <v>1298</v>
      </c>
      <c r="C592" s="679" t="s">
        <v>152</v>
      </c>
      <c r="D592" s="679" t="s">
        <v>107</v>
      </c>
      <c r="E592" s="680" t="s">
        <v>303</v>
      </c>
      <c r="F592" s="681" t="s">
        <v>1368</v>
      </c>
      <c r="G592" s="682" t="e">
        <v>#N/A</v>
      </c>
      <c r="H592" s="3"/>
    </row>
    <row r="593" spans="1:11" ht="15" customHeight="1">
      <c r="A593" s="977" t="s">
        <v>1300</v>
      </c>
      <c r="B593" s="977" t="s">
        <v>1299</v>
      </c>
      <c r="C593" s="679" t="s">
        <v>152</v>
      </c>
      <c r="D593" s="679"/>
      <c r="E593" s="686" t="s">
        <v>341</v>
      </c>
      <c r="F593" s="681"/>
      <c r="G593" s="682" t="e">
        <v>#N/A</v>
      </c>
      <c r="H593" s="3"/>
    </row>
    <row r="594" spans="1:11" ht="15" customHeight="1">
      <c r="A594" s="690" t="s">
        <v>2769</v>
      </c>
      <c r="B594" s="685" t="s">
        <v>1301</v>
      </c>
      <c r="C594" s="679" t="s">
        <v>92</v>
      </c>
      <c r="D594" s="679" t="s">
        <v>106</v>
      </c>
      <c r="E594" s="680" t="s">
        <v>303</v>
      </c>
      <c r="F594" s="681" t="s">
        <v>1368</v>
      </c>
      <c r="G594" s="682" t="s">
        <v>2</v>
      </c>
      <c r="H594" s="3"/>
    </row>
    <row r="595" spans="1:11" ht="15" customHeight="1">
      <c r="A595" s="699" t="s">
        <v>3345</v>
      </c>
      <c r="B595" s="979" t="s">
        <v>3344</v>
      </c>
      <c r="C595" s="679"/>
      <c r="D595" s="679"/>
      <c r="E595" s="686" t="s">
        <v>341</v>
      </c>
      <c r="F595" s="681"/>
      <c r="G595" s="682" t="e">
        <v>#N/A</v>
      </c>
      <c r="H595" s="3"/>
    </row>
    <row r="596" spans="1:11" ht="15" customHeight="1">
      <c r="A596" s="698" t="s">
        <v>2772</v>
      </c>
      <c r="B596" s="679" t="s">
        <v>1302</v>
      </c>
      <c r="C596" s="679" t="s">
        <v>92</v>
      </c>
      <c r="D596" s="679" t="s">
        <v>106</v>
      </c>
      <c r="E596" s="680" t="s">
        <v>303</v>
      </c>
      <c r="F596" s="681" t="s">
        <v>1368</v>
      </c>
      <c r="G596" s="682" t="s">
        <v>2</v>
      </c>
      <c r="H596" s="3"/>
    </row>
    <row r="597" spans="1:11" ht="15" customHeight="1">
      <c r="A597" s="699" t="s">
        <v>3347</v>
      </c>
      <c r="B597" s="979" t="s">
        <v>3346</v>
      </c>
      <c r="C597" s="679" t="s">
        <v>92</v>
      </c>
      <c r="D597" s="679"/>
      <c r="E597" s="686" t="s">
        <v>341</v>
      </c>
      <c r="F597" s="681"/>
      <c r="G597" s="682" t="e">
        <v>#N/A</v>
      </c>
      <c r="H597" s="3"/>
    </row>
    <row r="598" spans="1:11" ht="15" customHeight="1">
      <c r="A598" s="698" t="s">
        <v>2775</v>
      </c>
      <c r="B598" s="679" t="s">
        <v>1303</v>
      </c>
      <c r="C598" s="679" t="s">
        <v>152</v>
      </c>
      <c r="D598" s="679" t="s">
        <v>106</v>
      </c>
      <c r="E598" s="680" t="s">
        <v>303</v>
      </c>
      <c r="F598" s="681" t="s">
        <v>1368</v>
      </c>
      <c r="G598" s="682" t="s">
        <v>2</v>
      </c>
      <c r="H598" s="3"/>
      <c r="K598" s="3"/>
    </row>
    <row r="599" spans="1:11" ht="15" customHeight="1">
      <c r="A599" s="699" t="s">
        <v>1305</v>
      </c>
      <c r="B599" s="699" t="s">
        <v>1304</v>
      </c>
      <c r="C599" s="679" t="s">
        <v>152</v>
      </c>
      <c r="D599" s="679"/>
      <c r="E599" s="686" t="s">
        <v>341</v>
      </c>
      <c r="F599" s="681"/>
      <c r="G599" s="682" t="e">
        <v>#N/A</v>
      </c>
      <c r="H599" s="3"/>
    </row>
    <row r="600" spans="1:11" ht="15" customHeight="1">
      <c r="A600" s="698" t="s">
        <v>2778</v>
      </c>
      <c r="B600" s="679" t="s">
        <v>1306</v>
      </c>
      <c r="C600" s="679" t="s">
        <v>152</v>
      </c>
      <c r="D600" s="679" t="s">
        <v>106</v>
      </c>
      <c r="E600" s="680" t="s">
        <v>303</v>
      </c>
      <c r="F600" s="681" t="s">
        <v>1368</v>
      </c>
      <c r="G600" s="682" t="s">
        <v>2</v>
      </c>
      <c r="H600" s="3"/>
    </row>
    <row r="601" spans="1:11" ht="15" customHeight="1">
      <c r="A601" s="699" t="s">
        <v>1308</v>
      </c>
      <c r="B601" s="699" t="s">
        <v>1307</v>
      </c>
      <c r="C601" s="679" t="s">
        <v>152</v>
      </c>
      <c r="D601" s="679"/>
      <c r="E601" s="686" t="s">
        <v>341</v>
      </c>
      <c r="F601" s="681"/>
      <c r="G601" s="682" t="e">
        <v>#N/A</v>
      </c>
      <c r="H601" s="3"/>
    </row>
    <row r="602" spans="1:11" ht="15" customHeight="1">
      <c r="A602" s="698" t="s">
        <v>2781</v>
      </c>
      <c r="B602" s="679" t="s">
        <v>1401</v>
      </c>
      <c r="C602" s="679" t="s">
        <v>92</v>
      </c>
      <c r="D602" s="679" t="s">
        <v>149</v>
      </c>
      <c r="E602" s="680" t="s">
        <v>303</v>
      </c>
      <c r="F602" s="681"/>
      <c r="G602" s="682" t="s">
        <v>1154</v>
      </c>
      <c r="H602" s="3"/>
    </row>
    <row r="603" spans="1:11" ht="15" customHeight="1">
      <c r="A603" s="698" t="s">
        <v>3403</v>
      </c>
      <c r="B603" s="679" t="s">
        <v>1402</v>
      </c>
      <c r="C603" s="679" t="s">
        <v>152</v>
      </c>
      <c r="D603" s="679" t="s">
        <v>149</v>
      </c>
      <c r="E603" s="680" t="s">
        <v>303</v>
      </c>
      <c r="F603" s="681"/>
      <c r="G603" s="682" t="s">
        <v>1154</v>
      </c>
      <c r="H603" s="3"/>
    </row>
    <row r="604" spans="1:11" ht="15" customHeight="1">
      <c r="A604" s="698" t="s">
        <v>1310</v>
      </c>
      <c r="B604" s="679" t="s">
        <v>1312</v>
      </c>
      <c r="C604" s="679" t="s">
        <v>198</v>
      </c>
      <c r="D604" s="679" t="s">
        <v>216</v>
      </c>
      <c r="E604" s="680" t="s">
        <v>303</v>
      </c>
      <c r="F604" s="681"/>
      <c r="G604" s="682" t="s">
        <v>1154</v>
      </c>
      <c r="H604" s="3"/>
    </row>
    <row r="605" spans="1:11" ht="15" customHeight="1">
      <c r="A605" s="698" t="s">
        <v>3404</v>
      </c>
      <c r="B605" s="679" t="s">
        <v>1403</v>
      </c>
      <c r="C605" s="679" t="s">
        <v>198</v>
      </c>
      <c r="D605" s="679" t="s">
        <v>216</v>
      </c>
      <c r="E605" s="680" t="s">
        <v>303</v>
      </c>
      <c r="F605" s="681"/>
      <c r="G605" s="680" t="s">
        <v>1154</v>
      </c>
      <c r="H605" s="3"/>
    </row>
    <row r="606" spans="1:11" ht="15" customHeight="1">
      <c r="A606" s="698" t="s">
        <v>1315</v>
      </c>
      <c r="B606" s="980" t="s">
        <v>1313</v>
      </c>
      <c r="C606" s="679" t="s">
        <v>198</v>
      </c>
      <c r="D606" s="679" t="s">
        <v>223</v>
      </c>
      <c r="E606" s="680" t="s">
        <v>303</v>
      </c>
      <c r="F606" s="681"/>
      <c r="G606" s="682" t="s">
        <v>1154</v>
      </c>
      <c r="H606" s="3"/>
    </row>
    <row r="607" spans="1:11" ht="15" customHeight="1">
      <c r="A607" s="698" t="s">
        <v>2788</v>
      </c>
      <c r="B607" s="980" t="s">
        <v>1404</v>
      </c>
      <c r="C607" s="679" t="s">
        <v>198</v>
      </c>
      <c r="D607" s="679" t="s">
        <v>222</v>
      </c>
      <c r="E607" s="680" t="s">
        <v>303</v>
      </c>
      <c r="F607" s="681"/>
      <c r="G607" s="680" t="s">
        <v>1154</v>
      </c>
      <c r="H607" s="3"/>
    </row>
    <row r="608" spans="1:11" ht="15" customHeight="1">
      <c r="A608" s="698" t="s">
        <v>2791</v>
      </c>
      <c r="B608" s="679" t="s">
        <v>1316</v>
      </c>
      <c r="C608" s="679" t="s">
        <v>198</v>
      </c>
      <c r="D608" s="679" t="s">
        <v>223</v>
      </c>
      <c r="E608" s="680" t="s">
        <v>303</v>
      </c>
      <c r="F608" s="681"/>
      <c r="G608" s="682" t="s">
        <v>1154</v>
      </c>
      <c r="H608" s="3"/>
    </row>
    <row r="609" spans="1:8" ht="15" customHeight="1">
      <c r="A609" s="698" t="s">
        <v>3891</v>
      </c>
      <c r="B609" s="679" t="s">
        <v>3890</v>
      </c>
      <c r="C609" s="679" t="s">
        <v>1325</v>
      </c>
      <c r="D609" s="679" t="s">
        <v>3860</v>
      </c>
      <c r="E609" s="680" t="s">
        <v>303</v>
      </c>
      <c r="F609" s="681"/>
      <c r="G609" s="682" t="s">
        <v>1154</v>
      </c>
      <c r="H609" s="3"/>
    </row>
    <row r="610" spans="1:8" ht="15" customHeight="1">
      <c r="A610" s="698" t="s">
        <v>2794</v>
      </c>
      <c r="B610" s="679" t="s">
        <v>1405</v>
      </c>
      <c r="C610" s="679" t="s">
        <v>198</v>
      </c>
      <c r="D610" s="679" t="s">
        <v>142</v>
      </c>
      <c r="E610" s="680" t="s">
        <v>303</v>
      </c>
      <c r="F610" s="681"/>
      <c r="G610" s="680" t="s">
        <v>1154</v>
      </c>
      <c r="H610" s="3"/>
    </row>
    <row r="611" spans="1:8" ht="15" customHeight="1">
      <c r="A611" s="690" t="s">
        <v>3553</v>
      </c>
      <c r="B611" s="685" t="s">
        <v>3552</v>
      </c>
      <c r="C611" s="679" t="s">
        <v>161</v>
      </c>
      <c r="D611" s="679" t="s">
        <v>140</v>
      </c>
      <c r="E611" s="680" t="s">
        <v>303</v>
      </c>
      <c r="F611" s="680"/>
      <c r="G611" s="682" t="s">
        <v>1154</v>
      </c>
      <c r="H611" s="3"/>
    </row>
    <row r="612" spans="1:8" ht="15" customHeight="1">
      <c r="A612" s="1114" t="s">
        <v>3905</v>
      </c>
      <c r="B612" s="1115" t="s">
        <v>3904</v>
      </c>
      <c r="C612" s="679" t="s">
        <v>152</v>
      </c>
      <c r="D612" s="679" t="s">
        <v>153</v>
      </c>
      <c r="E612" s="680" t="s">
        <v>303</v>
      </c>
      <c r="F612" s="681"/>
      <c r="G612" s="680" t="s">
        <v>1110</v>
      </c>
      <c r="H612" s="3"/>
    </row>
    <row r="613" spans="1:8" ht="15" customHeight="1">
      <c r="A613" s="1116" t="s">
        <v>3906</v>
      </c>
      <c r="B613" s="1115" t="s">
        <v>1397</v>
      </c>
      <c r="C613" s="679" t="s">
        <v>176</v>
      </c>
      <c r="D613" s="679" t="s">
        <v>130</v>
      </c>
      <c r="E613" s="680" t="s">
        <v>303</v>
      </c>
      <c r="F613" s="681"/>
      <c r="G613" s="680" t="s">
        <v>1154</v>
      </c>
      <c r="H613" s="3"/>
    </row>
    <row r="614" spans="1:8" ht="15" customHeight="1">
      <c r="A614" s="685"/>
      <c r="B614" s="685"/>
      <c r="C614" s="679"/>
      <c r="D614" s="679"/>
      <c r="E614" s="680"/>
      <c r="F614" s="681"/>
      <c r="G614" s="680" t="e">
        <v>#N/A</v>
      </c>
      <c r="H614" s="3"/>
    </row>
    <row r="615" spans="1:8" ht="15" customHeight="1">
      <c r="A615" s="677"/>
      <c r="B615" s="688"/>
      <c r="C615" s="679"/>
      <c r="D615" s="679"/>
      <c r="E615" s="680"/>
      <c r="F615" s="681"/>
      <c r="G615" s="680" t="e">
        <v>#N/A</v>
      </c>
      <c r="H615" s="3"/>
    </row>
    <row r="616" spans="1:8" ht="15" customHeight="1">
      <c r="A616" s="685"/>
      <c r="B616" s="685"/>
      <c r="C616" s="679"/>
      <c r="D616" s="679"/>
      <c r="E616" s="680"/>
      <c r="F616" s="681"/>
      <c r="G616" s="680" t="e">
        <v>#N/A</v>
      </c>
      <c r="H616" s="3"/>
    </row>
    <row r="617" spans="1:8" ht="15" customHeight="1">
      <c r="A617" s="685"/>
      <c r="B617" s="685"/>
      <c r="C617" s="679"/>
      <c r="D617" s="679"/>
      <c r="E617" s="680"/>
      <c r="F617" s="681"/>
      <c r="G617" s="680" t="e">
        <v>#N/A</v>
      </c>
      <c r="H617" s="3"/>
    </row>
    <row r="618" spans="1:8" ht="15" customHeight="1">
      <c r="A618" s="690"/>
      <c r="B618" s="685"/>
      <c r="C618" s="679"/>
      <c r="D618" s="679"/>
      <c r="E618" s="680"/>
      <c r="F618" s="681"/>
      <c r="G618" s="680" t="e">
        <v>#N/A</v>
      </c>
      <c r="H618" s="3"/>
    </row>
    <row r="619" spans="1:8" ht="15" customHeight="1">
      <c r="A619" s="677"/>
      <c r="B619" s="688"/>
      <c r="C619" s="679"/>
      <c r="D619" s="679"/>
      <c r="E619" s="680"/>
      <c r="F619" s="681"/>
      <c r="G619" s="680" t="e">
        <v>#N/A</v>
      </c>
      <c r="H619" s="3"/>
    </row>
    <row r="620" spans="1:8" ht="15" customHeight="1">
      <c r="A620" s="689"/>
      <c r="B620" s="678"/>
      <c r="C620" s="679"/>
      <c r="D620" s="679"/>
      <c r="E620" s="680"/>
      <c r="F620" s="681"/>
      <c r="G620" s="680" t="e">
        <v>#N/A</v>
      </c>
      <c r="H620" s="3"/>
    </row>
    <row r="621" spans="1:8" ht="15" customHeight="1">
      <c r="A621" s="689"/>
      <c r="B621" s="678"/>
      <c r="C621" s="679"/>
      <c r="D621" s="679"/>
      <c r="E621" s="680"/>
      <c r="F621" s="681"/>
      <c r="G621" s="680" t="e">
        <v>#N/A</v>
      </c>
      <c r="H621" s="3"/>
    </row>
    <row r="622" spans="1:8" ht="15" customHeight="1">
      <c r="A622" s="677"/>
      <c r="B622" s="685"/>
      <c r="C622" s="679"/>
      <c r="D622" s="679"/>
      <c r="E622" s="680"/>
      <c r="F622" s="681"/>
      <c r="G622" s="680" t="e">
        <v>#N/A</v>
      </c>
      <c r="H622" s="3"/>
    </row>
    <row r="623" spans="1:8" ht="15" customHeight="1">
      <c r="A623" s="690"/>
      <c r="B623" s="685"/>
      <c r="C623" s="679"/>
      <c r="D623" s="679"/>
      <c r="E623" s="680"/>
      <c r="F623" s="681"/>
      <c r="G623" s="680" t="e">
        <v>#N/A</v>
      </c>
      <c r="H623" s="3"/>
    </row>
    <row r="624" spans="1:8" ht="15" customHeight="1">
      <c r="A624" s="690"/>
      <c r="B624" s="685"/>
      <c r="C624" s="679"/>
      <c r="D624" s="679"/>
      <c r="E624" s="680"/>
      <c r="F624" s="681"/>
      <c r="G624" s="680" t="e">
        <v>#N/A</v>
      </c>
      <c r="H624" s="3"/>
    </row>
    <row r="625" spans="1:29" ht="15" customHeight="1">
      <c r="A625" s="690"/>
      <c r="B625" s="685"/>
      <c r="C625" s="679"/>
      <c r="D625" s="679"/>
      <c r="E625" s="680"/>
      <c r="F625" s="681"/>
      <c r="G625" s="680" t="e">
        <v>#N/A</v>
      </c>
      <c r="H625" s="3"/>
    </row>
    <row r="626" spans="1:29" ht="15" customHeight="1">
      <c r="A626" s="690"/>
      <c r="B626" s="685"/>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77"/>
      <c r="B628" s="688"/>
      <c r="C628" s="679"/>
      <c r="D628" s="679"/>
      <c r="E628" s="680"/>
      <c r="F628" s="681"/>
      <c r="G628" s="680" t="e">
        <v>#N/A</v>
      </c>
      <c r="H628" s="3"/>
    </row>
    <row r="629" spans="1:29" ht="15" customHeight="1">
      <c r="A629" s="677"/>
      <c r="B629" s="688"/>
      <c r="C629" s="679"/>
      <c r="D629" s="679"/>
      <c r="E629" s="680"/>
      <c r="F629" s="681"/>
      <c r="G629" s="680" t="e">
        <v>#N/A</v>
      </c>
      <c r="H629" s="3"/>
    </row>
    <row r="630" spans="1:29" ht="15" customHeight="1">
      <c r="A630" s="691"/>
      <c r="B630" s="700"/>
      <c r="C630" s="679"/>
      <c r="D630" s="679"/>
      <c r="E630" s="680"/>
      <c r="F630" s="681"/>
      <c r="G630" s="680" t="e">
        <v>#N/A</v>
      </c>
      <c r="H630" s="3"/>
    </row>
    <row r="631" spans="1:29" ht="15" customHeight="1">
      <c r="A631" s="677"/>
      <c r="B631" s="688"/>
      <c r="C631" s="679"/>
      <c r="D631" s="679"/>
      <c r="E631" s="680"/>
      <c r="F631" s="681"/>
      <c r="G631" s="680" t="e">
        <v>#N/A</v>
      </c>
      <c r="H631" s="3"/>
    </row>
    <row r="632" spans="1:29" ht="15" customHeight="1">
      <c r="A632" s="677"/>
      <c r="B632" s="688"/>
      <c r="C632" s="679"/>
      <c r="D632" s="679"/>
      <c r="E632" s="680"/>
      <c r="F632" s="681"/>
      <c r="G632" s="680" t="e">
        <v>#N/A</v>
      </c>
      <c r="H632" s="3"/>
    </row>
    <row r="633" spans="1:29" ht="15" customHeight="1">
      <c r="A633" s="677"/>
      <c r="B633" s="688"/>
      <c r="C633" s="679"/>
      <c r="D633" s="679"/>
      <c r="E633" s="680"/>
      <c r="F633" s="681"/>
      <c r="G633" s="680" t="e">
        <v>#N/A</v>
      </c>
      <c r="H633" s="3"/>
    </row>
    <row r="634" spans="1:29" ht="15" customHeight="1">
      <c r="A634" s="677"/>
      <c r="B634" s="688"/>
      <c r="C634" s="679"/>
      <c r="D634" s="679"/>
      <c r="E634" s="680"/>
      <c r="F634" s="681"/>
      <c r="G634" s="680" t="e">
        <v>#N/A</v>
      </c>
      <c r="H634" s="3"/>
      <c r="I634" s="3"/>
      <c r="J634" s="3"/>
      <c r="L634" s="3"/>
      <c r="M634" s="3"/>
      <c r="N634" s="3"/>
      <c r="O634" s="3"/>
      <c r="P634" s="3"/>
      <c r="Q634" s="3"/>
      <c r="R634" s="3"/>
      <c r="S634" s="3"/>
      <c r="T634" s="3"/>
      <c r="U634" s="3"/>
      <c r="V634" s="3"/>
      <c r="W634" s="3"/>
      <c r="X634" s="3"/>
      <c r="Y634" s="3"/>
      <c r="Z634" s="3"/>
      <c r="AA634" s="3"/>
      <c r="AB634" s="3"/>
      <c r="AC634" s="3"/>
    </row>
    <row r="635" spans="1:29" ht="15" customHeight="1">
      <c r="A635" s="688"/>
      <c r="B635" s="688"/>
      <c r="C635" s="679"/>
      <c r="D635" s="679"/>
      <c r="E635" s="680"/>
      <c r="F635" s="681"/>
      <c r="G635" s="680" t="e">
        <v>#N/A</v>
      </c>
      <c r="H635" s="3"/>
    </row>
    <row r="636" spans="1:29" ht="15" customHeight="1">
      <c r="A636" s="688"/>
      <c r="B636" s="688"/>
      <c r="C636" s="679"/>
      <c r="D636" s="679"/>
      <c r="E636" s="680"/>
      <c r="F636" s="681"/>
      <c r="G636" s="680" t="e">
        <v>#N/A</v>
      </c>
      <c r="H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row>
    <row r="640" spans="1:29" ht="15" customHeight="1">
      <c r="A640" s="677"/>
      <c r="B640" s="688"/>
      <c r="C640" s="679"/>
      <c r="D640" s="679"/>
      <c r="E640" s="680"/>
      <c r="F640" s="681"/>
      <c r="G640" s="680" t="e">
        <v>#N/A</v>
      </c>
      <c r="H640" s="3"/>
    </row>
    <row r="641" spans="1:11" ht="15" customHeight="1">
      <c r="A641" s="677"/>
      <c r="B641" s="688"/>
      <c r="C641" s="679"/>
      <c r="D641" s="679"/>
      <c r="E641" s="680"/>
      <c r="F641" s="681"/>
      <c r="G641" s="680" t="e">
        <v>#N/A</v>
      </c>
      <c r="H641" s="3"/>
      <c r="K641" s="3"/>
    </row>
    <row r="642" spans="1:11" ht="15" customHeight="1">
      <c r="A642" s="677"/>
      <c r="B642" s="688"/>
      <c r="C642" s="679"/>
      <c r="D642" s="679"/>
      <c r="E642" s="680"/>
      <c r="F642" s="681"/>
      <c r="G642" s="680" t="e">
        <v>#N/A</v>
      </c>
      <c r="H642" s="3"/>
    </row>
    <row r="643" spans="1:11" ht="15" customHeight="1">
      <c r="A643" s="677"/>
      <c r="B643" s="688"/>
      <c r="C643" s="679"/>
      <c r="D643" s="679"/>
      <c r="E643" s="680"/>
      <c r="F643" s="681"/>
      <c r="G643" s="680" t="e">
        <v>#N/A</v>
      </c>
      <c r="H643" s="3"/>
    </row>
    <row r="644" spans="1:11" ht="15" customHeight="1">
      <c r="A644" s="677"/>
      <c r="B644" s="688"/>
      <c r="C644" s="679"/>
      <c r="D644" s="679"/>
      <c r="E644" s="680"/>
      <c r="F644" s="681"/>
      <c r="G644" s="680" t="e">
        <v>#N/A</v>
      </c>
      <c r="H644" s="3"/>
    </row>
    <row r="645" spans="1:11" ht="15" customHeight="1">
      <c r="A645" s="677"/>
      <c r="B645" s="688"/>
      <c r="C645" s="679"/>
      <c r="D645" s="679"/>
      <c r="E645" s="680"/>
      <c r="F645" s="681"/>
      <c r="G645" s="680" t="e">
        <v>#N/A</v>
      </c>
      <c r="H645" s="3"/>
    </row>
    <row r="646" spans="1:11" ht="15" customHeight="1">
      <c r="A646" s="677"/>
      <c r="B646" s="688"/>
      <c r="C646" s="679"/>
      <c r="D646" s="679"/>
      <c r="E646" s="680"/>
      <c r="F646" s="681"/>
      <c r="G646" s="680" t="e">
        <v>#N/A</v>
      </c>
      <c r="H646" s="3"/>
    </row>
    <row r="647" spans="1:11" ht="15" customHeight="1">
      <c r="A647" s="677"/>
      <c r="B647" s="688"/>
      <c r="C647" s="679"/>
      <c r="D647" s="679"/>
      <c r="E647" s="680"/>
      <c r="F647" s="681"/>
      <c r="G647" s="680" t="e">
        <v>#N/A</v>
      </c>
      <c r="H647" s="3"/>
    </row>
    <row r="648" spans="1:11" ht="15" customHeight="1">
      <c r="A648" s="677"/>
      <c r="B648" s="688"/>
      <c r="C648" s="679"/>
      <c r="D648" s="679"/>
      <c r="E648" s="680"/>
      <c r="F648" s="681"/>
      <c r="G648" s="680" t="e">
        <v>#N/A</v>
      </c>
      <c r="H648" s="3"/>
    </row>
    <row r="649" spans="1:11" ht="15" customHeight="1">
      <c r="A649" s="677"/>
      <c r="B649" s="688"/>
      <c r="C649" s="679"/>
      <c r="D649" s="679"/>
      <c r="E649" s="680"/>
      <c r="F649" s="681"/>
      <c r="G649" s="680" t="e">
        <v>#N/A</v>
      </c>
      <c r="H649" s="3"/>
    </row>
    <row r="650" spans="1:11" ht="15" customHeight="1">
      <c r="A650" s="677"/>
      <c r="B650" s="688"/>
      <c r="C650" s="679"/>
      <c r="D650" s="679"/>
      <c r="E650" s="680"/>
      <c r="F650" s="681"/>
      <c r="G650" s="680" t="e">
        <v>#N/A</v>
      </c>
      <c r="H650" s="3"/>
    </row>
    <row r="651" spans="1:11" ht="15" customHeight="1">
      <c r="A651" s="677"/>
      <c r="B651" s="688"/>
      <c r="C651" s="679"/>
      <c r="D651" s="679"/>
      <c r="E651" s="680"/>
      <c r="F651" s="681"/>
      <c r="G651" s="680" t="e">
        <v>#N/A</v>
      </c>
      <c r="H651" s="3"/>
    </row>
    <row r="652" spans="1:11" ht="15" customHeight="1">
      <c r="A652" s="677"/>
      <c r="B652" s="688"/>
      <c r="C652" s="679"/>
      <c r="D652" s="679"/>
      <c r="E652" s="680"/>
      <c r="F652" s="681"/>
      <c r="G652" s="680" t="e">
        <v>#N/A</v>
      </c>
      <c r="H652" s="3"/>
    </row>
    <row r="653" spans="1:11" ht="15" customHeight="1">
      <c r="A653" s="677"/>
      <c r="B653" s="688"/>
      <c r="C653" s="679"/>
      <c r="D653" s="679"/>
      <c r="E653" s="680"/>
      <c r="F653" s="681"/>
      <c r="G653" s="680" t="e">
        <v>#N/A</v>
      </c>
      <c r="H653" s="3"/>
    </row>
    <row r="654" spans="1:11" ht="15" customHeight="1">
      <c r="A654" s="677"/>
      <c r="B654" s="688"/>
      <c r="C654" s="679"/>
      <c r="D654" s="679"/>
      <c r="E654" s="680"/>
      <c r="F654" s="681"/>
      <c r="G654" s="680" t="e">
        <v>#N/A</v>
      </c>
      <c r="H654" s="3"/>
    </row>
    <row r="655" spans="1:11" ht="15" customHeight="1">
      <c r="A655" s="688"/>
      <c r="B655" s="688"/>
      <c r="C655" s="679"/>
      <c r="D655" s="679"/>
      <c r="E655" s="680"/>
      <c r="F655" s="681"/>
      <c r="G655" s="680" t="e">
        <v>#N/A</v>
      </c>
      <c r="H655" s="3"/>
    </row>
    <row r="656" spans="1:11" ht="15" customHeight="1">
      <c r="A656" s="688"/>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688"/>
      <c r="C658" s="679"/>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701"/>
      <c r="C660" s="693"/>
      <c r="D660" s="679"/>
      <c r="E660" s="680"/>
      <c r="F660" s="681"/>
      <c r="G660" s="680" t="e">
        <v>#N/A</v>
      </c>
      <c r="H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c r="I665" s="3"/>
      <c r="J665" s="3"/>
      <c r="L665" s="3"/>
      <c r="M665" s="3"/>
      <c r="N665" s="3"/>
      <c r="O665" s="3"/>
      <c r="P665" s="3"/>
      <c r="Q665" s="3"/>
      <c r="R665" s="3"/>
      <c r="S665" s="3"/>
      <c r="T665" s="3"/>
      <c r="U665" s="3"/>
      <c r="V665" s="3"/>
      <c r="W665" s="3"/>
      <c r="X665" s="3"/>
      <c r="Y665" s="3"/>
      <c r="Z665" s="3"/>
      <c r="AA665" s="3"/>
      <c r="AB665" s="3"/>
      <c r="AC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688"/>
      <c r="C683" s="679"/>
      <c r="D683" s="679"/>
      <c r="E683" s="680"/>
      <c r="F683" s="681"/>
      <c r="G683" s="680" t="e">
        <v>#N/A</v>
      </c>
      <c r="H683" s="3"/>
    </row>
    <row r="684" spans="1:8" ht="15" customHeight="1">
      <c r="A684" s="677"/>
      <c r="B684" s="688"/>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688"/>
      <c r="C686" s="679"/>
      <c r="D686" s="679"/>
      <c r="E686" s="680"/>
      <c r="F686" s="681"/>
      <c r="G686" s="680" t="e">
        <v>#N/A</v>
      </c>
      <c r="H686" s="3"/>
    </row>
    <row r="687" spans="1:8" ht="15" customHeight="1">
      <c r="A687" s="677"/>
      <c r="B687" s="688"/>
      <c r="C687" s="679"/>
      <c r="D687" s="679"/>
      <c r="E687" s="680"/>
      <c r="F687" s="681"/>
      <c r="G687" s="680" t="e">
        <v>#N/A</v>
      </c>
      <c r="H687" s="3"/>
    </row>
    <row r="688" spans="1:8" ht="15" customHeight="1">
      <c r="A688" s="677"/>
      <c r="B688" s="700"/>
      <c r="C688" s="679"/>
      <c r="D688" s="679"/>
      <c r="E688" s="680"/>
      <c r="F688" s="681"/>
      <c r="G688" s="680" t="e">
        <v>#N/A</v>
      </c>
      <c r="H688" s="3"/>
    </row>
    <row r="689" spans="1:29" ht="15" customHeight="1">
      <c r="A689" s="677"/>
      <c r="B689" s="700"/>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77"/>
      <c r="B698" s="688"/>
      <c r="C698" s="679"/>
      <c r="D698" s="679"/>
      <c r="E698" s="680"/>
      <c r="F698" s="681"/>
      <c r="G698" s="680" t="e">
        <v>#N/A</v>
      </c>
      <c r="H698" s="3"/>
    </row>
    <row r="699" spans="1:29" ht="15" customHeight="1">
      <c r="A699" s="677"/>
      <c r="B699" s="688"/>
      <c r="C699" s="679"/>
      <c r="D699" s="679"/>
      <c r="E699" s="680"/>
      <c r="F699" s="681"/>
      <c r="G699" s="680" t="e">
        <v>#N/A</v>
      </c>
      <c r="H699" s="3"/>
    </row>
    <row r="700" spans="1:29" ht="15" customHeight="1">
      <c r="A700" s="677"/>
      <c r="B700" s="688"/>
      <c r="C700" s="679"/>
      <c r="D700" s="679"/>
      <c r="E700" s="680"/>
      <c r="F700" s="681"/>
      <c r="G700" s="680" t="e">
        <v>#N/A</v>
      </c>
      <c r="H700" s="3"/>
      <c r="I700" s="3"/>
      <c r="J700" s="3"/>
      <c r="L700" s="3"/>
      <c r="M700" s="3"/>
      <c r="N700" s="3"/>
      <c r="O700" s="3"/>
      <c r="P700" s="3"/>
      <c r="Q700" s="3"/>
      <c r="R700" s="3"/>
      <c r="S700" s="3"/>
      <c r="T700" s="3"/>
      <c r="U700" s="3"/>
      <c r="V700" s="3"/>
      <c r="W700" s="3"/>
      <c r="X700" s="3"/>
      <c r="Y700" s="3"/>
      <c r="Z700" s="3"/>
      <c r="AA700" s="3"/>
      <c r="AB700" s="3"/>
      <c r="AC700" s="3"/>
    </row>
    <row r="701" spans="1:29" ht="15" customHeight="1">
      <c r="A701" s="677"/>
      <c r="B701" s="688"/>
      <c r="C701" s="679"/>
      <c r="D701" s="679"/>
      <c r="E701" s="680"/>
      <c r="F701" s="681"/>
      <c r="G701" s="680" t="e">
        <v>#N/A</v>
      </c>
      <c r="H701" s="3"/>
    </row>
    <row r="702" spans="1:29" ht="15" customHeight="1">
      <c r="A702" s="677"/>
      <c r="B702" s="688"/>
      <c r="C702" s="679"/>
      <c r="D702" s="679"/>
      <c r="E702" s="680"/>
      <c r="F702" s="681"/>
      <c r="G702" s="680" t="e">
        <v>#N/A</v>
      </c>
      <c r="H702" s="3"/>
    </row>
    <row r="703" spans="1:29" ht="15" customHeight="1">
      <c r="A703" s="689"/>
      <c r="B703" s="678"/>
      <c r="C703" s="679"/>
      <c r="D703" s="679"/>
      <c r="E703" s="680"/>
      <c r="F703" s="681"/>
      <c r="G703" s="680" t="e">
        <v>#N/A</v>
      </c>
      <c r="H703" s="3"/>
    </row>
    <row r="704" spans="1:29" ht="15" customHeight="1">
      <c r="A704" s="677"/>
      <c r="B704" s="688"/>
      <c r="C704" s="679"/>
      <c r="D704" s="679"/>
      <c r="E704" s="680"/>
      <c r="F704" s="681"/>
      <c r="G704" s="680" t="e">
        <v>#N/A</v>
      </c>
      <c r="H704" s="3"/>
    </row>
    <row r="705" spans="1:29" ht="15" customHeight="1">
      <c r="A705" s="678"/>
      <c r="B705" s="678"/>
      <c r="C705" s="679"/>
      <c r="D705" s="679"/>
      <c r="E705" s="680"/>
      <c r="F705" s="681"/>
      <c r="G705" s="680" t="e">
        <v>#N/A</v>
      </c>
      <c r="H705" s="3"/>
    </row>
    <row r="706" spans="1:29" ht="15" customHeight="1">
      <c r="A706" s="688"/>
      <c r="B706" s="688"/>
      <c r="C706" s="679"/>
      <c r="D706" s="679"/>
      <c r="E706" s="680"/>
      <c r="F706" s="681"/>
      <c r="G706" s="680" t="e">
        <v>#N/A</v>
      </c>
      <c r="H706" s="3"/>
    </row>
    <row r="707" spans="1:29" ht="15" customHeight="1">
      <c r="A707" s="689"/>
      <c r="B707" s="678"/>
      <c r="C707" s="679"/>
      <c r="D707" s="679"/>
      <c r="E707" s="680"/>
      <c r="F707" s="681"/>
      <c r="G707" s="680" t="e">
        <v>#N/A</v>
      </c>
      <c r="H707" s="3"/>
    </row>
    <row r="708" spans="1:29" ht="15" customHeight="1">
      <c r="A708" s="688"/>
      <c r="B708" s="688"/>
      <c r="C708" s="679"/>
      <c r="D708" s="679"/>
      <c r="E708" s="680"/>
      <c r="F708" s="681"/>
      <c r="G708" s="680" t="e">
        <v>#N/A</v>
      </c>
      <c r="H708" s="3"/>
    </row>
    <row r="709" spans="1:29" ht="15" customHeight="1">
      <c r="A709" s="689"/>
      <c r="B709" s="678"/>
      <c r="C709" s="679"/>
      <c r="D709" s="679"/>
      <c r="E709" s="680"/>
      <c r="F709" s="681"/>
      <c r="G709" s="680" t="e">
        <v>#N/A</v>
      </c>
      <c r="H709" s="3"/>
    </row>
    <row r="710" spans="1:29" ht="15" customHeight="1">
      <c r="A710" s="688"/>
      <c r="B710" s="688"/>
      <c r="C710" s="679"/>
      <c r="D710" s="679"/>
      <c r="E710" s="680"/>
      <c r="F710" s="681"/>
      <c r="G710" s="680" t="e">
        <v>#N/A</v>
      </c>
      <c r="H710" s="3"/>
    </row>
    <row r="711" spans="1:29" ht="15" customHeight="1">
      <c r="A711" s="677"/>
      <c r="B711" s="688"/>
      <c r="C711" s="679"/>
      <c r="D711" s="679"/>
      <c r="E711" s="680"/>
      <c r="F711" s="681"/>
      <c r="G711" s="680" t="e">
        <v>#N/A</v>
      </c>
      <c r="H711" s="3"/>
    </row>
    <row r="712" spans="1:29" ht="15" customHeight="1">
      <c r="A712" s="677"/>
      <c r="B712" s="688"/>
      <c r="C712" s="679"/>
      <c r="D712" s="679"/>
      <c r="E712" s="680"/>
      <c r="F712" s="681"/>
      <c r="G712" s="680" t="e">
        <v>#N/A</v>
      </c>
      <c r="H712" s="3"/>
    </row>
    <row r="713" spans="1:29" ht="15" customHeight="1">
      <c r="A713" s="677"/>
      <c r="B713" s="688"/>
      <c r="C713" s="679"/>
      <c r="D713" s="679"/>
      <c r="E713" s="680"/>
      <c r="F713" s="681"/>
      <c r="G713" s="680" t="e">
        <v>#N/A</v>
      </c>
      <c r="H713" s="3"/>
      <c r="I713" s="3"/>
      <c r="J713" s="3"/>
      <c r="L713" s="3"/>
      <c r="M713" s="3"/>
      <c r="N713" s="3"/>
      <c r="O713" s="3"/>
      <c r="P713" s="3"/>
      <c r="Q713" s="3"/>
      <c r="R713" s="3"/>
      <c r="S713" s="3"/>
      <c r="T713" s="3"/>
      <c r="U713" s="3"/>
      <c r="V713" s="3"/>
      <c r="W713" s="3"/>
      <c r="X713" s="3"/>
      <c r="Y713" s="3"/>
      <c r="Z713" s="3"/>
      <c r="AA713" s="3"/>
      <c r="AB713" s="3"/>
      <c r="AC713" s="3"/>
    </row>
    <row r="714" spans="1:29" ht="15" customHeight="1">
      <c r="A714" s="688"/>
      <c r="B714" s="688"/>
      <c r="C714" s="679"/>
      <c r="D714" s="679"/>
      <c r="E714" s="680"/>
      <c r="F714" s="681"/>
      <c r="G714" s="680" t="e">
        <v>#N/A</v>
      </c>
      <c r="H714" s="3"/>
    </row>
    <row r="715" spans="1:29" ht="15" customHeight="1">
      <c r="A715" s="688"/>
      <c r="B715" s="688"/>
      <c r="C715" s="679"/>
      <c r="D715" s="679"/>
      <c r="E715" s="680"/>
      <c r="F715" s="681"/>
      <c r="G715" s="680" t="e">
        <v>#N/A</v>
      </c>
      <c r="H715" s="3"/>
      <c r="I715" s="3"/>
      <c r="J715" s="3"/>
      <c r="L715" s="3"/>
      <c r="M715" s="3"/>
      <c r="N715" s="3"/>
      <c r="O715" s="3"/>
      <c r="P715" s="3"/>
      <c r="Q715" s="3"/>
      <c r="R715" s="3"/>
      <c r="S715" s="3"/>
      <c r="T715" s="3"/>
      <c r="U715" s="3"/>
      <c r="V715" s="3"/>
      <c r="W715" s="3"/>
      <c r="X715" s="3"/>
      <c r="Y715" s="3"/>
      <c r="Z715" s="3"/>
      <c r="AA715" s="3"/>
      <c r="AB715" s="3"/>
      <c r="AC715" s="3"/>
    </row>
    <row r="716" spans="1:29" ht="15" customHeight="1">
      <c r="A716" s="677"/>
      <c r="B716" s="688"/>
      <c r="C716" s="679"/>
      <c r="D716" s="679"/>
      <c r="E716" s="680"/>
      <c r="F716" s="681"/>
      <c r="G716" s="680" t="e">
        <v>#N/A</v>
      </c>
      <c r="H716" s="3"/>
      <c r="K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677"/>
      <c r="B722" s="688"/>
      <c r="C722" s="679"/>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677"/>
      <c r="B725" s="688"/>
      <c r="C725" s="679"/>
      <c r="D725" s="679"/>
      <c r="E725" s="680"/>
      <c r="F725" s="681"/>
      <c r="G725" s="680" t="e">
        <v>#N/A</v>
      </c>
      <c r="H725" s="3"/>
    </row>
    <row r="726" spans="1:8" ht="15" customHeight="1">
      <c r="A726" s="677"/>
      <c r="B726" s="688"/>
      <c r="C726" s="679"/>
      <c r="D726" s="679"/>
      <c r="E726" s="680"/>
      <c r="F726" s="681"/>
      <c r="G726" s="680" t="e">
        <v>#N/A</v>
      </c>
      <c r="H726" s="3"/>
    </row>
    <row r="727" spans="1:8" ht="15" customHeight="1">
      <c r="A727" s="702"/>
      <c r="B727" s="701"/>
      <c r="C727" s="693"/>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677"/>
      <c r="B732" s="688"/>
      <c r="C732" s="679"/>
      <c r="D732" s="679"/>
      <c r="E732" s="680"/>
      <c r="F732" s="681"/>
      <c r="G732" s="680" t="e">
        <v>#N/A</v>
      </c>
      <c r="H732" s="3"/>
    </row>
    <row r="733" spans="1:8" ht="15" customHeight="1">
      <c r="A733" s="677"/>
      <c r="B733" s="688"/>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677"/>
      <c r="B735" s="688"/>
      <c r="C735" s="679"/>
      <c r="D735" s="679"/>
      <c r="E735" s="680"/>
      <c r="F735" s="681"/>
      <c r="G735" s="680" t="e">
        <v>#N/A</v>
      </c>
      <c r="H735" s="3"/>
    </row>
    <row r="736" spans="1:8" ht="15" customHeight="1">
      <c r="A736" s="677"/>
      <c r="B736" s="688"/>
      <c r="C736" s="679"/>
      <c r="D736" s="679"/>
      <c r="E736" s="680"/>
      <c r="F736" s="681"/>
      <c r="G736" s="680" t="e">
        <v>#N/A</v>
      </c>
      <c r="H736" s="3"/>
    </row>
    <row r="737" spans="1:11" ht="15" customHeight="1">
      <c r="A737" s="702"/>
      <c r="B737" s="703"/>
      <c r="C737" s="679"/>
      <c r="D737" s="679"/>
      <c r="E737" s="680"/>
      <c r="F737" s="681"/>
      <c r="G737" s="680" t="e">
        <v>#N/A</v>
      </c>
      <c r="H737" s="3"/>
    </row>
    <row r="738" spans="1:11" ht="15" customHeight="1">
      <c r="A738" s="677"/>
      <c r="B738" s="685"/>
      <c r="C738" s="679"/>
      <c r="D738" s="679"/>
      <c r="E738" s="680"/>
      <c r="F738" s="681"/>
      <c r="G738" s="680" t="e">
        <v>#N/A</v>
      </c>
      <c r="H738" s="3"/>
    </row>
    <row r="739" spans="1:11" ht="15" customHeight="1">
      <c r="A739" s="677"/>
      <c r="B739" s="68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77"/>
      <c r="B742" s="68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89"/>
      <c r="B744" s="67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row>
    <row r="747" spans="1:11" ht="15" customHeight="1">
      <c r="A747" s="677"/>
      <c r="B747" s="688"/>
      <c r="C747" s="679"/>
      <c r="D747" s="679"/>
      <c r="E747" s="680"/>
      <c r="F747" s="681"/>
      <c r="G747" s="680" t="e">
        <v>#N/A</v>
      </c>
      <c r="H747" s="3"/>
    </row>
    <row r="748" spans="1:11" ht="15" customHeight="1">
      <c r="A748" s="677"/>
      <c r="B748" s="688"/>
      <c r="C748" s="679"/>
      <c r="D748" s="679"/>
      <c r="E748" s="680"/>
      <c r="F748" s="681"/>
      <c r="G748" s="680" t="e">
        <v>#N/A</v>
      </c>
      <c r="H748" s="3"/>
    </row>
    <row r="749" spans="1:11" ht="15" customHeight="1">
      <c r="A749" s="677"/>
      <c r="B749" s="688"/>
      <c r="C749" s="679"/>
      <c r="D749" s="679"/>
      <c r="E749" s="680"/>
      <c r="F749" s="681"/>
      <c r="G749" s="680" t="e">
        <v>#N/A</v>
      </c>
      <c r="H749" s="3"/>
    </row>
    <row r="750" spans="1:11" ht="15" customHeight="1">
      <c r="A750" s="677"/>
      <c r="B750" s="688"/>
      <c r="C750" s="679"/>
      <c r="D750" s="679"/>
      <c r="E750" s="680"/>
      <c r="F750" s="681"/>
      <c r="G750" s="680" t="e">
        <v>#N/A</v>
      </c>
      <c r="H750" s="3"/>
    </row>
    <row r="751" spans="1:11" ht="15" customHeight="1">
      <c r="A751" s="677"/>
      <c r="B751" s="688"/>
      <c r="C751" s="679"/>
      <c r="D751" s="679"/>
      <c r="E751" s="680"/>
      <c r="F751" s="681"/>
      <c r="G751" s="680" t="e">
        <v>#N/A</v>
      </c>
      <c r="H751" s="3"/>
      <c r="K751" s="3"/>
    </row>
    <row r="752" spans="1:11" ht="15" customHeight="1">
      <c r="A752" s="677"/>
      <c r="B752" s="688"/>
      <c r="C752" s="679"/>
      <c r="D752" s="679"/>
      <c r="E752" s="680"/>
      <c r="F752" s="681"/>
      <c r="G752" s="680" t="e">
        <v>#N/A</v>
      </c>
      <c r="H752" s="3"/>
    </row>
    <row r="753" spans="1:11" ht="15" customHeight="1">
      <c r="A753" s="677"/>
      <c r="B753" s="701"/>
      <c r="C753" s="693"/>
      <c r="D753" s="679"/>
      <c r="E753" s="680"/>
      <c r="F753" s="681"/>
      <c r="G753" s="680" t="e">
        <v>#N/A</v>
      </c>
      <c r="H753" s="3"/>
    </row>
    <row r="754" spans="1:11" ht="15" customHeight="1">
      <c r="A754" s="677"/>
      <c r="B754" s="688"/>
      <c r="C754" s="679"/>
      <c r="D754" s="679"/>
      <c r="E754" s="680"/>
      <c r="F754" s="681"/>
      <c r="G754" s="680" t="e">
        <v>#N/A</v>
      </c>
      <c r="H754" s="3"/>
    </row>
    <row r="755" spans="1:11" ht="15" customHeight="1">
      <c r="A755" s="677"/>
      <c r="B755" s="688"/>
      <c r="C755" s="679"/>
      <c r="D755" s="679"/>
      <c r="E755" s="680"/>
      <c r="F755" s="681"/>
      <c r="G755" s="680" t="e">
        <v>#N/A</v>
      </c>
      <c r="H755" s="3"/>
    </row>
    <row r="756" spans="1:11" ht="15" customHeight="1">
      <c r="A756" s="677"/>
      <c r="B756" s="688"/>
      <c r="C756" s="679"/>
      <c r="D756" s="679"/>
      <c r="E756" s="680"/>
      <c r="F756" s="681"/>
      <c r="G756" s="680" t="e">
        <v>#N/A</v>
      </c>
      <c r="H756" s="3"/>
    </row>
    <row r="757" spans="1:11" ht="15" customHeight="1">
      <c r="A757" s="677"/>
      <c r="B757" s="688"/>
      <c r="C757" s="679"/>
      <c r="D757" s="679"/>
      <c r="E757" s="680"/>
      <c r="F757" s="681"/>
      <c r="G757" s="680" t="e">
        <v>#N/A</v>
      </c>
      <c r="H757" s="3"/>
    </row>
    <row r="758" spans="1:11" ht="15" customHeight="1">
      <c r="A758" s="677"/>
      <c r="B758" s="688"/>
      <c r="C758" s="679"/>
      <c r="D758" s="679"/>
      <c r="E758" s="680"/>
      <c r="F758" s="681"/>
      <c r="G758" s="680" t="e">
        <v>#N/A</v>
      </c>
      <c r="H758" s="3"/>
    </row>
    <row r="759" spans="1:11" ht="15" customHeight="1">
      <c r="A759" s="677"/>
      <c r="B759" s="688"/>
      <c r="C759" s="679"/>
      <c r="D759" s="679"/>
      <c r="E759" s="680"/>
      <c r="F759" s="681"/>
      <c r="G759" s="680" t="e">
        <v>#N/A</v>
      </c>
      <c r="H759" s="3"/>
    </row>
    <row r="760" spans="1:11" ht="15" customHeight="1">
      <c r="A760" s="677"/>
      <c r="B760" s="688"/>
      <c r="C760" s="679"/>
      <c r="D760" s="679"/>
      <c r="E760" s="680"/>
      <c r="F760" s="681"/>
      <c r="G760" s="680" t="e">
        <v>#N/A</v>
      </c>
      <c r="H760" s="3"/>
    </row>
    <row r="761" spans="1:11" ht="15" customHeight="1">
      <c r="A761" s="688"/>
      <c r="B761" s="688"/>
      <c r="C761" s="679"/>
      <c r="D761" s="679"/>
      <c r="E761" s="680"/>
      <c r="F761" s="681"/>
      <c r="G761" s="680" t="e">
        <v>#N/A</v>
      </c>
      <c r="H761" s="3"/>
    </row>
    <row r="762" spans="1:11" ht="15" customHeight="1">
      <c r="A762" s="677"/>
      <c r="B762" s="688"/>
      <c r="C762" s="679"/>
      <c r="D762" s="679"/>
      <c r="E762" s="680"/>
      <c r="F762" s="681"/>
      <c r="G762" s="680" t="e">
        <v>#N/A</v>
      </c>
      <c r="H762" s="3"/>
    </row>
    <row r="763" spans="1:11" ht="15" customHeight="1">
      <c r="A763" s="677"/>
      <c r="B763" s="688"/>
      <c r="C763" s="679"/>
      <c r="D763" s="679"/>
      <c r="E763" s="680"/>
      <c r="F763" s="681"/>
      <c r="G763" s="680" t="e">
        <v>#N/A</v>
      </c>
      <c r="H763" s="3"/>
    </row>
    <row r="764" spans="1:11" ht="15" customHeight="1">
      <c r="A764" s="677"/>
      <c r="B764" s="688"/>
      <c r="C764" s="679"/>
      <c r="D764" s="679"/>
      <c r="E764" s="680"/>
      <c r="F764" s="681"/>
      <c r="G764" s="680" t="e">
        <v>#N/A</v>
      </c>
      <c r="H764" s="3"/>
      <c r="K764" s="3"/>
    </row>
    <row r="765" spans="1:11" ht="15" customHeight="1">
      <c r="A765" s="677"/>
      <c r="B765" s="688"/>
      <c r="C765" s="679"/>
      <c r="D765" s="679"/>
      <c r="E765" s="680"/>
      <c r="F765" s="681"/>
      <c r="G765" s="680" t="e">
        <v>#N/A</v>
      </c>
      <c r="H765" s="3"/>
    </row>
    <row r="766" spans="1:11" ht="15" customHeight="1">
      <c r="A766" s="677"/>
      <c r="B766" s="688"/>
      <c r="C766" s="679"/>
      <c r="D766" s="679"/>
      <c r="E766" s="680"/>
      <c r="F766" s="681"/>
      <c r="G766" s="680" t="e">
        <v>#N/A</v>
      </c>
      <c r="H766" s="3"/>
      <c r="K766" s="3"/>
    </row>
    <row r="767" spans="1:11" ht="15" customHeight="1">
      <c r="A767" s="677"/>
      <c r="B767" s="688"/>
      <c r="C767" s="679"/>
      <c r="D767" s="679"/>
      <c r="E767" s="680"/>
      <c r="F767" s="681"/>
      <c r="G767" s="680" t="e">
        <v>#N/A</v>
      </c>
      <c r="H767" s="3"/>
    </row>
    <row r="768" spans="1:11" ht="15" customHeight="1">
      <c r="A768" s="677"/>
      <c r="B768" s="688"/>
      <c r="C768" s="679"/>
      <c r="D768" s="679"/>
      <c r="E768" s="680"/>
      <c r="F768" s="681"/>
      <c r="G768" s="680" t="e">
        <v>#N/A</v>
      </c>
      <c r="H768" s="3"/>
    </row>
    <row r="769" spans="1:29" ht="15" customHeight="1">
      <c r="A769" s="677"/>
      <c r="B769" s="688"/>
      <c r="C769" s="679"/>
      <c r="D769" s="679"/>
      <c r="E769" s="680"/>
      <c r="F769" s="681"/>
      <c r="G769" s="680" t="e">
        <v>#N/A</v>
      </c>
      <c r="H769" s="3"/>
    </row>
    <row r="770" spans="1:29" ht="15" customHeight="1">
      <c r="A770" s="677"/>
      <c r="B770" s="688"/>
      <c r="C770" s="679"/>
      <c r="D770" s="679"/>
      <c r="E770" s="680"/>
      <c r="F770" s="681"/>
      <c r="G770" s="680" t="e">
        <v>#N/A</v>
      </c>
      <c r="H770" s="3"/>
    </row>
    <row r="771" spans="1:29" ht="15" customHeight="1">
      <c r="A771" s="677"/>
      <c r="B771" s="688"/>
      <c r="C771" s="679"/>
      <c r="D771" s="679"/>
      <c r="E771" s="680"/>
      <c r="F771" s="681"/>
      <c r="G771" s="680" t="e">
        <v>#N/A</v>
      </c>
      <c r="H771" s="3"/>
    </row>
    <row r="772" spans="1:29" ht="15" customHeight="1">
      <c r="A772" s="677"/>
      <c r="B772" s="688"/>
      <c r="C772" s="679"/>
      <c r="D772" s="679"/>
      <c r="E772" s="680"/>
      <c r="F772" s="681"/>
      <c r="G772" s="680" t="e">
        <v>#N/A</v>
      </c>
      <c r="H772" s="3"/>
    </row>
    <row r="773" spans="1:29" ht="15" customHeight="1">
      <c r="A773" s="677"/>
      <c r="B773" s="688"/>
      <c r="C773" s="679"/>
      <c r="D773" s="679"/>
      <c r="E773" s="680"/>
      <c r="F773" s="681"/>
      <c r="G773" s="680" t="e">
        <v>#N/A</v>
      </c>
      <c r="H773" s="3"/>
      <c r="I773" s="3"/>
      <c r="J773" s="3"/>
      <c r="L773" s="3"/>
      <c r="M773" s="3"/>
      <c r="N773" s="3"/>
      <c r="O773" s="3"/>
      <c r="P773" s="3"/>
      <c r="Q773" s="3"/>
      <c r="R773" s="3"/>
      <c r="S773" s="3"/>
      <c r="T773" s="3"/>
      <c r="U773" s="3"/>
      <c r="V773" s="3"/>
      <c r="W773" s="3"/>
      <c r="X773" s="3"/>
      <c r="Y773" s="3"/>
      <c r="Z773" s="3"/>
      <c r="AA773" s="3"/>
      <c r="AB773" s="3"/>
      <c r="AC773" s="3"/>
    </row>
    <row r="774" spans="1:29" ht="15" customHeight="1">
      <c r="A774" s="677"/>
      <c r="B774" s="688"/>
      <c r="C774" s="679"/>
      <c r="D774" s="679"/>
      <c r="E774" s="680"/>
      <c r="F774" s="681"/>
      <c r="G774" s="680" t="e">
        <v>#N/A</v>
      </c>
      <c r="H774" s="3"/>
    </row>
    <row r="775" spans="1:29" ht="15" customHeight="1">
      <c r="A775" s="677"/>
      <c r="B775" s="688"/>
      <c r="C775" s="679"/>
      <c r="D775" s="679"/>
      <c r="E775" s="680"/>
      <c r="F775" s="681"/>
      <c r="G775" s="680" t="e">
        <v>#N/A</v>
      </c>
      <c r="H775" s="3"/>
    </row>
    <row r="776" spans="1:29" ht="15" customHeight="1">
      <c r="A776" s="677"/>
      <c r="B776" s="688"/>
      <c r="C776" s="679"/>
      <c r="D776" s="679"/>
      <c r="E776" s="680"/>
      <c r="F776" s="681"/>
      <c r="G776" s="680" t="e">
        <v>#N/A</v>
      </c>
      <c r="H776" s="3"/>
    </row>
    <row r="777" spans="1:29" ht="15" customHeight="1">
      <c r="A777" s="677"/>
      <c r="B777" s="688"/>
      <c r="C777" s="679"/>
      <c r="D777" s="679"/>
      <c r="E777" s="680"/>
      <c r="F777" s="681"/>
      <c r="G777" s="680" t="e">
        <v>#N/A</v>
      </c>
      <c r="H777" s="3"/>
    </row>
    <row r="778" spans="1:29" ht="15" customHeight="1">
      <c r="A778" s="677"/>
      <c r="B778" s="688"/>
      <c r="C778" s="679"/>
      <c r="D778" s="679"/>
      <c r="E778" s="680"/>
      <c r="F778" s="681"/>
      <c r="G778" s="680" t="e">
        <v>#N/A</v>
      </c>
      <c r="H778" s="3"/>
    </row>
    <row r="779" spans="1:29" ht="15" customHeight="1">
      <c r="A779" s="677"/>
      <c r="B779" s="688"/>
      <c r="C779" s="679"/>
      <c r="D779" s="679"/>
      <c r="E779" s="680"/>
      <c r="F779" s="681"/>
      <c r="G779" s="680" t="e">
        <v>#N/A</v>
      </c>
      <c r="H779" s="3"/>
    </row>
    <row r="780" spans="1:29" ht="15" customHeight="1">
      <c r="A780" s="677"/>
      <c r="B780" s="688"/>
      <c r="C780" s="679"/>
      <c r="D780" s="679"/>
      <c r="E780" s="680"/>
      <c r="F780" s="681"/>
      <c r="G780" s="680" t="e">
        <v>#N/A</v>
      </c>
      <c r="H780" s="3"/>
    </row>
    <row r="781" spans="1:29" ht="15" customHeight="1">
      <c r="A781" s="677"/>
      <c r="B781" s="688"/>
      <c r="C781" s="679"/>
      <c r="D781" s="679"/>
      <c r="E781" s="680"/>
      <c r="F781" s="681"/>
      <c r="G781" s="680" t="e">
        <v>#N/A</v>
      </c>
      <c r="H781" s="3"/>
    </row>
    <row r="782" spans="1:29" ht="15" customHeight="1">
      <c r="A782" s="677"/>
      <c r="B782" s="688"/>
      <c r="C782" s="679"/>
      <c r="D782" s="679"/>
      <c r="E782" s="680"/>
      <c r="F782" s="681"/>
      <c r="G782" s="680" t="e">
        <v>#N/A</v>
      </c>
      <c r="H782" s="3"/>
    </row>
    <row r="783" spans="1:29" ht="15" customHeight="1">
      <c r="A783" s="677"/>
      <c r="B783" s="688"/>
      <c r="C783" s="679"/>
      <c r="D783" s="679"/>
      <c r="E783" s="680"/>
      <c r="F783" s="681"/>
      <c r="G783" s="680" t="e">
        <v>#N/A</v>
      </c>
      <c r="H783" s="3"/>
    </row>
    <row r="784" spans="1:29"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77"/>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77"/>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88"/>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c r="I809" s="3"/>
      <c r="J809" s="3"/>
      <c r="L809" s="3"/>
      <c r="M809" s="3"/>
      <c r="N809" s="3"/>
      <c r="O809" s="3"/>
      <c r="P809" s="3"/>
      <c r="Q809" s="3"/>
      <c r="R809" s="3"/>
      <c r="S809" s="3"/>
      <c r="T809" s="3"/>
      <c r="U809" s="3"/>
      <c r="V809" s="3"/>
      <c r="W809" s="3"/>
      <c r="X809" s="3"/>
      <c r="Y809" s="3"/>
      <c r="Z809" s="3"/>
      <c r="AA809" s="3"/>
      <c r="AB809" s="3"/>
      <c r="AC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row>
    <row r="815" spans="1:29" ht="15" customHeight="1">
      <c r="A815" s="677"/>
      <c r="B815" s="688"/>
      <c r="C815" s="679"/>
      <c r="D815" s="679"/>
      <c r="E815" s="680"/>
      <c r="F815" s="681"/>
      <c r="G815" s="680" t="e">
        <v>#N/A</v>
      </c>
      <c r="H815" s="3"/>
    </row>
    <row r="816" spans="1:29" ht="15" customHeight="1">
      <c r="A816" s="677"/>
      <c r="B816" s="688"/>
      <c r="C816" s="679"/>
      <c r="D816" s="679"/>
      <c r="E816" s="680"/>
      <c r="F816" s="681"/>
      <c r="G816" s="680" t="e">
        <v>#N/A</v>
      </c>
      <c r="H816" s="3"/>
      <c r="K816" s="3"/>
    </row>
    <row r="817" spans="1:29" ht="15" customHeight="1">
      <c r="A817" s="677"/>
      <c r="B817" s="688"/>
      <c r="C817" s="679"/>
      <c r="D817" s="679"/>
      <c r="E817" s="680"/>
      <c r="F817" s="681"/>
      <c r="G817" s="680" t="e">
        <v>#N/A</v>
      </c>
      <c r="H817" s="3"/>
    </row>
    <row r="818" spans="1:29" ht="15" customHeight="1">
      <c r="A818" s="677"/>
      <c r="B818" s="688"/>
      <c r="C818" s="679"/>
      <c r="D818" s="679"/>
      <c r="E818" s="680"/>
      <c r="F818" s="681"/>
      <c r="G818" s="680" t="e">
        <v>#N/A</v>
      </c>
      <c r="H818" s="3"/>
    </row>
    <row r="819" spans="1:29" ht="15" customHeight="1">
      <c r="A819" s="677"/>
      <c r="B819" s="688"/>
      <c r="C819" s="679"/>
      <c r="D819" s="679"/>
      <c r="E819" s="680"/>
      <c r="F819" s="681"/>
      <c r="G819" s="680" t="e">
        <v>#N/A</v>
      </c>
      <c r="H819" s="3"/>
    </row>
    <row r="820" spans="1:29" ht="15" customHeight="1">
      <c r="A820" s="677"/>
      <c r="B820" s="703"/>
      <c r="C820" s="679"/>
      <c r="D820" s="679"/>
      <c r="E820" s="680"/>
      <c r="F820" s="681"/>
      <c r="G820" s="680" t="e">
        <v>#N/A</v>
      </c>
      <c r="H820" s="3"/>
    </row>
    <row r="821" spans="1:29" ht="15" customHeight="1">
      <c r="A821" s="677"/>
      <c r="B821" s="688"/>
      <c r="C821" s="679"/>
      <c r="D821" s="679"/>
      <c r="E821" s="680"/>
      <c r="F821" s="681"/>
      <c r="G821" s="680" t="e">
        <v>#N/A</v>
      </c>
      <c r="H821" s="4"/>
    </row>
    <row r="822" spans="1:29" ht="15" customHeight="1">
      <c r="A822" s="677"/>
      <c r="B822" s="688"/>
      <c r="C822" s="679"/>
      <c r="D822" s="679"/>
      <c r="E822" s="680"/>
      <c r="F822" s="681"/>
      <c r="G822" s="680" t="e">
        <v>#N/A</v>
      </c>
      <c r="H822" s="4"/>
    </row>
    <row r="823" spans="1:29" ht="15" customHeight="1">
      <c r="A823" s="677"/>
      <c r="B823" s="688"/>
      <c r="C823" s="679"/>
      <c r="D823" s="679"/>
      <c r="E823" s="680"/>
      <c r="F823" s="681"/>
      <c r="G823" s="680" t="e">
        <v>#N/A</v>
      </c>
      <c r="H823" s="3"/>
    </row>
    <row r="824" spans="1:29" ht="15" customHeight="1">
      <c r="A824" s="677"/>
      <c r="B824" s="688"/>
      <c r="C824" s="679"/>
      <c r="D824" s="679"/>
      <c r="E824" s="680"/>
      <c r="F824" s="681"/>
      <c r="G824" s="680" t="e">
        <v>#N/A</v>
      </c>
      <c r="H824" s="3"/>
    </row>
    <row r="825" spans="1:29" ht="15" customHeight="1">
      <c r="A825" s="677"/>
      <c r="B825" s="688"/>
      <c r="C825" s="679"/>
      <c r="D825" s="679"/>
      <c r="E825" s="680"/>
      <c r="F825" s="681"/>
      <c r="G825" s="680" t="e">
        <v>#N/A</v>
      </c>
      <c r="H825" s="3"/>
      <c r="I825" s="3"/>
      <c r="J825" s="3"/>
      <c r="K825" s="3"/>
      <c r="L825" s="3"/>
      <c r="M825" s="3"/>
      <c r="N825" s="3"/>
      <c r="O825" s="3"/>
      <c r="P825" s="3"/>
      <c r="Q825" s="3"/>
      <c r="R825" s="3"/>
      <c r="S825" s="3"/>
      <c r="T825" s="3"/>
      <c r="U825" s="3"/>
      <c r="V825" s="3"/>
      <c r="W825" s="3"/>
      <c r="X825" s="3"/>
      <c r="Y825" s="3"/>
      <c r="Z825" s="3"/>
      <c r="AA825" s="3"/>
      <c r="AB825" s="3"/>
      <c r="AC825" s="3"/>
    </row>
    <row r="826" spans="1:29" ht="15" customHeight="1">
      <c r="A826" s="677"/>
      <c r="B826" s="688"/>
      <c r="C826" s="679"/>
      <c r="D826" s="679"/>
      <c r="E826" s="680"/>
      <c r="F826" s="681"/>
      <c r="G826" s="680" t="e">
        <v>#N/A</v>
      </c>
      <c r="H826" s="3"/>
      <c r="I826" s="3"/>
      <c r="J826" s="3"/>
      <c r="L826" s="3"/>
      <c r="M826" s="3"/>
      <c r="N826" s="3"/>
      <c r="O826" s="3"/>
      <c r="P826" s="3"/>
      <c r="Q826" s="3"/>
      <c r="R826" s="3"/>
      <c r="S826" s="3"/>
      <c r="T826" s="3"/>
      <c r="U826" s="3"/>
      <c r="V826" s="3"/>
      <c r="W826" s="3"/>
      <c r="X826" s="3"/>
      <c r="Y826" s="3"/>
      <c r="Z826" s="3"/>
      <c r="AA826" s="3"/>
      <c r="AB826" s="3"/>
      <c r="AC826" s="3"/>
    </row>
    <row r="827" spans="1:29" ht="15" customHeight="1">
      <c r="A827" s="677"/>
      <c r="B827" s="688"/>
      <c r="C827" s="679"/>
      <c r="D827" s="679"/>
      <c r="E827" s="680"/>
      <c r="F827" s="681"/>
      <c r="G827" s="680" t="e">
        <v>#N/A</v>
      </c>
      <c r="H827" s="3"/>
    </row>
    <row r="828" spans="1:29" ht="15" customHeight="1">
      <c r="A828" s="677"/>
      <c r="B828" s="688"/>
      <c r="C828" s="679"/>
      <c r="D828" s="679"/>
      <c r="E828" s="680"/>
      <c r="F828" s="681"/>
      <c r="G828" s="680" t="e">
        <v>#N/A</v>
      </c>
      <c r="H828" s="3"/>
    </row>
    <row r="829" spans="1:29" ht="15" customHeight="1">
      <c r="A829" s="677"/>
      <c r="B829" s="688"/>
      <c r="C829" s="679"/>
      <c r="D829" s="679"/>
      <c r="E829" s="680"/>
      <c r="F829" s="681"/>
      <c r="G829" s="680" t="e">
        <v>#N/A</v>
      </c>
      <c r="H829" s="3"/>
    </row>
    <row r="830" spans="1:29" ht="15" customHeight="1">
      <c r="A830" s="677"/>
      <c r="B830" s="688"/>
      <c r="C830" s="679"/>
      <c r="D830" s="679"/>
      <c r="E830" s="680"/>
      <c r="F830" s="681"/>
      <c r="G830" s="680" t="e">
        <v>#N/A</v>
      </c>
      <c r="H830" s="3"/>
    </row>
    <row r="831" spans="1:29" ht="15" customHeight="1">
      <c r="A831" s="688"/>
      <c r="B831" s="688"/>
      <c r="C831" s="679"/>
      <c r="D831" s="679"/>
      <c r="E831" s="680"/>
      <c r="F831" s="681"/>
      <c r="G831" s="680" t="e">
        <v>#N/A</v>
      </c>
      <c r="H831" s="33"/>
    </row>
    <row r="832" spans="1:29" ht="15" customHeight="1">
      <c r="A832" s="688"/>
      <c r="B832" s="688"/>
      <c r="C832" s="679"/>
      <c r="D832" s="679"/>
      <c r="E832" s="680"/>
      <c r="F832" s="681"/>
      <c r="G832" s="680" t="e">
        <v>#N/A</v>
      </c>
      <c r="H832" s="33"/>
      <c r="I832" s="3"/>
      <c r="J832" s="3"/>
      <c r="L832" s="3"/>
      <c r="M832" s="3"/>
      <c r="N832" s="3"/>
      <c r="O832" s="3"/>
      <c r="P832" s="3"/>
      <c r="Q832" s="3"/>
      <c r="R832" s="3"/>
      <c r="S832" s="3"/>
      <c r="T832" s="3"/>
      <c r="U832" s="3"/>
      <c r="V832" s="3"/>
      <c r="W832" s="3"/>
      <c r="X832" s="3"/>
      <c r="Y832" s="3"/>
      <c r="Z832" s="3"/>
      <c r="AA832" s="3"/>
      <c r="AB832" s="3"/>
      <c r="AC832" s="3"/>
    </row>
    <row r="833" spans="1:8" ht="15" customHeight="1">
      <c r="A833" s="677"/>
      <c r="B833" s="688"/>
      <c r="C833" s="679"/>
      <c r="D833" s="679"/>
      <c r="E833" s="680"/>
      <c r="F833" s="681"/>
      <c r="G833" s="680" t="e">
        <v>#N/A</v>
      </c>
      <c r="H833" s="33"/>
    </row>
    <row r="834" spans="1:8" ht="15" customHeight="1">
      <c r="A834" s="677"/>
      <c r="B834" s="688"/>
      <c r="C834" s="679"/>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688"/>
      <c r="C837" s="679"/>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701"/>
      <c r="C839" s="693"/>
      <c r="D839" s="679"/>
      <c r="E839" s="680"/>
      <c r="F839" s="681"/>
      <c r="G839" s="680" t="e">
        <v>#N/A</v>
      </c>
      <c r="H839" s="33"/>
    </row>
    <row r="840" spans="1:8" ht="15" customHeight="1">
      <c r="A840" s="677"/>
      <c r="B840" s="688"/>
      <c r="C840" s="679"/>
      <c r="D840" s="679"/>
      <c r="E840" s="680"/>
      <c r="F840" s="681"/>
      <c r="G840" s="680" t="e">
        <v>#N/A</v>
      </c>
      <c r="H840" s="33"/>
    </row>
    <row r="841" spans="1:8" ht="15" customHeight="1">
      <c r="A841" s="677"/>
      <c r="B841" s="688"/>
      <c r="C841" s="679"/>
      <c r="D841" s="679"/>
      <c r="E841" s="680"/>
      <c r="F841" s="681"/>
      <c r="G841" s="680" t="e">
        <v>#N/A</v>
      </c>
      <c r="H841" s="33"/>
    </row>
    <row r="842" spans="1:8" ht="15" customHeight="1">
      <c r="A842" s="677"/>
      <c r="B842" s="688"/>
      <c r="C842" s="679"/>
      <c r="D842" s="679"/>
      <c r="E842" s="680"/>
      <c r="F842" s="681"/>
      <c r="G842" s="680" t="e">
        <v>#N/A</v>
      </c>
      <c r="H842" s="33"/>
    </row>
    <row r="843" spans="1:8" ht="15" customHeight="1">
      <c r="A843" s="677"/>
      <c r="B843" s="688"/>
      <c r="C843" s="679"/>
      <c r="D843" s="679"/>
      <c r="E843" s="680"/>
      <c r="F843" s="681"/>
      <c r="G843" s="680" t="e">
        <v>#N/A</v>
      </c>
      <c r="H843" s="3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
    </row>
    <row r="850" spans="1:8" ht="15" customHeight="1">
      <c r="A850" s="677"/>
      <c r="B850" s="688"/>
      <c r="C850" s="679"/>
      <c r="D850" s="679"/>
      <c r="E850" s="680"/>
      <c r="F850" s="681"/>
      <c r="G850" s="680" t="e">
        <v>#N/A</v>
      </c>
      <c r="H850" s="3"/>
    </row>
    <row r="851" spans="1:8" ht="15" customHeight="1">
      <c r="A851" s="677"/>
      <c r="B851" s="688"/>
      <c r="C851" s="679"/>
      <c r="D851" s="679"/>
      <c r="E851" s="680"/>
      <c r="F851" s="681"/>
      <c r="G851" s="680" t="e">
        <v>#N/A</v>
      </c>
      <c r="H851" s="3"/>
    </row>
    <row r="852" spans="1:8" ht="15" customHeight="1">
      <c r="A852" s="677"/>
      <c r="B852" s="688"/>
      <c r="C852" s="679"/>
      <c r="D852" s="679"/>
      <c r="E852" s="680"/>
      <c r="F852" s="681"/>
      <c r="G852" s="680" t="e">
        <v>#N/A</v>
      </c>
      <c r="H852" s="3"/>
    </row>
    <row r="853" spans="1:8" ht="15" customHeight="1">
      <c r="A853" s="677"/>
      <c r="B853" s="688"/>
      <c r="C853" s="679"/>
      <c r="D853" s="679"/>
      <c r="E853" s="680"/>
      <c r="F853" s="681"/>
      <c r="G853" s="680" t="e">
        <v>#N/A</v>
      </c>
      <c r="H853" s="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677"/>
      <c r="B856" s="688"/>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677"/>
      <c r="B859" s="688"/>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702"/>
      <c r="B861" s="700"/>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77"/>
      <c r="B864" s="688"/>
      <c r="C864" s="679"/>
      <c r="D864" s="679"/>
      <c r="E864" s="680"/>
      <c r="F864" s="681"/>
      <c r="G864" s="680" t="e">
        <v>#N/A</v>
      </c>
      <c r="H864" s="33"/>
    </row>
    <row r="865" spans="1:11" ht="15" customHeight="1">
      <c r="A865" s="677"/>
      <c r="B865" s="688"/>
      <c r="C865" s="679"/>
      <c r="D865" s="679"/>
      <c r="E865" s="680"/>
      <c r="F865" s="681"/>
      <c r="G865" s="680" t="e">
        <v>#N/A</v>
      </c>
      <c r="H865" s="33"/>
    </row>
    <row r="866" spans="1:11" ht="15" customHeight="1">
      <c r="A866" s="688"/>
      <c r="B866" s="688"/>
      <c r="C866" s="679"/>
      <c r="D866" s="679"/>
      <c r="E866" s="680"/>
      <c r="F866" s="681"/>
      <c r="G866" s="680" t="e">
        <v>#N/A</v>
      </c>
      <c r="H866" s="33"/>
    </row>
    <row r="867" spans="1:11" ht="15" customHeight="1">
      <c r="A867" s="677"/>
      <c r="B867" s="688"/>
      <c r="C867" s="679"/>
      <c r="D867" s="679"/>
      <c r="E867" s="680"/>
      <c r="F867" s="681"/>
      <c r="G867" s="680" t="e">
        <v>#N/A</v>
      </c>
      <c r="H867" s="33"/>
    </row>
    <row r="868" spans="1:11" ht="15" customHeight="1">
      <c r="A868" s="677"/>
      <c r="B868" s="688"/>
      <c r="C868" s="679"/>
      <c r="D868" s="679"/>
      <c r="E868" s="680"/>
      <c r="F868" s="681"/>
      <c r="G868" s="680" t="e">
        <v>#N/A</v>
      </c>
      <c r="H868" s="33"/>
    </row>
    <row r="869" spans="1:11" ht="15" customHeight="1">
      <c r="A869" s="677"/>
      <c r="B869" s="688"/>
      <c r="C869" s="679"/>
      <c r="D869" s="679"/>
      <c r="E869" s="680"/>
      <c r="F869" s="681"/>
      <c r="G869" s="680" t="e">
        <v>#N/A</v>
      </c>
      <c r="H869" s="33"/>
    </row>
    <row r="870" spans="1:11" ht="15" customHeight="1">
      <c r="A870" s="677"/>
      <c r="B870" s="688"/>
      <c r="C870" s="679"/>
      <c r="D870" s="679"/>
      <c r="E870" s="680"/>
      <c r="F870" s="681"/>
      <c r="G870" s="680" t="e">
        <v>#N/A</v>
      </c>
      <c r="H870" s="33"/>
    </row>
    <row r="871" spans="1:11" ht="15" customHeight="1">
      <c r="A871" s="677"/>
      <c r="B871" s="688"/>
      <c r="C871" s="679"/>
      <c r="D871" s="679"/>
      <c r="E871" s="680"/>
      <c r="F871" s="681"/>
      <c r="G871" s="680" t="e">
        <v>#N/A</v>
      </c>
      <c r="H871" s="33"/>
    </row>
    <row r="872" spans="1:11" ht="15" customHeight="1">
      <c r="A872" s="677"/>
      <c r="B872" s="688"/>
      <c r="C872" s="679"/>
      <c r="D872" s="679"/>
      <c r="E872" s="680"/>
      <c r="F872" s="681"/>
      <c r="G872" s="680" t="e">
        <v>#N/A</v>
      </c>
      <c r="H872" s="33"/>
    </row>
    <row r="873" spans="1:11" ht="15" customHeight="1">
      <c r="A873" s="677"/>
      <c r="B873" s="688"/>
      <c r="C873" s="679"/>
      <c r="D873" s="679"/>
      <c r="E873" s="680"/>
      <c r="F873" s="681"/>
      <c r="G873" s="680" t="e">
        <v>#N/A</v>
      </c>
      <c r="H873" s="33"/>
    </row>
    <row r="874" spans="1:11" ht="15" customHeight="1">
      <c r="A874" s="677"/>
      <c r="B874" s="688"/>
      <c r="C874" s="679"/>
      <c r="D874" s="679"/>
      <c r="E874" s="680"/>
      <c r="F874" s="681"/>
      <c r="G874" s="680" t="e">
        <v>#N/A</v>
      </c>
      <c r="H874" s="33"/>
    </row>
    <row r="875" spans="1:11" ht="15" customHeight="1">
      <c r="A875" s="677"/>
      <c r="B875" s="688"/>
      <c r="C875" s="679"/>
      <c r="D875" s="679"/>
      <c r="E875" s="680"/>
      <c r="F875" s="681"/>
      <c r="G875" s="680" t="e">
        <v>#N/A</v>
      </c>
      <c r="H875" s="33"/>
    </row>
    <row r="876" spans="1:11" ht="15" customHeight="1">
      <c r="A876" s="677"/>
      <c r="B876" s="688"/>
      <c r="C876" s="679"/>
      <c r="D876" s="679"/>
      <c r="E876" s="680"/>
      <c r="F876" s="681"/>
      <c r="G876" s="680" t="e">
        <v>#N/A</v>
      </c>
      <c r="H876" s="33"/>
      <c r="K876" s="3"/>
    </row>
    <row r="877" spans="1:11" ht="15" customHeight="1">
      <c r="A877" s="677"/>
      <c r="B877" s="688"/>
      <c r="C877" s="679"/>
      <c r="D877" s="679"/>
      <c r="E877" s="680"/>
      <c r="F877" s="681"/>
      <c r="G877" s="680" t="e">
        <v>#N/A</v>
      </c>
      <c r="H877" s="33"/>
      <c r="K877" s="3"/>
    </row>
    <row r="878" spans="1:11" ht="15" customHeight="1">
      <c r="A878" s="677"/>
      <c r="B878" s="688"/>
      <c r="C878" s="679"/>
      <c r="D878" s="679"/>
      <c r="E878" s="680"/>
      <c r="F878" s="681"/>
      <c r="G878" s="680" t="e">
        <v>#N/A</v>
      </c>
      <c r="H878" s="33"/>
    </row>
    <row r="879" spans="1:11" ht="15" customHeight="1">
      <c r="A879" s="677"/>
      <c r="B879" s="688"/>
      <c r="C879" s="679"/>
      <c r="D879" s="679"/>
      <c r="E879" s="680"/>
      <c r="F879" s="681"/>
      <c r="G879" s="680" t="e">
        <v>#N/A</v>
      </c>
      <c r="H879" s="33"/>
    </row>
    <row r="880" spans="1:11" ht="15" customHeight="1">
      <c r="A880" s="677"/>
      <c r="B880" s="688"/>
      <c r="C880" s="679"/>
      <c r="D880" s="679"/>
      <c r="E880" s="680"/>
      <c r="F880" s="681"/>
      <c r="G880" s="680" t="e">
        <v>#N/A</v>
      </c>
      <c r="H880" s="33"/>
    </row>
    <row r="881" spans="1:29" ht="15" customHeight="1">
      <c r="A881" s="677"/>
      <c r="B881" s="688"/>
      <c r="C881" s="679"/>
      <c r="D881" s="679"/>
      <c r="E881" s="680"/>
      <c r="F881" s="681"/>
      <c r="G881" s="680" t="e">
        <v>#N/A</v>
      </c>
      <c r="H881" s="33"/>
      <c r="I881" s="3"/>
      <c r="J881" s="3"/>
      <c r="L881" s="3"/>
      <c r="M881" s="3"/>
      <c r="N881" s="3"/>
      <c r="O881" s="3"/>
      <c r="P881" s="3"/>
      <c r="Q881" s="3"/>
      <c r="R881" s="3"/>
      <c r="S881" s="3"/>
      <c r="T881" s="3"/>
      <c r="U881" s="3"/>
      <c r="V881" s="3"/>
      <c r="W881" s="3"/>
      <c r="X881" s="3"/>
      <c r="Y881" s="3"/>
      <c r="Z881" s="3"/>
      <c r="AA881" s="3"/>
      <c r="AB881" s="3"/>
      <c r="AC881" s="3"/>
    </row>
    <row r="882" spans="1:29" ht="15" customHeight="1">
      <c r="A882" s="677"/>
      <c r="B882" s="688"/>
      <c r="C882" s="679"/>
      <c r="D882" s="679"/>
      <c r="E882" s="680"/>
      <c r="F882" s="681"/>
      <c r="G882" s="680" t="e">
        <v>#N/A</v>
      </c>
      <c r="H882" s="33"/>
    </row>
    <row r="883" spans="1:29" ht="15" customHeight="1">
      <c r="A883" s="677"/>
      <c r="B883" s="688"/>
      <c r="C883" s="679"/>
      <c r="D883" s="679"/>
      <c r="E883" s="680"/>
      <c r="F883" s="681"/>
      <c r="G883" s="680" t="e">
        <v>#N/A</v>
      </c>
      <c r="H883" s="33"/>
      <c r="K883" s="3"/>
    </row>
    <row r="884" spans="1:29" ht="15" customHeight="1">
      <c r="A884" s="677"/>
      <c r="B884" s="688"/>
      <c r="C884" s="679"/>
      <c r="D884" s="679"/>
      <c r="E884" s="680"/>
      <c r="F884" s="681"/>
      <c r="G884" s="680" t="e">
        <v>#N/A</v>
      </c>
      <c r="H884" s="33"/>
    </row>
    <row r="885" spans="1:29" ht="15" customHeight="1">
      <c r="A885" s="677"/>
      <c r="B885" s="688"/>
      <c r="C885" s="679"/>
      <c r="D885" s="679"/>
      <c r="E885" s="680"/>
      <c r="F885" s="681"/>
      <c r="G885" s="680" t="e">
        <v>#N/A</v>
      </c>
      <c r="H885" s="33"/>
    </row>
    <row r="886" spans="1:29" ht="15" customHeight="1">
      <c r="A886" s="677"/>
      <c r="B886" s="688"/>
      <c r="C886" s="679"/>
      <c r="D886" s="679"/>
      <c r="E886" s="680"/>
      <c r="F886" s="681"/>
      <c r="G886" s="680" t="e">
        <v>#N/A</v>
      </c>
      <c r="H886" s="33"/>
    </row>
    <row r="887" spans="1:29" ht="15" customHeight="1">
      <c r="A887" s="688"/>
      <c r="B887" s="688"/>
      <c r="C887" s="679"/>
      <c r="D887" s="679"/>
      <c r="E887" s="680"/>
      <c r="F887" s="681"/>
      <c r="G887" s="680" t="e">
        <v>#N/A</v>
      </c>
      <c r="H887" s="33"/>
    </row>
    <row r="888" spans="1:29" ht="15" customHeight="1">
      <c r="A888" s="677"/>
      <c r="B888" s="688"/>
      <c r="C888" s="679"/>
      <c r="D888" s="679"/>
      <c r="E888" s="680"/>
      <c r="F888" s="681"/>
      <c r="G888" s="680" t="e">
        <v>#N/A</v>
      </c>
      <c r="H888" s="33"/>
      <c r="K888" s="3"/>
    </row>
    <row r="889" spans="1:29" ht="15" customHeight="1">
      <c r="A889" s="677"/>
      <c r="B889" s="688"/>
      <c r="C889" s="679"/>
      <c r="D889" s="679"/>
      <c r="E889" s="680"/>
      <c r="F889" s="681"/>
      <c r="G889" s="680" t="e">
        <v>#N/A</v>
      </c>
      <c r="H889" s="33"/>
    </row>
    <row r="890" spans="1:29" ht="15" customHeight="1">
      <c r="A890" s="677"/>
      <c r="B890" s="688"/>
      <c r="C890" s="679"/>
      <c r="D890" s="679"/>
      <c r="E890" s="680"/>
      <c r="F890" s="681"/>
      <c r="G890" s="680" t="e">
        <v>#N/A</v>
      </c>
      <c r="H890" s="33"/>
    </row>
    <row r="891" spans="1:29" ht="15" customHeight="1">
      <c r="A891" s="677"/>
      <c r="B891" s="688"/>
      <c r="C891" s="679"/>
      <c r="D891" s="679"/>
      <c r="E891" s="680"/>
      <c r="F891" s="681"/>
      <c r="G891" s="680" t="e">
        <v>#N/A</v>
      </c>
      <c r="H891" s="33"/>
    </row>
    <row r="892" spans="1:29" ht="15" customHeight="1">
      <c r="A892" s="677"/>
      <c r="B892" s="688"/>
      <c r="C892" s="679"/>
      <c r="D892" s="679"/>
      <c r="E892" s="680"/>
      <c r="F892" s="681"/>
      <c r="G892" s="680" t="e">
        <v>#N/A</v>
      </c>
      <c r="H892" s="33"/>
    </row>
    <row r="893" spans="1:29" ht="15" customHeight="1">
      <c r="A893" s="677"/>
      <c r="B893" s="688"/>
      <c r="C893" s="679"/>
      <c r="D893" s="679"/>
      <c r="E893" s="680"/>
      <c r="F893" s="681"/>
      <c r="G893" s="680" t="e">
        <v>#N/A</v>
      </c>
      <c r="H893" s="33"/>
    </row>
    <row r="894" spans="1:29" ht="15" customHeight="1">
      <c r="A894" s="677"/>
      <c r="B894" s="688"/>
      <c r="C894" s="679"/>
      <c r="D894" s="679"/>
      <c r="E894" s="680"/>
      <c r="F894" s="681"/>
      <c r="G894" s="680" t="e">
        <v>#N/A</v>
      </c>
      <c r="H894" s="33"/>
    </row>
    <row r="895" spans="1:29" ht="15" customHeight="1">
      <c r="A895" s="677"/>
      <c r="B895" s="688"/>
      <c r="C895" s="679"/>
      <c r="D895" s="679"/>
      <c r="E895" s="680"/>
      <c r="F895" s="681"/>
      <c r="G895" s="680" t="e">
        <v>#N/A</v>
      </c>
      <c r="H895" s="33"/>
    </row>
    <row r="896" spans="1:29" ht="15" customHeight="1">
      <c r="A896" s="677"/>
      <c r="B896" s="688"/>
      <c r="C896" s="679"/>
      <c r="D896" s="679"/>
      <c r="E896" s="680"/>
      <c r="F896" s="681"/>
      <c r="G896" s="680" t="e">
        <v>#N/A</v>
      </c>
      <c r="H896" s="33"/>
    </row>
    <row r="897" spans="1:8" ht="15" customHeight="1">
      <c r="A897" s="677"/>
      <c r="B897" s="688"/>
      <c r="C897" s="679"/>
      <c r="D897" s="679"/>
      <c r="E897" s="680"/>
      <c r="F897" s="681"/>
      <c r="G897" s="680" t="e">
        <v>#N/A</v>
      </c>
      <c r="H897" s="33"/>
    </row>
    <row r="898" spans="1:8" ht="15" customHeight="1">
      <c r="A898" s="688"/>
      <c r="B898" s="688"/>
      <c r="C898" s="679"/>
      <c r="D898" s="679"/>
      <c r="E898" s="680"/>
      <c r="F898" s="681"/>
      <c r="G898" s="680" t="e">
        <v>#N/A</v>
      </c>
      <c r="H898" s="33"/>
    </row>
    <row r="899" spans="1:8" ht="15" customHeight="1">
      <c r="A899" s="688"/>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v>#N/A</v>
      </c>
      <c r="H908" s="33"/>
    </row>
    <row r="909" spans="1:8" ht="15" customHeight="1">
      <c r="A909" s="677"/>
      <c r="B909" s="688"/>
      <c r="C909" s="679"/>
      <c r="D909" s="679"/>
      <c r="E909" s="680"/>
      <c r="F909" s="681"/>
      <c r="G909" s="680" t="e">
        <v>#N/A</v>
      </c>
      <c r="H909" s="33"/>
    </row>
    <row r="910" spans="1:8" ht="15" customHeight="1">
      <c r="A910" s="677"/>
      <c r="B910" s="688"/>
      <c r="C910" s="679"/>
      <c r="D910" s="679"/>
      <c r="E910" s="680"/>
      <c r="F910" s="681"/>
      <c r="G910" s="680" t="e">
        <v>#N/A</v>
      </c>
      <c r="H910" s="33"/>
    </row>
    <row r="911" spans="1:8" ht="15" customHeight="1">
      <c r="A911" s="677"/>
      <c r="B911" s="688"/>
      <c r="C911" s="679"/>
      <c r="D911" s="679"/>
      <c r="E911" s="680"/>
      <c r="F911" s="681"/>
      <c r="G911" s="680" t="e">
        <v>#N/A</v>
      </c>
      <c r="H911" s="33"/>
    </row>
    <row r="912" spans="1:8" ht="15" customHeight="1">
      <c r="A912" s="677"/>
      <c r="B912" s="688"/>
      <c r="C912" s="679"/>
      <c r="D912" s="679"/>
      <c r="E912" s="680"/>
      <c r="F912" s="681"/>
      <c r="G912" s="680" t="e">
        <v>#N/A</v>
      </c>
      <c r="H912" s="33"/>
    </row>
    <row r="913" spans="1:8" ht="15" customHeight="1">
      <c r="A913" s="677"/>
      <c r="B913" s="688"/>
      <c r="C913" s="679"/>
      <c r="D913" s="679"/>
      <c r="E913" s="680"/>
      <c r="F913" s="681"/>
      <c r="G913" s="680" t="e">
        <f>+VLOOKUP(Data_Validation!$A913,BV_Data_An_Cour!$L:$Q,6,0)</f>
        <v>#N/A</v>
      </c>
      <c r="H913" s="33"/>
    </row>
    <row r="914" spans="1:8" ht="15" customHeight="1">
      <c r="A914" s="677"/>
      <c r="B914" s="688"/>
      <c r="C914" s="679"/>
      <c r="D914" s="679"/>
      <c r="E914" s="680"/>
      <c r="F914" s="681"/>
      <c r="G914" s="680" t="e">
        <f>+VLOOKUP(Data_Validation!$A914,BV_Data_An_Cour!$L:$Q,6,0)</f>
        <v>#N/A</v>
      </c>
      <c r="H914" s="33"/>
    </row>
    <row r="915" spans="1:8" ht="15" customHeight="1">
      <c r="A915" s="677"/>
      <c r="B915" s="688"/>
      <c r="C915" s="679"/>
      <c r="D915" s="679"/>
      <c r="E915" s="680"/>
      <c r="F915" s="681"/>
      <c r="G915" s="680" t="e">
        <f>+VLOOKUP(Data_Validation!$A915,BV_Data_An_Cour!$L:$Q,6,0)</f>
        <v>#N/A</v>
      </c>
      <c r="H915" s="33"/>
    </row>
    <row r="916" spans="1:8" ht="15" customHeight="1">
      <c r="A916" s="677"/>
      <c r="B916" s="688"/>
      <c r="C916" s="679"/>
      <c r="D916" s="679"/>
      <c r="E916" s="680"/>
      <c r="F916" s="681"/>
      <c r="G916" s="680" t="e">
        <f>+VLOOKUP(Data_Validation!$A916,BV_Data_An_Cour!$L:$Q,6,0)</f>
        <v>#N/A</v>
      </c>
      <c r="H916" s="33"/>
    </row>
    <row r="917" spans="1:8" ht="15" customHeight="1">
      <c r="A917" s="677"/>
      <c r="B917" s="688"/>
      <c r="C917" s="679"/>
      <c r="D917" s="679"/>
      <c r="E917" s="680"/>
      <c r="F917" s="681"/>
      <c r="G917" s="680" t="e">
        <f>+VLOOKUP(Data_Validation!$A917,BV_Data_An_Cour!$L:$Q,6,0)</f>
        <v>#N/A</v>
      </c>
      <c r="H917" s="33"/>
    </row>
    <row r="918" spans="1:8" ht="15" customHeight="1">
      <c r="A918" s="677"/>
      <c r="B918" s="688"/>
      <c r="C918" s="679"/>
      <c r="D918" s="679"/>
      <c r="E918" s="680"/>
      <c r="F918" s="681"/>
      <c r="G918" s="680" t="e">
        <f>+VLOOKUP(Data_Validation!$A918,BV_Data_An_Cour!$L:$Q,6,0)</f>
        <v>#N/A</v>
      </c>
      <c r="H918" s="33"/>
    </row>
    <row r="919" spans="1:8" ht="15" customHeight="1">
      <c r="A919" s="677"/>
      <c r="B919" s="688"/>
      <c r="C919" s="679"/>
      <c r="D919" s="679"/>
      <c r="E919" s="680"/>
      <c r="F919" s="681"/>
      <c r="G919" s="680" t="e">
        <f>+VLOOKUP(Data_Validation!$A919,BV_Data_An_Cour!$L:$Q,6,0)</f>
        <v>#N/A</v>
      </c>
      <c r="H919" s="33"/>
    </row>
    <row r="920" spans="1:8" ht="15" customHeight="1">
      <c r="A920" s="677"/>
      <c r="B920" s="688"/>
      <c r="C920" s="679"/>
      <c r="D920" s="679"/>
      <c r="E920" s="680"/>
      <c r="F920" s="681"/>
      <c r="G920" s="680" t="e">
        <f>+VLOOKUP(Data_Validation!$A920,BV_Data_An_Cour!$L:$Q,6,0)</f>
        <v>#N/A</v>
      </c>
      <c r="H920" s="33"/>
    </row>
    <row r="921" spans="1:8" ht="15" customHeight="1">
      <c r="A921" s="677"/>
      <c r="B921" s="688"/>
      <c r="C921" s="679"/>
      <c r="D921" s="679"/>
      <c r="E921" s="680"/>
      <c r="F921" s="681"/>
      <c r="G921" s="680" t="e">
        <f>+VLOOKUP(Data_Validation!$A921,BV_Data_An_Cour!$L:$Q,6,0)</f>
        <v>#N/A</v>
      </c>
      <c r="H921" s="4"/>
    </row>
    <row r="922" spans="1:8" ht="15" customHeight="1">
      <c r="A922" s="689"/>
      <c r="B922" s="678"/>
      <c r="C922" s="679"/>
      <c r="D922" s="679"/>
      <c r="E922" s="680"/>
      <c r="F922" s="681"/>
      <c r="G922" s="680" t="e">
        <f>+VLOOKUP(Data_Validation!$A922,BV_Data_An_Cour!$L:$Q,6,0)</f>
        <v>#N/A</v>
      </c>
      <c r="H922" s="4"/>
    </row>
    <row r="923" spans="1:8" ht="15" customHeight="1">
      <c r="A923" s="688"/>
      <c r="B923" s="688"/>
      <c r="C923" s="679"/>
      <c r="D923" s="679"/>
      <c r="E923" s="680"/>
      <c r="F923" s="681"/>
      <c r="G923" s="680" t="e">
        <f>+VLOOKUP(Data_Validation!$A923,BV_Data_An_Cour!$L:$Q,6,0)</f>
        <v>#N/A</v>
      </c>
      <c r="H923" s="4"/>
    </row>
    <row r="924" spans="1:8" ht="15" customHeight="1">
      <c r="A924" s="688"/>
      <c r="B924" s="688"/>
      <c r="C924" s="679"/>
      <c r="D924" s="679"/>
      <c r="E924" s="680"/>
      <c r="F924" s="681"/>
      <c r="G924" s="680" t="e">
        <f>+VLOOKUP(Data_Validation!$A924,BV_Data_An_Cour!$L:$Q,6,0)</f>
        <v>#N/A</v>
      </c>
      <c r="H924" s="4"/>
    </row>
    <row r="925" spans="1:8" ht="15" customHeight="1">
      <c r="A925" s="677"/>
      <c r="B925" s="688"/>
      <c r="C925" s="679"/>
      <c r="D925" s="679"/>
      <c r="E925" s="680"/>
      <c r="F925" s="681"/>
      <c r="G925" s="680" t="e">
        <f>+VLOOKUP(Data_Validation!$A925,BV_Data_An_Cour!$L:$Q,6,0)</f>
        <v>#N/A</v>
      </c>
      <c r="H925" s="4"/>
    </row>
    <row r="926" spans="1:8" ht="15" customHeight="1">
      <c r="A926" s="677"/>
      <c r="B926" s="688"/>
      <c r="C926" s="679"/>
      <c r="D926" s="679"/>
      <c r="E926" s="680"/>
      <c r="F926" s="681"/>
      <c r="G926" s="680" t="e">
        <f>+VLOOKUP(Data_Validation!$A926,BV_Data_An_Cour!$L:$Q,6,0)</f>
        <v>#N/A</v>
      </c>
      <c r="H926" s="4"/>
    </row>
    <row r="927" spans="1:8" ht="15" customHeight="1">
      <c r="A927" s="677"/>
      <c r="B927" s="688"/>
      <c r="C927" s="679"/>
      <c r="D927" s="679"/>
      <c r="E927" s="680"/>
      <c r="F927" s="681"/>
      <c r="G927" s="680" t="e">
        <f>+VLOOKUP(Data_Validation!$A927,BV_Data_An_Cour!$L:$Q,6,0)</f>
        <v>#N/A</v>
      </c>
      <c r="H927" s="4"/>
    </row>
    <row r="928" spans="1:8" ht="15" customHeight="1">
      <c r="A928" s="677"/>
      <c r="B928" s="688"/>
      <c r="C928" s="679"/>
      <c r="D928" s="679"/>
      <c r="E928" s="680"/>
      <c r="F928" s="681"/>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c r="I929" s="3"/>
      <c r="J929" s="3"/>
      <c r="L929" s="3"/>
      <c r="M929" s="3"/>
      <c r="N929" s="3"/>
      <c r="O929" s="3"/>
      <c r="P929" s="3"/>
      <c r="Q929" s="3"/>
      <c r="R929" s="3"/>
      <c r="S929" s="3"/>
      <c r="T929" s="3"/>
      <c r="U929" s="3"/>
      <c r="V929" s="3"/>
      <c r="W929" s="3"/>
      <c r="X929" s="3"/>
      <c r="Y929" s="3"/>
      <c r="Z929" s="3"/>
      <c r="AA929" s="3"/>
      <c r="AB929" s="3"/>
      <c r="AC929" s="3"/>
    </row>
    <row r="930" spans="1:29" ht="15" customHeight="1">
      <c r="A930" s="689"/>
      <c r="B930" s="678"/>
      <c r="C930" s="679"/>
      <c r="D930" s="679"/>
      <c r="E930" s="686"/>
      <c r="F930" s="686"/>
      <c r="G930" s="680" t="e">
        <f>+VLOOKUP(Data_Validation!$A930,BV_Data_An_Cour!$L:$Q,6,0)</f>
        <v>#N/A</v>
      </c>
      <c r="H930" s="4"/>
    </row>
    <row r="931" spans="1:29" ht="15" customHeight="1">
      <c r="A931" s="677"/>
      <c r="B931" s="688"/>
      <c r="C931" s="679"/>
      <c r="D931" s="679"/>
      <c r="E931" s="680"/>
      <c r="F931" s="681"/>
      <c r="G931" s="680" t="e">
        <f>+VLOOKUP(Data_Validation!$A931,BV_Data_An_Cour!$L:$Q,6,0)</f>
        <v>#N/A</v>
      </c>
      <c r="H931" s="4"/>
    </row>
    <row r="932" spans="1:29" ht="15" customHeight="1">
      <c r="A932" s="689"/>
      <c r="B932" s="678"/>
      <c r="C932" s="679"/>
      <c r="D932" s="679"/>
      <c r="E932" s="686"/>
      <c r="F932" s="686"/>
      <c r="G932" s="680" t="e">
        <f>+VLOOKUP(Data_Validation!$A932,BV_Data_An_Cour!$L:$Q,6,0)</f>
        <v>#N/A</v>
      </c>
      <c r="H932" s="4"/>
    </row>
    <row r="933" spans="1:29" ht="15" customHeight="1">
      <c r="A933" s="677"/>
      <c r="B933" s="688"/>
      <c r="C933" s="679"/>
      <c r="D933" s="679"/>
      <c r="E933" s="680"/>
      <c r="F933" s="681"/>
      <c r="G933" s="680" t="e">
        <f>+VLOOKUP(Data_Validation!$A933,BV_Data_An_Cour!$L:$Q,6,0)</f>
        <v>#N/A</v>
      </c>
      <c r="H933" s="4"/>
    </row>
    <row r="934" spans="1:29" ht="15" customHeight="1">
      <c r="A934" s="677"/>
      <c r="B934" s="688"/>
      <c r="C934" s="679"/>
      <c r="D934" s="679"/>
      <c r="E934" s="680"/>
      <c r="F934" s="681"/>
      <c r="G934" s="680" t="e">
        <f>+VLOOKUP(Data_Validation!$A934,BV_Data_An_Cour!$L:$Q,6,0)</f>
        <v>#N/A</v>
      </c>
      <c r="H934" s="4"/>
    </row>
    <row r="935" spans="1:29" ht="15" customHeight="1">
      <c r="A935" s="689"/>
      <c r="B935" s="678"/>
      <c r="C935" s="679"/>
      <c r="D935" s="679"/>
      <c r="E935" s="686"/>
      <c r="F935" s="686"/>
      <c r="G935" s="680" t="e">
        <f>+VLOOKUP(Data_Validation!$A935,BV_Data_An_Cour!$L:$Q,6,0)</f>
        <v>#N/A</v>
      </c>
      <c r="H935" s="3"/>
    </row>
    <row r="936" spans="1:29" ht="15" customHeight="1">
      <c r="A936" s="688"/>
      <c r="B936" s="688"/>
      <c r="C936" s="679"/>
      <c r="D936" s="679"/>
      <c r="E936" s="680"/>
      <c r="F936" s="681"/>
      <c r="G936" s="680" t="e">
        <f>+VLOOKUP(Data_Validation!$A936,BV_Data_An_Cour!$L:$Q,6,0)</f>
        <v>#N/A</v>
      </c>
      <c r="H936" s="3"/>
    </row>
    <row r="937" spans="1:29" ht="15" customHeight="1">
      <c r="A937" s="689"/>
      <c r="B937" s="678"/>
      <c r="C937" s="679"/>
      <c r="D937" s="679"/>
      <c r="E937" s="686"/>
      <c r="F937" s="686"/>
      <c r="G937" s="680" t="e">
        <f>+VLOOKUP(Data_Validation!$A937,BV_Data_An_Cour!$L:$Q,6,0)</f>
        <v>#N/A</v>
      </c>
      <c r="H937" s="3"/>
    </row>
    <row r="938" spans="1:29" ht="15" customHeight="1">
      <c r="A938" s="677"/>
      <c r="B938" s="688"/>
      <c r="C938" s="679"/>
      <c r="D938" s="679"/>
      <c r="E938" s="680"/>
      <c r="F938" s="681"/>
      <c r="G938" s="680" t="e">
        <f>+VLOOKUP(Data_Validation!$A938,BV_Data_An_Cour!$L:$Q,6,0)</f>
        <v>#N/A</v>
      </c>
      <c r="H938" s="3"/>
    </row>
    <row r="939" spans="1:29" ht="15" customHeight="1">
      <c r="A939" s="689"/>
      <c r="B939" s="678"/>
      <c r="C939" s="679"/>
      <c r="D939" s="679"/>
      <c r="E939" s="686"/>
      <c r="F939" s="686"/>
      <c r="G939" s="680" t="e">
        <f>+VLOOKUP(Data_Validation!$A939,BV_Data_An_Cour!$L:$Q,6,0)</f>
        <v>#N/A</v>
      </c>
      <c r="H939" s="3"/>
    </row>
    <row r="940" spans="1:29" ht="15" customHeight="1">
      <c r="A940" s="677"/>
      <c r="B940" s="688"/>
      <c r="C940" s="679"/>
      <c r="D940" s="679"/>
      <c r="E940" s="680"/>
      <c r="F940" s="681"/>
      <c r="G940" s="680" t="e">
        <f>+VLOOKUP(Data_Validation!$A940,BV_Data_An_Cour!$L:$Q,6,0)</f>
        <v>#N/A</v>
      </c>
      <c r="H940" s="3"/>
      <c r="I940" s="3"/>
      <c r="J940" s="3"/>
      <c r="L940" s="3"/>
      <c r="M940" s="3"/>
      <c r="N940" s="3"/>
      <c r="O940" s="3"/>
      <c r="P940" s="3"/>
      <c r="Q940" s="3"/>
      <c r="R940" s="3"/>
      <c r="S940" s="3"/>
      <c r="T940" s="3"/>
      <c r="U940" s="3"/>
      <c r="V940" s="3"/>
      <c r="W940" s="3"/>
      <c r="X940" s="3"/>
      <c r="Y940" s="3"/>
      <c r="Z940" s="3"/>
      <c r="AA940" s="3"/>
      <c r="AB940" s="3"/>
      <c r="AC940" s="3"/>
    </row>
    <row r="941" spans="1:29" ht="15" customHeight="1">
      <c r="A941" s="689"/>
      <c r="B941" s="678"/>
      <c r="C941" s="679"/>
      <c r="D941" s="679"/>
      <c r="E941" s="686"/>
      <c r="F941" s="686"/>
      <c r="G941" s="680" t="e">
        <f>+VLOOKUP(Data_Validation!$A941,BV_Data_An_Cour!$L:$Q,6,0)</f>
        <v>#N/A</v>
      </c>
      <c r="H941" s="3"/>
    </row>
    <row r="942" spans="1:29" ht="15" customHeight="1">
      <c r="A942" s="677"/>
      <c r="B942" s="688"/>
      <c r="C942" s="679"/>
      <c r="D942" s="679"/>
      <c r="E942" s="680"/>
      <c r="F942" s="681"/>
      <c r="G942" s="680" t="e">
        <f>+VLOOKUP(Data_Validation!$A942,BV_Data_An_Cour!$L:$Q,6,0)</f>
        <v>#N/A</v>
      </c>
      <c r="H942" s="3"/>
    </row>
    <row r="943" spans="1:29" ht="15" customHeight="1">
      <c r="A943" s="689"/>
      <c r="B943" s="678"/>
      <c r="C943" s="679"/>
      <c r="D943" s="679"/>
      <c r="E943" s="686"/>
      <c r="F943" s="686"/>
      <c r="G943" s="680" t="e">
        <f>+VLOOKUP(Data_Validation!$A943,BV_Data_An_Cour!$L:$Q,6,0)</f>
        <v>#N/A</v>
      </c>
      <c r="H943" s="3"/>
    </row>
    <row r="944" spans="1:29" ht="15" customHeight="1">
      <c r="A944" s="677"/>
      <c r="B944" s="688"/>
      <c r="C944" s="679"/>
      <c r="D944" s="679"/>
      <c r="E944" s="680"/>
      <c r="F944" s="681"/>
      <c r="G944" s="680" t="e">
        <f>+VLOOKUP(Data_Validation!$A944,BV_Data_An_Cour!$L:$Q,6,0)</f>
        <v>#N/A</v>
      </c>
      <c r="H944" s="3"/>
    </row>
    <row r="945" spans="1:29" ht="15" customHeight="1">
      <c r="A945" s="689"/>
      <c r="B945" s="678"/>
      <c r="C945" s="679"/>
      <c r="D945" s="679"/>
      <c r="E945" s="686"/>
      <c r="F945" s="686"/>
      <c r="G945" s="680" t="e">
        <f>+VLOOKUP(Data_Validation!$A945,BV_Data_An_Cour!$L:$Q,6,0)</f>
        <v>#N/A</v>
      </c>
      <c r="H945" s="3"/>
    </row>
    <row r="946" spans="1:29" ht="15" customHeight="1">
      <c r="A946" s="688"/>
      <c r="B946" s="688"/>
      <c r="C946" s="679"/>
      <c r="D946" s="679"/>
      <c r="E946" s="680"/>
      <c r="F946" s="681"/>
      <c r="G946" s="680" t="e">
        <f>+VLOOKUP(Data_Validation!$A946,BV_Data_An_Cour!$L:$Q,6,0)</f>
        <v>#N/A</v>
      </c>
      <c r="H946" s="3"/>
      <c r="I946" s="3"/>
      <c r="J946" s="3"/>
      <c r="L946" s="3"/>
      <c r="M946" s="3"/>
      <c r="N946" s="3"/>
      <c r="O946" s="3"/>
      <c r="P946" s="3"/>
      <c r="Q946" s="3"/>
      <c r="R946" s="3"/>
      <c r="S946" s="3"/>
      <c r="T946" s="3"/>
      <c r="U946" s="3"/>
      <c r="V946" s="3"/>
      <c r="W946" s="3"/>
      <c r="X946" s="3"/>
      <c r="Y946" s="3"/>
      <c r="Z946" s="3"/>
      <c r="AA946" s="3"/>
      <c r="AB946" s="3"/>
      <c r="AC946" s="3"/>
    </row>
    <row r="947" spans="1:29" ht="15" customHeight="1">
      <c r="A947" s="688"/>
      <c r="B947" s="688"/>
      <c r="C947" s="679"/>
      <c r="D947" s="679"/>
      <c r="E947" s="680"/>
      <c r="F947" s="681"/>
      <c r="G947" s="680" t="e">
        <f>+VLOOKUP(Data_Validation!$A947,BV_Data_An_Cour!$L:$Q,6,0)</f>
        <v>#N/A</v>
      </c>
      <c r="H947" s="3"/>
    </row>
    <row r="948" spans="1:29" ht="15" customHeight="1">
      <c r="A948" s="688"/>
      <c r="B948" s="688"/>
      <c r="C948" s="679"/>
      <c r="D948" s="679"/>
      <c r="E948" s="680"/>
      <c r="F948" s="681"/>
      <c r="G948" s="680" t="e">
        <f>+VLOOKUP(Data_Validation!$A948,BV_Data_An_Cour!$L:$Q,6,0)</f>
        <v>#N/A</v>
      </c>
      <c r="H948" s="3"/>
    </row>
    <row r="949" spans="1:29" ht="15" customHeight="1">
      <c r="A949" s="688"/>
      <c r="B949" s="688"/>
      <c r="C949" s="679"/>
      <c r="D949" s="679"/>
      <c r="E949" s="680"/>
      <c r="F949" s="681"/>
      <c r="G949" s="680" t="e">
        <f>+VLOOKUP(Data_Validation!$A949,BV_Data_An_Cour!$L:$Q,6,0)</f>
        <v>#N/A</v>
      </c>
      <c r="H949" s="3"/>
      <c r="I949" s="3"/>
      <c r="J949" s="3"/>
      <c r="L949" s="3"/>
      <c r="M949" s="3"/>
      <c r="N949" s="3"/>
      <c r="O949" s="3"/>
      <c r="P949" s="3"/>
      <c r="Q949" s="3"/>
      <c r="R949" s="3"/>
      <c r="S949" s="3"/>
      <c r="T949" s="3"/>
      <c r="U949" s="3"/>
      <c r="V949" s="3"/>
      <c r="W949" s="3"/>
      <c r="X949" s="3"/>
      <c r="Y949" s="3"/>
      <c r="Z949" s="3"/>
      <c r="AA949" s="3"/>
      <c r="AB949" s="3"/>
      <c r="AC949" s="3"/>
    </row>
    <row r="950" spans="1:29" ht="15" customHeight="1">
      <c r="A950" s="688"/>
      <c r="B950" s="688"/>
      <c r="C950" s="679"/>
      <c r="D950" s="679"/>
      <c r="E950" s="680"/>
      <c r="F950" s="681"/>
      <c r="G950" s="680" t="e">
        <f>+VLOOKUP(Data_Validation!$A950,BV_Data_An_Cour!$L:$Q,6,0)</f>
        <v>#N/A</v>
      </c>
      <c r="H950" s="3"/>
    </row>
    <row r="951" spans="1:29" ht="15" customHeight="1">
      <c r="A951" s="688"/>
      <c r="B951" s="688"/>
      <c r="C951" s="679"/>
      <c r="D951" s="679"/>
      <c r="E951" s="680"/>
      <c r="F951" s="681"/>
      <c r="G951" s="680" t="e">
        <f>+VLOOKUP(Data_Validation!$A951,BV_Data_An_Cour!$L:$Q,6,0)</f>
        <v>#N/A</v>
      </c>
      <c r="H951" s="3"/>
    </row>
    <row r="952" spans="1:29" ht="15" customHeight="1">
      <c r="A952" s="677"/>
      <c r="B952" s="685"/>
      <c r="C952" s="679"/>
      <c r="D952" s="679"/>
      <c r="E952" s="680"/>
      <c r="F952" s="681"/>
      <c r="G952" s="680"/>
      <c r="H952" s="3"/>
    </row>
    <row r="953" spans="1:29" ht="15" customHeight="1">
      <c r="A953" s="677"/>
      <c r="B953" s="685"/>
      <c r="C953" s="679"/>
      <c r="D953" s="679"/>
      <c r="E953" s="680"/>
      <c r="F953" s="681"/>
      <c r="G953" s="680"/>
      <c r="H953" s="3"/>
    </row>
    <row r="954" spans="1:29" ht="15" customHeight="1">
      <c r="A954" s="677"/>
      <c r="B954" s="685"/>
      <c r="C954" s="679"/>
      <c r="D954" s="679"/>
      <c r="E954" s="680"/>
      <c r="F954" s="681"/>
      <c r="G954" s="680"/>
      <c r="H954" s="3"/>
    </row>
    <row r="955" spans="1:29" ht="15" customHeight="1">
      <c r="A955" s="677"/>
      <c r="B955" s="685"/>
      <c r="C955" s="679"/>
      <c r="D955" s="679"/>
      <c r="E955" s="680"/>
      <c r="F955" s="681"/>
      <c r="G955" s="680"/>
      <c r="H955" s="3"/>
    </row>
    <row r="956" spans="1:29" ht="15" customHeight="1">
      <c r="A956" s="677"/>
      <c r="B956" s="685"/>
      <c r="C956" s="679"/>
      <c r="D956" s="679"/>
      <c r="E956" s="680"/>
      <c r="F956" s="681"/>
      <c r="G956" s="680"/>
      <c r="H956" s="3"/>
    </row>
    <row r="957" spans="1:29" ht="15" customHeight="1">
      <c r="A957" s="677"/>
      <c r="B957" s="685"/>
      <c r="C957" s="679"/>
      <c r="D957" s="679"/>
      <c r="E957" s="680"/>
      <c r="F957" s="681"/>
      <c r="G957" s="680"/>
      <c r="H957" s="3"/>
    </row>
    <row r="958" spans="1:29" ht="15" customHeight="1">
      <c r="A958" s="677"/>
      <c r="B958" s="685"/>
      <c r="C958" s="679"/>
      <c r="D958" s="679"/>
      <c r="E958" s="680"/>
      <c r="F958" s="681"/>
      <c r="G958" s="680"/>
      <c r="H958" s="3"/>
    </row>
    <row r="959" spans="1:29" ht="15" customHeight="1">
      <c r="A959" s="691"/>
      <c r="B959" s="695"/>
      <c r="C959" s="693"/>
      <c r="D959" s="679"/>
      <c r="E959" s="680"/>
      <c r="F959" s="681"/>
      <c r="G959" s="680"/>
      <c r="H959" s="3"/>
    </row>
    <row r="960" spans="1:29" ht="15" customHeight="1">
      <c r="A960" s="677"/>
      <c r="B960" s="685"/>
      <c r="C960" s="679"/>
      <c r="D960" s="679"/>
      <c r="E960" s="680"/>
      <c r="F960" s="681"/>
      <c r="G960" s="680"/>
      <c r="H960" s="3"/>
    </row>
    <row r="961" spans="1:8" ht="15" customHeight="1">
      <c r="A961" s="677"/>
      <c r="B961" s="685"/>
      <c r="C961" s="679"/>
      <c r="D961" s="679"/>
      <c r="E961" s="680"/>
      <c r="F961" s="681"/>
      <c r="G961" s="680"/>
      <c r="H961" s="3"/>
    </row>
    <row r="962" spans="1:8" ht="15" customHeight="1">
      <c r="A962" s="677"/>
      <c r="B962" s="685"/>
      <c r="C962" s="679"/>
      <c r="D962" s="679"/>
      <c r="E962" s="680"/>
      <c r="F962" s="681"/>
      <c r="G962" s="680"/>
      <c r="H962" s="3"/>
    </row>
    <row r="963" spans="1:8" ht="15" customHeight="1">
      <c r="A963" s="677"/>
      <c r="B963" s="685"/>
      <c r="C963" s="679"/>
      <c r="D963" s="679"/>
      <c r="E963" s="680"/>
      <c r="F963" s="681"/>
      <c r="G963" s="680"/>
      <c r="H963" s="3"/>
    </row>
    <row r="964" spans="1:8" ht="15" customHeight="1">
      <c r="A964" s="677"/>
      <c r="B964" s="685"/>
      <c r="C964" s="679"/>
      <c r="D964" s="679"/>
      <c r="E964" s="680"/>
      <c r="F964" s="681"/>
      <c r="G964" s="680"/>
      <c r="H964" s="3"/>
    </row>
    <row r="965" spans="1:8" ht="15" customHeight="1">
      <c r="A965" s="677"/>
      <c r="B965" s="685"/>
      <c r="C965" s="679"/>
      <c r="D965" s="679"/>
      <c r="E965" s="680"/>
      <c r="F965" s="681"/>
      <c r="G965" s="680"/>
      <c r="H965" s="3"/>
    </row>
    <row r="966" spans="1:8" ht="15" customHeight="1">
      <c r="A966" s="677"/>
      <c r="B966" s="685"/>
      <c r="C966" s="679"/>
      <c r="D966" s="679"/>
      <c r="E966" s="680"/>
      <c r="F966" s="681"/>
      <c r="G966" s="680"/>
      <c r="H966" s="3"/>
    </row>
    <row r="967" spans="1:8" ht="15" customHeight="1">
      <c r="A967" s="677"/>
      <c r="B967" s="685"/>
      <c r="C967" s="679"/>
      <c r="D967" s="679"/>
      <c r="E967" s="680"/>
      <c r="F967" s="681"/>
      <c r="G967" s="680"/>
      <c r="H967" s="3"/>
    </row>
    <row r="968" spans="1:8" ht="15" customHeight="1">
      <c r="A968" s="677"/>
      <c r="B968" s="685"/>
      <c r="C968" s="679"/>
      <c r="D968" s="679"/>
      <c r="E968" s="680"/>
      <c r="F968" s="681"/>
      <c r="G968" s="680"/>
      <c r="H968" s="3"/>
    </row>
    <row r="969" spans="1:8" ht="15" customHeight="1">
      <c r="A969" s="677"/>
      <c r="B969" s="685"/>
      <c r="C969" s="679"/>
      <c r="D969" s="679"/>
      <c r="E969" s="680"/>
      <c r="F969" s="681"/>
      <c r="G969" s="680"/>
      <c r="H969" s="3"/>
    </row>
    <row r="970" spans="1:8" ht="15" customHeight="1">
      <c r="A970" s="677"/>
      <c r="B970" s="685"/>
      <c r="C970" s="679"/>
      <c r="D970" s="679"/>
      <c r="E970" s="680"/>
      <c r="F970" s="681"/>
      <c r="G970" s="680"/>
      <c r="H970" s="3"/>
    </row>
    <row r="971" spans="1:8" ht="15" customHeight="1">
      <c r="A971" s="704"/>
      <c r="B971" s="685"/>
      <c r="C971" s="679"/>
      <c r="D971" s="679"/>
      <c r="E971" s="680"/>
      <c r="F971" s="681"/>
      <c r="G971" s="680"/>
      <c r="H971" s="3"/>
    </row>
    <row r="972" spans="1:8" ht="15" customHeight="1">
      <c r="A972" s="704"/>
      <c r="B972" s="685"/>
      <c r="C972" s="679"/>
      <c r="D972" s="679"/>
      <c r="E972" s="680"/>
      <c r="F972" s="681"/>
      <c r="G972" s="680"/>
      <c r="H972" s="3"/>
    </row>
    <row r="973" spans="1:8" ht="15" customHeight="1">
      <c r="A973" s="677"/>
      <c r="B973" s="685"/>
      <c r="C973" s="679"/>
      <c r="D973" s="679"/>
      <c r="E973" s="680"/>
      <c r="F973" s="681"/>
      <c r="G973" s="680"/>
      <c r="H973" s="3"/>
    </row>
    <row r="974" spans="1:8" ht="15" customHeight="1">
      <c r="A974" s="677"/>
      <c r="B974" s="685"/>
      <c r="C974" s="679"/>
      <c r="D974" s="679"/>
      <c r="E974" s="680"/>
      <c r="F974" s="681"/>
      <c r="G974" s="680"/>
      <c r="H974" s="3"/>
    </row>
    <row r="975" spans="1:8" ht="15" customHeight="1">
      <c r="A975" s="677"/>
      <c r="B975" s="685"/>
      <c r="C975" s="679"/>
      <c r="D975" s="679"/>
      <c r="E975" s="680"/>
      <c r="F975" s="681"/>
      <c r="G975" s="680"/>
      <c r="H975" s="3"/>
    </row>
    <row r="976" spans="1:8" ht="15" customHeight="1">
      <c r="A976" s="702"/>
      <c r="B976" s="70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c r="K980" s="3"/>
    </row>
    <row r="981" spans="1:11" ht="15" customHeight="1">
      <c r="A981" s="677"/>
      <c r="B981" s="685"/>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85"/>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79"/>
      <c r="C986" s="679"/>
      <c r="D986" s="679"/>
      <c r="E986" s="680"/>
      <c r="F986" s="681"/>
      <c r="G986" s="680"/>
      <c r="H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c r="K991" s="3"/>
    </row>
    <row r="992" spans="1:11" ht="15" customHeight="1">
      <c r="A992" s="677"/>
      <c r="B992" s="685"/>
      <c r="C992" s="679"/>
      <c r="D992" s="679"/>
      <c r="E992" s="680"/>
      <c r="F992" s="681"/>
      <c r="G992" s="680"/>
      <c r="H992" s="3"/>
    </row>
    <row r="993" spans="1:11" ht="15" customHeight="1">
      <c r="A993" s="677"/>
      <c r="B993" s="685"/>
      <c r="C993" s="679"/>
      <c r="D993" s="679"/>
      <c r="E993" s="680"/>
      <c r="F993" s="681"/>
      <c r="G993" s="680"/>
      <c r="H993" s="3"/>
    </row>
    <row r="994" spans="1:11" ht="15" customHeight="1">
      <c r="A994" s="677"/>
      <c r="B994" s="685"/>
      <c r="C994" s="679"/>
      <c r="D994" s="679"/>
      <c r="E994" s="680"/>
      <c r="F994" s="681"/>
      <c r="G994" s="680"/>
      <c r="H994" s="3"/>
    </row>
    <row r="995" spans="1:11" ht="15" customHeight="1">
      <c r="A995" s="677"/>
      <c r="B995" s="685"/>
      <c r="C995" s="679"/>
      <c r="D995" s="679"/>
      <c r="E995" s="680"/>
      <c r="F995" s="681"/>
      <c r="G995" s="680"/>
      <c r="H995" s="3"/>
    </row>
    <row r="996" spans="1:11" ht="15" customHeight="1">
      <c r="A996" s="677"/>
      <c r="B996" s="685"/>
      <c r="C996" s="679"/>
      <c r="D996" s="679"/>
      <c r="E996" s="680"/>
      <c r="F996" s="681"/>
      <c r="G996" s="680"/>
      <c r="H996" s="3"/>
    </row>
    <row r="997" spans="1:11" ht="15" customHeight="1">
      <c r="A997" s="677"/>
      <c r="B997" s="685"/>
      <c r="C997" s="679"/>
      <c r="D997" s="679"/>
      <c r="E997" s="680"/>
      <c r="F997" s="681"/>
      <c r="G997" s="680"/>
      <c r="H997" s="3"/>
      <c r="K997" s="3"/>
    </row>
    <row r="998" spans="1:11" ht="15" customHeight="1">
      <c r="A998" s="677"/>
      <c r="B998" s="685"/>
      <c r="C998" s="679"/>
      <c r="D998" s="679"/>
      <c r="E998" s="680"/>
      <c r="F998" s="681"/>
      <c r="G998" s="680"/>
      <c r="H998" s="3"/>
    </row>
    <row r="999" spans="1:11" ht="15" customHeight="1">
      <c r="A999" s="677"/>
      <c r="B999" s="685"/>
      <c r="C999" s="679"/>
      <c r="D999" s="679"/>
      <c r="E999" s="680"/>
      <c r="F999" s="681"/>
      <c r="G999" s="680"/>
      <c r="H999" s="3"/>
    </row>
    <row r="1000" spans="1:11" ht="15" customHeight="1">
      <c r="A1000" s="677"/>
      <c r="B1000" s="685"/>
      <c r="C1000" s="679"/>
      <c r="D1000" s="679"/>
      <c r="E1000" s="680"/>
      <c r="F1000" s="681"/>
      <c r="G1000" s="680"/>
      <c r="H1000" s="3"/>
      <c r="K1000" s="3"/>
    </row>
    <row r="1001" spans="1:11" ht="15" customHeight="1">
      <c r="A1001" s="677"/>
      <c r="B1001" s="685"/>
      <c r="C1001" s="679"/>
      <c r="D1001" s="679"/>
      <c r="E1001" s="680"/>
      <c r="F1001" s="681"/>
      <c r="G1001" s="680"/>
      <c r="H1001" s="3"/>
    </row>
    <row r="1002" spans="1:11" ht="15" customHeight="1">
      <c r="A1002" s="677"/>
      <c r="B1002" s="685"/>
      <c r="C1002" s="679"/>
      <c r="D1002" s="679"/>
      <c r="E1002" s="680"/>
      <c r="F1002" s="681"/>
      <c r="G1002" s="680"/>
      <c r="H1002" s="3"/>
    </row>
    <row r="1003" spans="1:11" ht="15" customHeight="1">
      <c r="A1003" s="677"/>
      <c r="B1003" s="685"/>
      <c r="C1003" s="679"/>
      <c r="D1003" s="679"/>
      <c r="E1003" s="680"/>
      <c r="F1003" s="681"/>
      <c r="G1003" s="680"/>
      <c r="H1003" s="3"/>
    </row>
    <row r="1004" spans="1:11" ht="15" customHeight="1">
      <c r="A1004" s="677"/>
      <c r="B1004" s="685"/>
      <c r="C1004" s="679"/>
      <c r="D1004" s="679"/>
      <c r="E1004" s="680"/>
      <c r="F1004" s="681"/>
      <c r="G1004" s="680"/>
      <c r="H1004" s="3"/>
    </row>
    <row r="1005" spans="1:11" ht="15" customHeight="1">
      <c r="A1005" s="677"/>
      <c r="B1005" s="685"/>
      <c r="C1005" s="679"/>
      <c r="D1005" s="679"/>
      <c r="E1005" s="680"/>
      <c r="F1005" s="681"/>
      <c r="G1005" s="680"/>
      <c r="H1005" s="3"/>
    </row>
    <row r="1006" spans="1:11" ht="15" customHeight="1">
      <c r="A1006" s="677"/>
      <c r="B1006" s="685"/>
      <c r="C1006" s="679"/>
      <c r="D1006" s="679"/>
      <c r="E1006" s="680"/>
      <c r="F1006" s="681"/>
      <c r="G1006" s="680"/>
      <c r="H1006" s="3"/>
    </row>
    <row r="1007" spans="1:11" ht="15" customHeight="1">
      <c r="A1007" s="677"/>
      <c r="B1007" s="685"/>
      <c r="C1007" s="679"/>
      <c r="D1007" s="679"/>
      <c r="E1007" s="680"/>
      <c r="F1007" s="681"/>
      <c r="G1007" s="680"/>
      <c r="H1007" s="3"/>
    </row>
    <row r="1008" spans="1:11" ht="15" customHeight="1">
      <c r="A1008" s="677"/>
      <c r="B1008" s="685"/>
      <c r="C1008" s="679"/>
      <c r="D1008" s="679"/>
      <c r="E1008" s="680"/>
      <c r="F1008" s="681"/>
      <c r="G1008" s="680"/>
      <c r="H1008" s="3"/>
    </row>
    <row r="1009" spans="1:29" ht="15" customHeight="1">
      <c r="A1009" s="677"/>
      <c r="B1009" s="685"/>
      <c r="C1009" s="679"/>
      <c r="D1009" s="679"/>
      <c r="E1009" s="680"/>
      <c r="F1009" s="681"/>
      <c r="G1009" s="680"/>
      <c r="H1009" s="3"/>
    </row>
    <row r="1010" spans="1:29" ht="15" customHeight="1">
      <c r="A1010" s="677"/>
      <c r="B1010" s="685"/>
      <c r="C1010" s="679"/>
      <c r="D1010" s="679"/>
      <c r="E1010" s="680"/>
      <c r="F1010" s="681"/>
      <c r="G1010" s="680"/>
      <c r="H1010" s="3"/>
      <c r="I1010" s="3"/>
      <c r="J1010" s="3"/>
      <c r="L1010" s="3"/>
      <c r="M1010" s="3"/>
      <c r="N1010" s="3"/>
      <c r="O1010" s="3"/>
      <c r="P1010" s="3"/>
      <c r="Q1010" s="3"/>
      <c r="R1010" s="3"/>
      <c r="S1010" s="3"/>
      <c r="T1010" s="3"/>
      <c r="U1010" s="3"/>
      <c r="V1010" s="3"/>
      <c r="W1010" s="3"/>
      <c r="X1010" s="3"/>
      <c r="Y1010" s="3"/>
      <c r="Z1010" s="3"/>
      <c r="AA1010" s="3"/>
      <c r="AB1010" s="3"/>
      <c r="AC1010" s="3"/>
    </row>
    <row r="1011" spans="1:29" ht="15" customHeight="1">
      <c r="A1011" s="677"/>
      <c r="B1011" s="685"/>
      <c r="C1011" s="679"/>
      <c r="D1011" s="679"/>
      <c r="E1011" s="680"/>
      <c r="F1011" s="681"/>
      <c r="G1011" s="680"/>
      <c r="H1011" s="3"/>
    </row>
    <row r="1012" spans="1:29" ht="15" customHeight="1">
      <c r="A1012" s="677"/>
      <c r="B1012" s="685"/>
      <c r="C1012" s="679"/>
      <c r="D1012" s="679"/>
      <c r="E1012" s="680"/>
      <c r="F1012" s="681"/>
      <c r="G1012" s="680"/>
      <c r="H1012" s="3"/>
    </row>
    <row r="1013" spans="1:29" ht="15" customHeight="1">
      <c r="A1013" s="706"/>
      <c r="B1013" s="707"/>
      <c r="C1013" s="679"/>
      <c r="D1013" s="679"/>
      <c r="E1013" s="680"/>
      <c r="F1013" s="681"/>
      <c r="G1013" s="680"/>
      <c r="H1013" s="3"/>
    </row>
    <row r="1014" spans="1:29" ht="15" customHeight="1">
      <c r="A1014" s="677"/>
      <c r="B1014" s="685"/>
      <c r="C1014" s="679"/>
      <c r="D1014" s="679"/>
      <c r="E1014" s="680"/>
      <c r="F1014" s="681"/>
      <c r="G1014" s="680"/>
      <c r="H1014" s="3"/>
    </row>
    <row r="1015" spans="1:29" ht="15" customHeight="1">
      <c r="A1015" s="677"/>
      <c r="B1015" s="685"/>
      <c r="C1015" s="679"/>
      <c r="D1015" s="679"/>
      <c r="E1015" s="680"/>
      <c r="F1015" s="681"/>
      <c r="G1015" s="680"/>
      <c r="H1015" s="3"/>
    </row>
    <row r="1016" spans="1:29" ht="15" customHeight="1">
      <c r="A1016" s="677"/>
      <c r="B1016" s="685"/>
      <c r="C1016" s="679"/>
      <c r="D1016" s="679"/>
      <c r="E1016" s="680"/>
      <c r="F1016" s="681"/>
      <c r="G1016" s="680"/>
      <c r="H1016" s="3"/>
    </row>
    <row r="1017" spans="1:29" ht="15" customHeight="1">
      <c r="A1017" s="677"/>
      <c r="B1017" s="685"/>
      <c r="C1017" s="679"/>
      <c r="D1017" s="679"/>
      <c r="E1017" s="680"/>
      <c r="F1017" s="681"/>
      <c r="G1017" s="680"/>
      <c r="H1017" s="3"/>
    </row>
    <row r="1018" spans="1:29" ht="15" customHeight="1">
      <c r="A1018" s="677"/>
      <c r="B1018" s="685"/>
      <c r="C1018" s="679"/>
      <c r="D1018" s="679"/>
      <c r="E1018" s="680"/>
      <c r="F1018" s="681"/>
      <c r="G1018" s="680"/>
      <c r="H1018" s="3"/>
    </row>
    <row r="1019" spans="1:29" ht="15" customHeight="1">
      <c r="A1019" s="677"/>
      <c r="B1019" s="685"/>
      <c r="C1019" s="679"/>
      <c r="D1019" s="679"/>
      <c r="E1019" s="680"/>
      <c r="F1019" s="681"/>
      <c r="G1019" s="680"/>
      <c r="H1019" s="3"/>
    </row>
    <row r="1020" spans="1:29" ht="15" customHeight="1">
      <c r="A1020" s="677"/>
      <c r="B1020" s="685"/>
      <c r="C1020" s="679"/>
      <c r="D1020" s="679"/>
      <c r="E1020" s="680"/>
      <c r="F1020" s="681"/>
      <c r="G1020" s="680"/>
      <c r="H1020" s="3"/>
    </row>
    <row r="1021" spans="1:29" ht="15" customHeight="1">
      <c r="A1021" s="677"/>
      <c r="B1021" s="685"/>
      <c r="C1021" s="679"/>
      <c r="D1021" s="679"/>
      <c r="E1021" s="680"/>
      <c r="F1021" s="681"/>
      <c r="G1021" s="680"/>
      <c r="H1021" s="3"/>
      <c r="M1021" s="3"/>
      <c r="N1021" s="3"/>
      <c r="O1021" s="3"/>
    </row>
    <row r="1022" spans="1:29" ht="15" customHeight="1">
      <c r="A1022" s="677"/>
      <c r="B1022" s="685"/>
      <c r="C1022" s="679"/>
      <c r="D1022" s="679"/>
      <c r="E1022" s="680"/>
      <c r="F1022" s="681"/>
      <c r="G1022" s="680"/>
      <c r="H1022" s="3"/>
    </row>
    <row r="1023" spans="1:29" ht="15" customHeight="1">
      <c r="A1023" s="677"/>
      <c r="B1023" s="685"/>
      <c r="C1023" s="679"/>
      <c r="D1023" s="679"/>
      <c r="E1023" s="680"/>
      <c r="F1023" s="681"/>
      <c r="G1023" s="680"/>
      <c r="H1023" s="3"/>
    </row>
    <row r="1024" spans="1:29" ht="15" customHeight="1">
      <c r="A1024" s="677"/>
      <c r="B1024" s="685"/>
      <c r="C1024" s="679"/>
      <c r="D1024" s="679"/>
      <c r="E1024" s="680"/>
      <c r="F1024" s="681"/>
      <c r="G1024" s="680"/>
      <c r="H1024" s="3"/>
    </row>
    <row r="1025" spans="1:8" ht="15" customHeight="1">
      <c r="A1025" s="677"/>
      <c r="B1025" s="685"/>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677"/>
      <c r="B1028" s="685"/>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706"/>
      <c r="B1030" s="707"/>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row>
    <row r="1042" spans="1:29" ht="15" customHeight="1">
      <c r="A1042" s="677"/>
      <c r="B1042" s="685"/>
      <c r="C1042" s="679"/>
      <c r="D1042" s="679"/>
      <c r="E1042" s="680"/>
      <c r="F1042" s="681"/>
      <c r="G1042" s="680"/>
      <c r="H1042" s="3"/>
    </row>
    <row r="1043" spans="1:29" ht="15" customHeight="1">
      <c r="A1043" s="677"/>
      <c r="B1043" s="685"/>
      <c r="C1043" s="679"/>
      <c r="D1043" s="679"/>
      <c r="E1043" s="680"/>
      <c r="F1043" s="681"/>
      <c r="G1043" s="680"/>
      <c r="H1043" s="3"/>
    </row>
    <row r="1044" spans="1:29" ht="15" customHeight="1">
      <c r="A1044" s="677"/>
      <c r="B1044" s="685"/>
      <c r="C1044" s="679"/>
      <c r="D1044" s="679"/>
      <c r="E1044" s="680"/>
      <c r="F1044" s="681"/>
      <c r="G1044" s="680"/>
      <c r="H1044" s="3"/>
    </row>
    <row r="1045" spans="1:29" ht="15" customHeight="1">
      <c r="A1045" s="677"/>
      <c r="B1045" s="685"/>
      <c r="C1045" s="679"/>
      <c r="D1045" s="679"/>
      <c r="E1045" s="680"/>
      <c r="F1045" s="681"/>
      <c r="G1045" s="680"/>
      <c r="H1045" s="3"/>
    </row>
    <row r="1046" spans="1:29" ht="15" customHeight="1">
      <c r="A1046" s="677"/>
      <c r="B1046" s="685"/>
      <c r="C1046" s="679"/>
      <c r="D1046" s="679"/>
      <c r="E1046" s="680"/>
      <c r="F1046" s="681"/>
      <c r="G1046" s="680"/>
      <c r="H1046" s="3"/>
      <c r="I1046" s="3"/>
      <c r="J1046" s="3"/>
      <c r="L1046" s="3"/>
      <c r="M1046" s="3"/>
      <c r="N1046" s="3"/>
      <c r="O1046" s="3"/>
      <c r="P1046" s="3"/>
      <c r="Q1046" s="3"/>
      <c r="R1046" s="3"/>
      <c r="S1046" s="3"/>
      <c r="T1046" s="3"/>
      <c r="U1046" s="3"/>
      <c r="V1046" s="3"/>
      <c r="W1046" s="3"/>
      <c r="X1046" s="3"/>
      <c r="Y1046" s="3"/>
      <c r="Z1046" s="3"/>
      <c r="AA1046" s="3"/>
      <c r="AB1046" s="3"/>
      <c r="AC1046" s="3"/>
    </row>
    <row r="1047" spans="1:29" ht="15" customHeight="1">
      <c r="A1047" s="677"/>
      <c r="B1047" s="685"/>
      <c r="C1047" s="679"/>
      <c r="D1047" s="679"/>
      <c r="E1047" s="680"/>
      <c r="F1047" s="681"/>
      <c r="G1047" s="680"/>
      <c r="H1047" s="3"/>
    </row>
    <row r="1048" spans="1:29" ht="15" customHeight="1">
      <c r="A1048" s="677"/>
      <c r="B1048" s="679"/>
      <c r="C1048" s="679"/>
      <c r="D1048" s="679"/>
      <c r="E1048" s="680"/>
      <c r="F1048" s="681"/>
      <c r="G1048" s="680"/>
      <c r="H1048" s="3"/>
    </row>
    <row r="1049" spans="1:29" ht="15" customHeight="1">
      <c r="A1049" s="677"/>
      <c r="B1049" s="685"/>
      <c r="C1049" s="679"/>
      <c r="D1049" s="679"/>
      <c r="E1049" s="680"/>
      <c r="F1049" s="681"/>
      <c r="G1049" s="680"/>
      <c r="H1049" s="3"/>
      <c r="I1049" s="3"/>
      <c r="J1049" s="3"/>
      <c r="L1049" s="3"/>
      <c r="M1049" s="3"/>
      <c r="N1049" s="3"/>
      <c r="O1049" s="3"/>
      <c r="P1049" s="3"/>
      <c r="Q1049" s="3"/>
      <c r="R1049" s="3"/>
      <c r="S1049" s="3"/>
      <c r="T1049" s="3"/>
      <c r="U1049" s="3"/>
      <c r="V1049" s="3"/>
      <c r="W1049" s="3"/>
      <c r="X1049" s="3"/>
      <c r="Y1049" s="3"/>
      <c r="Z1049" s="3"/>
      <c r="AA1049" s="3"/>
      <c r="AB1049" s="3"/>
      <c r="AC1049" s="3"/>
    </row>
    <row r="1050" spans="1:29" ht="15" customHeight="1">
      <c r="A1050" s="677"/>
      <c r="B1050" s="685"/>
      <c r="C1050" s="679"/>
      <c r="D1050" s="679"/>
      <c r="E1050" s="680"/>
      <c r="F1050" s="681"/>
      <c r="G1050" s="680"/>
      <c r="H1050" s="3"/>
      <c r="I1050" s="3"/>
      <c r="J1050" s="3"/>
      <c r="L1050" s="3"/>
      <c r="M1050" s="3"/>
      <c r="N1050" s="3"/>
      <c r="O1050" s="3"/>
      <c r="P1050" s="3"/>
      <c r="Q1050" s="3"/>
      <c r="R1050" s="3"/>
      <c r="S1050" s="3"/>
      <c r="T1050" s="3"/>
      <c r="U1050" s="3"/>
      <c r="V1050" s="3"/>
      <c r="W1050" s="3"/>
      <c r="X1050" s="3"/>
      <c r="Y1050" s="3"/>
      <c r="Z1050" s="3"/>
      <c r="AA1050" s="3"/>
      <c r="AB1050" s="3"/>
      <c r="AC1050" s="3"/>
    </row>
    <row r="1051" spans="1:29" ht="15" customHeight="1">
      <c r="A1051" s="708"/>
      <c r="B1051" s="709"/>
      <c r="C1051" s="710"/>
      <c r="D1051" s="710"/>
      <c r="E1051" s="680"/>
      <c r="F1051" s="681"/>
      <c r="G1051" s="680"/>
      <c r="H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c r="K1053" s="3"/>
    </row>
    <row r="1054" spans="1:29" ht="15" customHeight="1">
      <c r="A1054" s="677"/>
      <c r="B1054" s="685"/>
      <c r="C1054" s="679"/>
      <c r="D1054" s="679"/>
      <c r="E1054" s="680"/>
      <c r="F1054" s="681"/>
      <c r="G1054" s="680"/>
      <c r="H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c r="I1056" s="3"/>
      <c r="J1056" s="3"/>
      <c r="L1056" s="3"/>
      <c r="M1056" s="3"/>
      <c r="N1056" s="3"/>
      <c r="O1056" s="3"/>
      <c r="P1056" s="3"/>
      <c r="Q1056" s="3"/>
      <c r="R1056" s="3"/>
      <c r="S1056" s="3"/>
      <c r="T1056" s="3"/>
      <c r="U1056" s="3"/>
      <c r="V1056" s="3"/>
      <c r="W1056" s="3"/>
      <c r="X1056" s="3"/>
      <c r="Y1056" s="3"/>
      <c r="Z1056" s="3"/>
      <c r="AA1056" s="3"/>
      <c r="AB1056" s="3"/>
      <c r="AC1056" s="3"/>
    </row>
    <row r="1057" spans="1:11" ht="15" customHeight="1">
      <c r="A1057" s="677"/>
      <c r="B1057" s="685"/>
      <c r="C1057" s="679"/>
      <c r="D1057" s="679"/>
      <c r="E1057" s="680"/>
      <c r="F1057" s="681"/>
      <c r="G1057" s="680"/>
      <c r="H1057" s="3"/>
    </row>
    <row r="1058" spans="1:11" ht="15" customHeight="1">
      <c r="A1058" s="677"/>
      <c r="B1058" s="685"/>
      <c r="C1058" s="679"/>
      <c r="D1058" s="679"/>
      <c r="E1058" s="680"/>
      <c r="F1058" s="681"/>
      <c r="G1058" s="680"/>
      <c r="H1058" s="3"/>
    </row>
    <row r="1059" spans="1:11" ht="15" customHeight="1">
      <c r="A1059" s="677"/>
      <c r="B1059" s="685"/>
      <c r="C1059" s="679"/>
      <c r="D1059" s="679"/>
      <c r="E1059" s="680"/>
      <c r="F1059" s="681"/>
      <c r="G1059" s="680"/>
      <c r="H1059" s="3"/>
    </row>
    <row r="1060" spans="1:11" ht="15" customHeight="1">
      <c r="A1060" s="677"/>
      <c r="B1060" s="685"/>
      <c r="C1060" s="679"/>
      <c r="D1060" s="679"/>
      <c r="E1060" s="680"/>
      <c r="F1060" s="681"/>
      <c r="G1060" s="680"/>
      <c r="H1060" s="3"/>
    </row>
    <row r="1061" spans="1:11" ht="15" customHeight="1">
      <c r="A1061" s="677"/>
      <c r="B1061" s="685"/>
      <c r="C1061" s="679"/>
      <c r="D1061" s="679"/>
      <c r="E1061" s="680"/>
      <c r="F1061" s="681"/>
      <c r="G1061" s="680"/>
      <c r="H1061" s="3"/>
      <c r="K1061" s="3"/>
    </row>
    <row r="1062" spans="1:11" ht="15" customHeight="1">
      <c r="A1062" s="677"/>
      <c r="B1062" s="685"/>
      <c r="C1062" s="679"/>
      <c r="D1062" s="679"/>
      <c r="E1062" s="680"/>
      <c r="F1062" s="681"/>
      <c r="G1062" s="680"/>
      <c r="H1062" s="3"/>
    </row>
    <row r="1063" spans="1:11" ht="15" customHeight="1">
      <c r="A1063" s="677"/>
      <c r="B1063" s="685"/>
      <c r="C1063" s="679"/>
      <c r="D1063" s="679"/>
      <c r="E1063" s="680"/>
      <c r="F1063" s="681"/>
      <c r="G1063" s="680"/>
      <c r="H1063" s="3"/>
    </row>
    <row r="1064" spans="1:11" ht="15" customHeight="1">
      <c r="A1064" s="677"/>
      <c r="B1064" s="685"/>
      <c r="C1064" s="679"/>
      <c r="D1064" s="679"/>
      <c r="E1064" s="680"/>
      <c r="F1064" s="681"/>
      <c r="G1064" s="680"/>
      <c r="H1064" s="3"/>
    </row>
    <row r="1065" spans="1:11" ht="15" customHeight="1">
      <c r="A1065" s="677"/>
      <c r="B1065" s="685"/>
      <c r="C1065" s="679"/>
      <c r="D1065" s="679"/>
      <c r="E1065" s="680"/>
      <c r="F1065" s="681"/>
      <c r="G1065" s="680"/>
      <c r="H1065" s="3"/>
    </row>
    <row r="1066" spans="1:11" ht="15" customHeight="1">
      <c r="A1066" s="677"/>
      <c r="B1066" s="685"/>
      <c r="C1066" s="679"/>
      <c r="D1066" s="679"/>
      <c r="E1066" s="680"/>
      <c r="F1066" s="681"/>
      <c r="G1066" s="680"/>
      <c r="H1066" s="3"/>
    </row>
    <row r="1067" spans="1:11" ht="15" customHeight="1">
      <c r="A1067" s="677"/>
      <c r="B1067" s="685"/>
      <c r="C1067" s="679"/>
      <c r="D1067" s="679"/>
      <c r="E1067" s="680"/>
      <c r="F1067" s="681"/>
      <c r="G1067" s="680"/>
      <c r="H1067" s="3"/>
    </row>
    <row r="1068" spans="1:11" ht="15" customHeight="1">
      <c r="A1068" s="677"/>
      <c r="B1068" s="685"/>
      <c r="C1068" s="679"/>
      <c r="D1068" s="679"/>
      <c r="E1068" s="680"/>
      <c r="F1068" s="681"/>
      <c r="G1068" s="680"/>
      <c r="H1068" s="3"/>
    </row>
    <row r="1069" spans="1:11" ht="15" customHeight="1">
      <c r="A1069" s="677"/>
      <c r="B1069" s="685"/>
      <c r="C1069" s="679"/>
      <c r="D1069" s="679"/>
      <c r="E1069" s="680"/>
      <c r="F1069" s="681"/>
      <c r="G1069" s="680"/>
      <c r="H1069" s="3"/>
    </row>
    <row r="1070" spans="1:11" ht="15" customHeight="1">
      <c r="A1070" s="677"/>
      <c r="B1070" s="685"/>
      <c r="C1070" s="679"/>
      <c r="D1070" s="679"/>
      <c r="E1070" s="680"/>
      <c r="F1070" s="681"/>
      <c r="G1070" s="680"/>
      <c r="H1070" s="3"/>
    </row>
    <row r="1071" spans="1:11" ht="15" customHeight="1">
      <c r="A1071" s="677"/>
      <c r="B1071" s="685"/>
      <c r="C1071" s="679"/>
      <c r="D1071" s="679"/>
      <c r="E1071" s="680"/>
      <c r="F1071" s="681"/>
      <c r="G1071" s="680"/>
      <c r="H1071" s="3"/>
    </row>
    <row r="1072" spans="1:11"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677"/>
      <c r="B1079" s="685"/>
      <c r="C1079" s="679"/>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677"/>
      <c r="B1082" s="685"/>
      <c r="C1082" s="679"/>
      <c r="D1082" s="679"/>
      <c r="E1082" s="680"/>
      <c r="F1082" s="681"/>
      <c r="G1082" s="680"/>
      <c r="H1082" s="3"/>
    </row>
    <row r="1083" spans="1:8" ht="15" customHeight="1">
      <c r="A1083" s="677"/>
      <c r="B1083" s="685"/>
      <c r="C1083" s="679"/>
      <c r="D1083" s="679"/>
      <c r="E1083" s="680"/>
      <c r="F1083" s="681"/>
      <c r="G1083" s="680"/>
      <c r="H1083" s="3"/>
    </row>
    <row r="1084" spans="1:8" ht="15" customHeight="1">
      <c r="A1084" s="702"/>
      <c r="B1084" s="695"/>
      <c r="C1084" s="693"/>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row>
    <row r="1096" spans="1:11" ht="15" customHeight="1">
      <c r="A1096" s="677"/>
      <c r="B1096" s="685"/>
      <c r="C1096" s="679"/>
      <c r="D1096" s="679"/>
      <c r="E1096" s="680"/>
      <c r="F1096" s="681"/>
      <c r="G1096" s="680"/>
      <c r="H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row>
    <row r="1099" spans="1:11" ht="15" customHeight="1">
      <c r="A1099" s="677"/>
      <c r="B1099" s="685"/>
      <c r="C1099" s="679"/>
      <c r="D1099" s="679"/>
      <c r="E1099" s="680"/>
      <c r="F1099" s="681"/>
      <c r="G1099" s="680"/>
      <c r="H1099" s="3"/>
    </row>
    <row r="1100" spans="1:11" ht="15" customHeight="1">
      <c r="A1100" s="677"/>
      <c r="B1100" s="685"/>
      <c r="C1100" s="679"/>
      <c r="D1100" s="679"/>
      <c r="E1100" s="680"/>
      <c r="F1100" s="681"/>
      <c r="G1100" s="680"/>
      <c r="H1100" s="3"/>
      <c r="K1100" s="3"/>
    </row>
    <row r="1101" spans="1:11" ht="15" customHeight="1">
      <c r="A1101" s="677"/>
      <c r="B1101" s="685"/>
      <c r="C1101" s="679"/>
      <c r="D1101" s="679"/>
      <c r="E1101" s="680"/>
      <c r="F1101" s="681"/>
      <c r="G1101" s="680"/>
      <c r="H1101" s="3"/>
      <c r="K1101" s="3"/>
    </row>
    <row r="1102" spans="1:11" ht="15" customHeight="1">
      <c r="A1102" s="677"/>
      <c r="B1102" s="685"/>
      <c r="C1102" s="679"/>
      <c r="D1102" s="679"/>
      <c r="E1102" s="680"/>
      <c r="F1102" s="681"/>
      <c r="G1102" s="680"/>
      <c r="H1102" s="3"/>
    </row>
    <row r="1103" spans="1:11" ht="15" customHeight="1">
      <c r="A1103" s="677"/>
      <c r="B1103" s="685"/>
      <c r="C1103" s="679"/>
      <c r="D1103" s="679"/>
      <c r="E1103" s="680"/>
      <c r="F1103" s="681"/>
      <c r="G1103" s="680"/>
      <c r="H1103" s="3"/>
    </row>
    <row r="1104" spans="1:11" ht="15" customHeight="1">
      <c r="A1104" s="677"/>
      <c r="B1104" s="685"/>
      <c r="C1104" s="679"/>
      <c r="D1104" s="679"/>
      <c r="E1104" s="680"/>
      <c r="F1104" s="681"/>
      <c r="G1104" s="680"/>
      <c r="H1104" s="3"/>
    </row>
    <row r="1105" spans="1:29" ht="15" customHeight="1">
      <c r="A1105" s="677"/>
      <c r="B1105" s="685"/>
      <c r="C1105" s="679"/>
      <c r="D1105" s="679"/>
      <c r="E1105" s="680"/>
      <c r="F1105" s="681"/>
      <c r="G1105" s="680"/>
      <c r="H1105" s="3"/>
    </row>
    <row r="1106" spans="1:29" ht="15.75" customHeight="1">
      <c r="A1106" s="677"/>
      <c r="B1106" s="685"/>
      <c r="C1106" s="679"/>
      <c r="D1106" s="679"/>
      <c r="E1106" s="680"/>
      <c r="F1106" s="681"/>
      <c r="G1106" s="680"/>
      <c r="H1106" s="3"/>
    </row>
    <row r="1107" spans="1:29" ht="15.75" customHeight="1">
      <c r="A1107" s="677"/>
      <c r="B1107" s="707"/>
      <c r="C1107" s="679"/>
      <c r="D1107" s="679"/>
      <c r="E1107" s="680"/>
      <c r="F1107" s="681"/>
      <c r="G1107" s="680"/>
      <c r="H1107" s="3"/>
      <c r="K1107" s="3"/>
    </row>
    <row r="1108" spans="1:29" ht="15.75" customHeight="1">
      <c r="A1108" s="677"/>
      <c r="B1108" s="685"/>
      <c r="C1108" s="679"/>
      <c r="D1108" s="679"/>
      <c r="E1108" s="680"/>
      <c r="F1108" s="681"/>
      <c r="G1108" s="680"/>
      <c r="H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c r="I1113" s="3"/>
      <c r="J1113" s="3"/>
      <c r="L1113" s="3"/>
      <c r="M1113" s="3"/>
      <c r="N1113" s="3"/>
      <c r="O1113" s="3"/>
      <c r="P1113" s="3"/>
      <c r="Q1113" s="3"/>
      <c r="R1113" s="3"/>
      <c r="S1113" s="3"/>
      <c r="T1113" s="3"/>
      <c r="U1113" s="3"/>
      <c r="V1113" s="3"/>
      <c r="W1113" s="3"/>
      <c r="X1113" s="3"/>
      <c r="Y1113" s="3"/>
      <c r="Z1113" s="3"/>
      <c r="AA1113" s="3"/>
      <c r="AB1113" s="3"/>
      <c r="AC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c r="K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75" customHeight="1">
      <c r="A1129" s="677"/>
      <c r="B1129" s="685"/>
      <c r="C1129" s="679"/>
      <c r="D1129" s="679"/>
      <c r="E1129" s="680"/>
      <c r="F1129" s="681"/>
      <c r="G1129" s="680"/>
      <c r="H1129" s="3"/>
    </row>
    <row r="1130" spans="1:8" ht="15.75" customHeight="1">
      <c r="A1130" s="677"/>
      <c r="B1130" s="685"/>
      <c r="C1130" s="679"/>
      <c r="D1130" s="679"/>
      <c r="E1130" s="680"/>
      <c r="F1130" s="681"/>
      <c r="G1130" s="680"/>
      <c r="H1130" s="3"/>
    </row>
    <row r="1131" spans="1:8" ht="15.75" customHeight="1">
      <c r="A1131" s="677"/>
      <c r="B1131" s="685"/>
      <c r="C1131" s="679"/>
      <c r="D1131" s="679"/>
      <c r="E1131" s="680"/>
      <c r="F1131" s="681"/>
      <c r="G1131" s="680"/>
      <c r="H1131" s="3"/>
    </row>
    <row r="1132" spans="1:8" ht="15.75" customHeight="1">
      <c r="A1132" s="677"/>
      <c r="B1132" s="685"/>
      <c r="C1132" s="679"/>
      <c r="D1132" s="679"/>
      <c r="E1132" s="680"/>
      <c r="F1132" s="681"/>
      <c r="G1132" s="680"/>
      <c r="H1132" s="3"/>
    </row>
    <row r="1133" spans="1:8" ht="15.75" customHeight="1">
      <c r="A1133" s="677"/>
      <c r="B1133" s="685"/>
      <c r="C1133" s="679"/>
      <c r="D1133" s="679"/>
      <c r="E1133" s="680"/>
      <c r="F1133" s="681"/>
      <c r="G1133" s="680"/>
      <c r="H1133" s="3"/>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677"/>
      <c r="B1136" s="685"/>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702"/>
      <c r="B1138" s="679"/>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677"/>
      <c r="B1143" s="685"/>
      <c r="C1143" s="679"/>
      <c r="D1143" s="679"/>
      <c r="E1143" s="680"/>
      <c r="F1143" s="681"/>
      <c r="G1143" s="680"/>
      <c r="H1143" s="4"/>
    </row>
    <row r="1144" spans="1:8" ht="15" customHeight="1">
      <c r="A1144" s="677"/>
      <c r="B1144" s="685"/>
      <c r="C1144" s="679"/>
      <c r="D1144" s="679"/>
      <c r="E1144" s="680"/>
      <c r="F1144" s="681"/>
      <c r="G1144" s="680"/>
      <c r="H1144" s="4"/>
    </row>
    <row r="1145" spans="1:8" ht="15" customHeight="1">
      <c r="A1145" s="677"/>
      <c r="B1145" s="685"/>
      <c r="C1145" s="679"/>
      <c r="D1145" s="679"/>
      <c r="E1145" s="680"/>
      <c r="F1145" s="681"/>
      <c r="G1145" s="680"/>
      <c r="H1145" s="4"/>
    </row>
    <row r="1146" spans="1:8" ht="15" customHeight="1">
      <c r="A1146" s="677"/>
      <c r="B1146" s="685"/>
      <c r="C1146" s="679"/>
      <c r="D1146" s="679"/>
      <c r="E1146" s="680"/>
      <c r="F1146" s="681"/>
      <c r="G1146" s="680"/>
      <c r="H1146" s="4"/>
    </row>
    <row r="1147" spans="1:8" ht="15" customHeight="1">
      <c r="A1147" s="677"/>
      <c r="B1147" s="685"/>
      <c r="C1147" s="679"/>
      <c r="D1147" s="679"/>
      <c r="E1147" s="680"/>
      <c r="F1147" s="681"/>
      <c r="G1147" s="680"/>
      <c r="H1147" s="4"/>
    </row>
    <row r="1148" spans="1:8" ht="15" customHeight="1">
      <c r="A1148" s="704"/>
      <c r="B1148" s="685"/>
      <c r="C1148" s="679"/>
      <c r="D1148" s="679"/>
      <c r="E1148" s="680"/>
      <c r="F1148" s="681"/>
      <c r="G1148" s="680"/>
    </row>
  </sheetData>
  <autoFilter ref="A1:G951" xr:uid="{00000000-0009-0000-0000-00000F000000}">
    <sortState xmlns:xlrd2="http://schemas.microsoft.com/office/spreadsheetml/2017/richdata2" ref="A2:G951">
      <sortCondition ref="A1:A951"/>
    </sortState>
  </autoFilter>
  <dataValidations count="3">
    <dataValidation type="list" allowBlank="1" showErrorMessage="1" sqref="D1" xr:uid="{2861EBD2-54EA-48B5-8435-6DF8231D6DC1}">
      <formula1>$K$1:$K$161</formula1>
    </dataValidation>
    <dataValidation type="list" allowBlank="1" showErrorMessage="1" sqref="D339:D1148 D2:D236 D239:D337" xr:uid="{00000000-0002-0000-0F00-000000000000}">
      <formula1>$K$3:$K$161</formula1>
    </dataValidation>
    <dataValidation type="list" allowBlank="1" showErrorMessage="1" sqref="C2:C1148" xr:uid="{00000000-0002-0000-0F00-000002000000}">
      <formula1>$I$1:$I$13</formula1>
    </dataValidation>
  </dataValidations>
  <hyperlinks>
    <hyperlink ref="A41" r:id="rId1" xr:uid="{2D07D2A1-B77F-42D8-8AFC-BC5E197F2306}"/>
    <hyperlink ref="A204" r:id="rId2" xr:uid="{9EB86107-39DD-4A3D-AA5C-CC656EB6D19B}"/>
    <hyperlink ref="A209" r:id="rId3" xr:uid="{7520A0BC-3CF3-4738-8429-9D6BBB68AE1A}"/>
    <hyperlink ref="A268" r:id="rId4" xr:uid="{2B003E87-7DD5-4CF8-91E3-A153C1B6AD80}"/>
    <hyperlink ref="A289" r:id="rId5" xr:uid="{A09A5D51-F7B6-4970-80FB-37310E0BBB9D}"/>
    <hyperlink ref="A270" r:id="rId6" xr:uid="{B6A3DC63-CADA-4A8D-915E-9EF10C316FBB}"/>
    <hyperlink ref="A221" r:id="rId7" xr:uid="{3D7AD0D7-3265-469D-B8DD-1CC6DD5CB140}"/>
    <hyperlink ref="A259" r:id="rId8" xr:uid="{6E898DC2-660D-4271-921E-EC496DB18992}"/>
  </hyperlinks>
  <pageMargins left="0.7" right="0.7" top="0.75" bottom="0.75" header="0" footer="0"/>
  <pageSetup orientation="landscape" r:id="rId9"/>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baseColWidth="10" defaultColWidth="12.59765625" defaultRowHeight="15" customHeight="1"/>
  <cols>
    <col min="1" max="1" width="29.19921875" customWidth="1"/>
    <col min="2" max="2" width="31.19921875" customWidth="1"/>
    <col min="3" max="3" width="14.59765625" customWidth="1"/>
    <col min="4" max="8" width="12.8984375" customWidth="1"/>
    <col min="9" max="9" width="23.09765625" bestFit="1" customWidth="1"/>
    <col min="10" max="10" width="12.8984375" customWidth="1"/>
    <col min="11" max="11" width="20.19921875"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s>
  <sheetData>
    <row r="1" spans="1:24" ht="30" customHeight="1">
      <c r="A1" s="992" t="s">
        <v>251</v>
      </c>
      <c r="B1" s="992" t="s">
        <v>709</v>
      </c>
      <c r="C1" s="993" t="s">
        <v>713</v>
      </c>
      <c r="D1" s="993" t="s">
        <v>714</v>
      </c>
      <c r="E1" s="993" t="s">
        <v>715</v>
      </c>
      <c r="F1" s="992" t="s">
        <v>710</v>
      </c>
      <c r="G1" s="992" t="s">
        <v>711</v>
      </c>
      <c r="H1" s="992" t="s">
        <v>712</v>
      </c>
      <c r="I1" s="993" t="s">
        <v>3411</v>
      </c>
      <c r="J1" s="993" t="s">
        <v>3412</v>
      </c>
      <c r="K1" s="993" t="s">
        <v>3413</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994" t="s">
        <v>720</v>
      </c>
      <c r="B2" s="994" t="s">
        <v>1438</v>
      </c>
      <c r="C2" s="995"/>
      <c r="D2" s="995"/>
      <c r="E2" s="995"/>
      <c r="F2" s="994" t="s">
        <v>2</v>
      </c>
      <c r="G2" s="994" t="s">
        <v>3321</v>
      </c>
      <c r="H2" s="995"/>
      <c r="I2" s="996">
        <v>116061</v>
      </c>
      <c r="J2" s="996">
        <v>0</v>
      </c>
      <c r="K2" s="996">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994" t="s">
        <v>721</v>
      </c>
      <c r="B3" s="994" t="s">
        <v>1638</v>
      </c>
      <c r="C3" s="995"/>
      <c r="D3" s="995"/>
      <c r="E3" s="995"/>
      <c r="F3" s="994" t="s">
        <v>2</v>
      </c>
      <c r="G3" s="994" t="s">
        <v>3321</v>
      </c>
      <c r="H3" s="995"/>
      <c r="I3" s="996">
        <v>81087.95</v>
      </c>
      <c r="J3" s="996">
        <v>0</v>
      </c>
      <c r="K3" s="996">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994" t="s">
        <v>722</v>
      </c>
      <c r="B4" s="994" t="s">
        <v>748</v>
      </c>
      <c r="C4" s="995"/>
      <c r="D4" s="995"/>
      <c r="E4" s="995"/>
      <c r="F4" s="994" t="s">
        <v>2</v>
      </c>
      <c r="G4" s="994" t="s">
        <v>3321</v>
      </c>
      <c r="H4" s="995"/>
      <c r="I4" s="996">
        <v>198702.43</v>
      </c>
      <c r="J4" s="996">
        <v>0</v>
      </c>
      <c r="K4" s="996">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994" t="s">
        <v>723</v>
      </c>
      <c r="B5" s="994" t="s">
        <v>761</v>
      </c>
      <c r="C5" s="995"/>
      <c r="D5" s="995"/>
      <c r="E5" s="995"/>
      <c r="F5" s="994" t="s">
        <v>2</v>
      </c>
      <c r="G5" s="994" t="s">
        <v>3321</v>
      </c>
      <c r="H5" s="995"/>
      <c r="I5" s="996">
        <v>148007</v>
      </c>
      <c r="J5" s="996">
        <v>0</v>
      </c>
      <c r="K5" s="996">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994" t="s">
        <v>724</v>
      </c>
      <c r="B6" s="994" t="s">
        <v>785</v>
      </c>
      <c r="C6" s="995"/>
      <c r="D6" s="995"/>
      <c r="E6" s="995"/>
      <c r="F6" s="994" t="s">
        <v>2</v>
      </c>
      <c r="G6" s="994" t="s">
        <v>3321</v>
      </c>
      <c r="H6" s="995"/>
      <c r="I6" s="996">
        <v>213696.9</v>
      </c>
      <c r="J6" s="996">
        <v>0</v>
      </c>
      <c r="K6" s="996">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994" t="s">
        <v>725</v>
      </c>
      <c r="B7" s="994" t="s">
        <v>2240</v>
      </c>
      <c r="C7" s="995"/>
      <c r="D7" s="995"/>
      <c r="E7" s="995"/>
      <c r="F7" s="994" t="s">
        <v>2</v>
      </c>
      <c r="G7" s="994" t="s">
        <v>3321</v>
      </c>
      <c r="H7" s="995"/>
      <c r="I7" s="996">
        <v>260095.67</v>
      </c>
      <c r="J7" s="996">
        <v>0</v>
      </c>
      <c r="K7" s="996">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994" t="s">
        <v>726</v>
      </c>
      <c r="B8" s="994" t="s">
        <v>2742</v>
      </c>
      <c r="C8" s="995"/>
      <c r="D8" s="995"/>
      <c r="E8" s="995"/>
      <c r="F8" s="994" t="s">
        <v>2</v>
      </c>
      <c r="G8" s="994" t="s">
        <v>3321</v>
      </c>
      <c r="H8" s="995"/>
      <c r="I8" s="996">
        <v>247076.44</v>
      </c>
      <c r="J8" s="996">
        <v>0</v>
      </c>
      <c r="K8" s="996">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994" t="s">
        <v>727</v>
      </c>
      <c r="B9" s="994" t="s">
        <v>2745</v>
      </c>
      <c r="C9" s="995"/>
      <c r="D9" s="995"/>
      <c r="E9" s="995"/>
      <c r="F9" s="994" t="s">
        <v>2</v>
      </c>
      <c r="G9" s="994" t="s">
        <v>3321</v>
      </c>
      <c r="H9" s="995"/>
      <c r="I9" s="996">
        <v>342752.56</v>
      </c>
      <c r="J9" s="996">
        <v>0</v>
      </c>
      <c r="K9" s="996">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994" t="s">
        <v>728</v>
      </c>
      <c r="B10" s="994" t="s">
        <v>2748</v>
      </c>
      <c r="C10" s="995"/>
      <c r="D10" s="995"/>
      <c r="E10" s="995"/>
      <c r="F10" s="994" t="s">
        <v>2</v>
      </c>
      <c r="G10" s="994" t="s">
        <v>3321</v>
      </c>
      <c r="H10" s="995"/>
      <c r="I10" s="996">
        <v>186502.97</v>
      </c>
      <c r="J10" s="996">
        <v>0</v>
      </c>
      <c r="K10" s="996">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994" t="s">
        <v>729</v>
      </c>
      <c r="B11" s="994" t="s">
        <v>1441</v>
      </c>
      <c r="C11" s="995"/>
      <c r="D11" s="995"/>
      <c r="E11" s="995"/>
      <c r="F11" s="994" t="s">
        <v>2</v>
      </c>
      <c r="G11" s="994" t="s">
        <v>3321</v>
      </c>
      <c r="H11" s="995"/>
      <c r="I11" s="996">
        <v>202788.53</v>
      </c>
      <c r="J11" s="996">
        <v>0</v>
      </c>
      <c r="K11" s="996">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994" t="s">
        <v>730</v>
      </c>
      <c r="B12" s="994" t="s">
        <v>1444</v>
      </c>
      <c r="C12" s="995"/>
      <c r="D12" s="995"/>
      <c r="E12" s="995"/>
      <c r="F12" s="994" t="s">
        <v>2</v>
      </c>
      <c r="G12" s="994" t="s">
        <v>3321</v>
      </c>
      <c r="H12" s="995"/>
      <c r="I12" s="996">
        <v>222887.14</v>
      </c>
      <c r="J12" s="996">
        <v>0</v>
      </c>
      <c r="K12" s="996">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994" t="s">
        <v>731</v>
      </c>
      <c r="B13" s="994" t="s">
        <v>3351</v>
      </c>
      <c r="C13" s="995"/>
      <c r="D13" s="995"/>
      <c r="E13" s="995"/>
      <c r="F13" s="994" t="s">
        <v>2</v>
      </c>
      <c r="G13" s="994" t="s">
        <v>3321</v>
      </c>
      <c r="H13" s="995"/>
      <c r="I13" s="996">
        <v>0</v>
      </c>
      <c r="J13" s="996">
        <v>-43030.16</v>
      </c>
      <c r="K13" s="996">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994" t="s">
        <v>732</v>
      </c>
      <c r="B14" s="994" t="s">
        <v>1674</v>
      </c>
      <c r="C14" s="995"/>
      <c r="D14" s="995"/>
      <c r="E14" s="995"/>
      <c r="F14" s="994" t="s">
        <v>2</v>
      </c>
      <c r="G14" s="994" t="s">
        <v>3322</v>
      </c>
      <c r="H14" s="995"/>
      <c r="I14" s="996">
        <v>6.63</v>
      </c>
      <c r="J14" s="996">
        <v>0.41</v>
      </c>
      <c r="K14" s="996">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994" t="s">
        <v>733</v>
      </c>
      <c r="B15" s="994" t="s">
        <v>1690</v>
      </c>
      <c r="C15" s="995"/>
      <c r="D15" s="995"/>
      <c r="E15" s="995"/>
      <c r="F15" s="994" t="s">
        <v>2</v>
      </c>
      <c r="G15" s="994" t="s">
        <v>3322</v>
      </c>
      <c r="H15" s="995"/>
      <c r="I15" s="996">
        <v>100.49</v>
      </c>
      <c r="J15" s="996">
        <v>7.1</v>
      </c>
      <c r="K15" s="996">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994" t="s">
        <v>734</v>
      </c>
      <c r="B16" s="994" t="s">
        <v>1698</v>
      </c>
      <c r="C16" s="995"/>
      <c r="D16" s="995"/>
      <c r="E16" s="995"/>
      <c r="F16" s="994" t="s">
        <v>2</v>
      </c>
      <c r="G16" s="994" t="s">
        <v>3322</v>
      </c>
      <c r="H16" s="995"/>
      <c r="I16" s="996">
        <v>195.46</v>
      </c>
      <c r="J16" s="996">
        <v>15.69</v>
      </c>
      <c r="K16" s="996">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994" t="s">
        <v>735</v>
      </c>
      <c r="B17" s="994" t="s">
        <v>1710</v>
      </c>
      <c r="C17" s="995"/>
      <c r="D17" s="995"/>
      <c r="E17" s="995"/>
      <c r="F17" s="994" t="s">
        <v>2</v>
      </c>
      <c r="G17" s="994" t="s">
        <v>3322</v>
      </c>
      <c r="H17" s="995"/>
      <c r="I17" s="996">
        <v>194.4</v>
      </c>
      <c r="J17" s="996">
        <v>15.8</v>
      </c>
      <c r="K17" s="996">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994" t="s">
        <v>736</v>
      </c>
      <c r="B18" s="994" t="s">
        <v>1713</v>
      </c>
      <c r="C18" s="995"/>
      <c r="D18" s="995"/>
      <c r="E18" s="995"/>
      <c r="F18" s="994" t="s">
        <v>2</v>
      </c>
      <c r="G18" s="994" t="s">
        <v>3322</v>
      </c>
      <c r="H18" s="995"/>
      <c r="I18" s="996">
        <v>221.17</v>
      </c>
      <c r="J18" s="996">
        <v>16.760000000000002</v>
      </c>
      <c r="K18" s="996">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994" t="s">
        <v>3657</v>
      </c>
      <c r="B19" s="994" t="s">
        <v>1718</v>
      </c>
      <c r="C19" s="995"/>
      <c r="D19" s="995"/>
      <c r="E19" s="995"/>
      <c r="F19" s="994" t="s">
        <v>2</v>
      </c>
      <c r="G19" s="994" t="s">
        <v>3323</v>
      </c>
      <c r="H19" s="995"/>
      <c r="I19" s="996">
        <v>134.94999999999999</v>
      </c>
      <c r="J19" s="996">
        <v>0</v>
      </c>
      <c r="K19" s="996">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994" t="s">
        <v>3658</v>
      </c>
      <c r="B20" s="994" t="s">
        <v>1721</v>
      </c>
      <c r="C20" s="995"/>
      <c r="D20" s="995"/>
      <c r="E20" s="995"/>
      <c r="F20" s="994" t="s">
        <v>2</v>
      </c>
      <c r="G20" s="994" t="s">
        <v>3323</v>
      </c>
      <c r="H20" s="995"/>
      <c r="I20" s="996">
        <v>123.64</v>
      </c>
      <c r="J20" s="996">
        <v>0</v>
      </c>
      <c r="K20" s="996">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994" t="s">
        <v>3659</v>
      </c>
      <c r="B21" s="994" t="s">
        <v>1724</v>
      </c>
      <c r="C21" s="995"/>
      <c r="D21" s="995"/>
      <c r="E21" s="995"/>
      <c r="F21" s="994" t="s">
        <v>2</v>
      </c>
      <c r="G21" s="994" t="s">
        <v>3323</v>
      </c>
      <c r="H21" s="995"/>
      <c r="I21" s="996">
        <v>134.94999999999999</v>
      </c>
      <c r="J21" s="996">
        <v>0</v>
      </c>
      <c r="K21" s="996">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994" t="s">
        <v>3660</v>
      </c>
      <c r="B22" s="994" t="s">
        <v>1727</v>
      </c>
      <c r="C22" s="995"/>
      <c r="D22" s="995"/>
      <c r="E22" s="995"/>
      <c r="F22" s="994" t="s">
        <v>2</v>
      </c>
      <c r="G22" s="994" t="s">
        <v>3323</v>
      </c>
      <c r="H22" s="995"/>
      <c r="I22" s="996">
        <v>65</v>
      </c>
      <c r="J22" s="996">
        <v>0</v>
      </c>
      <c r="K22" s="996">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994" t="s">
        <v>741</v>
      </c>
      <c r="B23" s="994" t="s">
        <v>742</v>
      </c>
      <c r="C23" s="995"/>
      <c r="D23" s="995"/>
      <c r="E23" s="995"/>
      <c r="F23" s="994" t="s">
        <v>2</v>
      </c>
      <c r="G23" s="994" t="s">
        <v>742</v>
      </c>
      <c r="H23" s="995"/>
      <c r="I23" s="996">
        <v>0.08</v>
      </c>
      <c r="J23" s="996">
        <v>0</v>
      </c>
      <c r="K23" s="996">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994" t="s">
        <v>3661</v>
      </c>
      <c r="B24" s="994" t="s">
        <v>744</v>
      </c>
      <c r="C24" s="995"/>
      <c r="D24" s="995"/>
      <c r="E24" s="995"/>
      <c r="F24" s="994" t="s">
        <v>2</v>
      </c>
      <c r="G24" s="994" t="s">
        <v>744</v>
      </c>
      <c r="H24" s="995"/>
      <c r="I24" s="996">
        <v>10846.7</v>
      </c>
      <c r="J24" s="996">
        <v>869.43</v>
      </c>
      <c r="K24" s="996">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994" t="s">
        <v>3662</v>
      </c>
      <c r="B25" s="994" t="s">
        <v>1750</v>
      </c>
      <c r="C25" s="995"/>
      <c r="D25" s="995"/>
      <c r="E25" s="995"/>
      <c r="F25" s="994" t="s">
        <v>2</v>
      </c>
      <c r="G25" s="994" t="s">
        <v>744</v>
      </c>
      <c r="H25" s="995"/>
      <c r="I25" s="996">
        <v>4067.18</v>
      </c>
      <c r="J25" s="996">
        <v>317.7</v>
      </c>
      <c r="K25" s="996">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994" t="s">
        <v>3663</v>
      </c>
      <c r="B26" s="994" t="s">
        <v>1753</v>
      </c>
      <c r="C26" s="995"/>
      <c r="D26" s="995"/>
      <c r="E26" s="995"/>
      <c r="F26" s="994" t="s">
        <v>2</v>
      </c>
      <c r="G26" s="994" t="s">
        <v>744</v>
      </c>
      <c r="H26" s="995"/>
      <c r="I26" s="996">
        <v>4526.6099999999997</v>
      </c>
      <c r="J26" s="996">
        <v>393.3</v>
      </c>
      <c r="K26" s="996">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994" t="s">
        <v>747</v>
      </c>
      <c r="B27" s="994" t="s">
        <v>1763</v>
      </c>
      <c r="C27" s="995"/>
      <c r="D27" s="995"/>
      <c r="E27" s="995"/>
      <c r="F27" s="994" t="s">
        <v>2</v>
      </c>
      <c r="G27" s="994" t="s">
        <v>748</v>
      </c>
      <c r="H27" s="995"/>
      <c r="I27" s="996">
        <v>-59153.9</v>
      </c>
      <c r="J27" s="996">
        <v>-5635.67</v>
      </c>
      <c r="K27" s="996">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994" t="s">
        <v>749</v>
      </c>
      <c r="B28" s="994" t="s">
        <v>1774</v>
      </c>
      <c r="C28" s="995"/>
      <c r="D28" s="995"/>
      <c r="E28" s="995"/>
      <c r="F28" s="994" t="s">
        <v>2</v>
      </c>
      <c r="G28" s="994" t="s">
        <v>748</v>
      </c>
      <c r="H28" s="995"/>
      <c r="I28" s="996">
        <v>252014.04</v>
      </c>
      <c r="J28" s="996">
        <v>52287.59</v>
      </c>
      <c r="K28" s="996">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994" t="s">
        <v>750</v>
      </c>
      <c r="B29" s="994" t="s">
        <v>1777</v>
      </c>
      <c r="C29" s="995"/>
      <c r="D29" s="995"/>
      <c r="E29" s="995"/>
      <c r="F29" s="994" t="s">
        <v>2</v>
      </c>
      <c r="G29" s="994" t="s">
        <v>748</v>
      </c>
      <c r="H29" s="995"/>
      <c r="I29" s="996">
        <v>205860.44</v>
      </c>
      <c r="J29" s="996">
        <v>0</v>
      </c>
      <c r="K29" s="996">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994" t="s">
        <v>751</v>
      </c>
      <c r="B30" s="994" t="s">
        <v>1780</v>
      </c>
      <c r="C30" s="995"/>
      <c r="D30" s="995"/>
      <c r="E30" s="995"/>
      <c r="F30" s="994" t="s">
        <v>2</v>
      </c>
      <c r="G30" s="994" t="s">
        <v>748</v>
      </c>
      <c r="H30" s="995"/>
      <c r="I30" s="996">
        <v>-29803.37</v>
      </c>
      <c r="J30" s="996">
        <v>-19709.400000000001</v>
      </c>
      <c r="K30" s="996">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994" t="s">
        <v>752</v>
      </c>
      <c r="B31" s="994" t="s">
        <v>1783</v>
      </c>
      <c r="C31" s="995"/>
      <c r="D31" s="995"/>
      <c r="E31" s="995"/>
      <c r="F31" s="994" t="s">
        <v>2</v>
      </c>
      <c r="G31" s="994" t="s">
        <v>3324</v>
      </c>
      <c r="H31" s="995"/>
      <c r="I31" s="996">
        <v>-103418.86</v>
      </c>
      <c r="J31" s="996">
        <v>-27590.15</v>
      </c>
      <c r="K31" s="996">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994" t="s">
        <v>753</v>
      </c>
      <c r="B32" s="994" t="s">
        <v>1786</v>
      </c>
      <c r="C32" s="995"/>
      <c r="D32" s="995"/>
      <c r="E32" s="995"/>
      <c r="F32" s="994" t="s">
        <v>2</v>
      </c>
      <c r="G32" s="994" t="s">
        <v>3324</v>
      </c>
      <c r="H32" s="995"/>
      <c r="I32" s="996">
        <v>161196.84</v>
      </c>
      <c r="J32" s="996">
        <v>32051.62</v>
      </c>
      <c r="K32" s="996">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994" t="s">
        <v>754</v>
      </c>
      <c r="B33" s="994" t="s">
        <v>1789</v>
      </c>
      <c r="C33" s="995"/>
      <c r="D33" s="995"/>
      <c r="E33" s="995"/>
      <c r="F33" s="994" t="s">
        <v>2</v>
      </c>
      <c r="G33" s="994" t="s">
        <v>3324</v>
      </c>
      <c r="H33" s="995"/>
      <c r="I33" s="996">
        <v>431440.53</v>
      </c>
      <c r="J33" s="996">
        <v>4077.44</v>
      </c>
      <c r="K33" s="996">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994" t="s">
        <v>755</v>
      </c>
      <c r="B34" s="994" t="s">
        <v>1792</v>
      </c>
      <c r="C34" s="995"/>
      <c r="D34" s="995"/>
      <c r="E34" s="995"/>
      <c r="F34" s="994" t="s">
        <v>2</v>
      </c>
      <c r="G34" s="994" t="s">
        <v>3324</v>
      </c>
      <c r="H34" s="995"/>
      <c r="I34" s="996">
        <v>-108476.78</v>
      </c>
      <c r="J34" s="996">
        <v>-34124.26</v>
      </c>
      <c r="K34" s="996">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994" t="s">
        <v>756</v>
      </c>
      <c r="B35" s="994" t="s">
        <v>1798</v>
      </c>
      <c r="C35" s="995"/>
      <c r="D35" s="995"/>
      <c r="E35" s="995"/>
      <c r="F35" s="994" t="s">
        <v>2</v>
      </c>
      <c r="G35" s="994" t="s">
        <v>3325</v>
      </c>
      <c r="H35" s="995"/>
      <c r="I35" s="996">
        <v>1.88</v>
      </c>
      <c r="J35" s="996">
        <v>0.13</v>
      </c>
      <c r="K35" s="996">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994" t="s">
        <v>757</v>
      </c>
      <c r="B36" s="994" t="s">
        <v>1801</v>
      </c>
      <c r="C36" s="995"/>
      <c r="D36" s="995"/>
      <c r="E36" s="995"/>
      <c r="F36" s="994" t="s">
        <v>2</v>
      </c>
      <c r="G36" s="994" t="s">
        <v>3326</v>
      </c>
      <c r="H36" s="995"/>
      <c r="I36" s="996">
        <v>5170572.37</v>
      </c>
      <c r="J36" s="996">
        <v>348236.13</v>
      </c>
      <c r="K36" s="996">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994" t="s">
        <v>758</v>
      </c>
      <c r="B37" s="994" t="s">
        <v>1804</v>
      </c>
      <c r="C37" s="995"/>
      <c r="D37" s="995"/>
      <c r="E37" s="995"/>
      <c r="F37" s="994" t="s">
        <v>2</v>
      </c>
      <c r="G37" s="994" t="s">
        <v>3327</v>
      </c>
      <c r="H37" s="995"/>
      <c r="I37" s="996">
        <v>425000</v>
      </c>
      <c r="J37" s="996">
        <v>0</v>
      </c>
      <c r="K37" s="996">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994" t="s">
        <v>759</v>
      </c>
      <c r="B38" s="994" t="s">
        <v>1807</v>
      </c>
      <c r="C38" s="995"/>
      <c r="D38" s="995"/>
      <c r="E38" s="995"/>
      <c r="F38" s="994" t="s">
        <v>2</v>
      </c>
      <c r="G38" s="994" t="s">
        <v>3327</v>
      </c>
      <c r="H38" s="995"/>
      <c r="I38" s="996">
        <v>737500</v>
      </c>
      <c r="J38" s="996">
        <v>0</v>
      </c>
      <c r="K38" s="996">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994" t="s">
        <v>760</v>
      </c>
      <c r="B39" s="994" t="s">
        <v>1812</v>
      </c>
      <c r="C39" s="995"/>
      <c r="D39" s="995"/>
      <c r="E39" s="995"/>
      <c r="F39" s="994" t="s">
        <v>2</v>
      </c>
      <c r="G39" s="994" t="s">
        <v>761</v>
      </c>
      <c r="H39" s="995"/>
      <c r="I39" s="996">
        <v>0.47</v>
      </c>
      <c r="J39" s="996">
        <v>0</v>
      </c>
      <c r="K39" s="996">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994" t="s">
        <v>762</v>
      </c>
      <c r="B40" s="994" t="s">
        <v>1815</v>
      </c>
      <c r="C40" s="995"/>
      <c r="D40" s="995"/>
      <c r="E40" s="995"/>
      <c r="F40" s="994" t="s">
        <v>2</v>
      </c>
      <c r="G40" s="994" t="s">
        <v>761</v>
      </c>
      <c r="H40" s="995"/>
      <c r="I40" s="996">
        <v>0.26</v>
      </c>
      <c r="J40" s="996">
        <v>0</v>
      </c>
      <c r="K40" s="996">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994" t="s">
        <v>763</v>
      </c>
      <c r="B41" s="994" t="s">
        <v>1818</v>
      </c>
      <c r="C41" s="995"/>
      <c r="D41" s="995"/>
      <c r="E41" s="995"/>
      <c r="F41" s="994" t="s">
        <v>2</v>
      </c>
      <c r="G41" s="994" t="s">
        <v>761</v>
      </c>
      <c r="H41" s="995"/>
      <c r="I41" s="996">
        <v>0.28999999999999998</v>
      </c>
      <c r="J41" s="996">
        <v>0</v>
      </c>
      <c r="K41" s="996">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994" t="s">
        <v>764</v>
      </c>
      <c r="B42" s="994" t="s">
        <v>1821</v>
      </c>
      <c r="C42" s="995"/>
      <c r="D42" s="995"/>
      <c r="E42" s="995"/>
      <c r="F42" s="994" t="s">
        <v>2</v>
      </c>
      <c r="G42" s="994" t="s">
        <v>761</v>
      </c>
      <c r="H42" s="995"/>
      <c r="I42" s="996">
        <v>0.33</v>
      </c>
      <c r="J42" s="996">
        <v>0</v>
      </c>
      <c r="K42" s="996">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994" t="s">
        <v>765</v>
      </c>
      <c r="B43" s="994" t="s">
        <v>1824</v>
      </c>
      <c r="C43" s="995"/>
      <c r="D43" s="995"/>
      <c r="E43" s="995"/>
      <c r="F43" s="994" t="s">
        <v>2</v>
      </c>
      <c r="G43" s="994" t="s">
        <v>761</v>
      </c>
      <c r="H43" s="995"/>
      <c r="I43" s="996">
        <v>0.46</v>
      </c>
      <c r="J43" s="996">
        <v>0</v>
      </c>
      <c r="K43" s="996">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994" t="s">
        <v>766</v>
      </c>
      <c r="B44" s="994" t="s">
        <v>1827</v>
      </c>
      <c r="C44" s="995"/>
      <c r="D44" s="995"/>
      <c r="E44" s="995"/>
      <c r="F44" s="994" t="s">
        <v>2</v>
      </c>
      <c r="G44" s="994" t="s">
        <v>761</v>
      </c>
      <c r="H44" s="995"/>
      <c r="I44" s="996">
        <v>0.56000000000000005</v>
      </c>
      <c r="J44" s="996">
        <v>0</v>
      </c>
      <c r="K44" s="996">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994" t="s">
        <v>767</v>
      </c>
      <c r="B45" s="994" t="s">
        <v>1830</v>
      </c>
      <c r="C45" s="995"/>
      <c r="D45" s="995"/>
      <c r="E45" s="995"/>
      <c r="F45" s="994" t="s">
        <v>2</v>
      </c>
      <c r="G45" s="994" t="s">
        <v>761</v>
      </c>
      <c r="H45" s="995"/>
      <c r="I45" s="996">
        <v>0.55000000000000004</v>
      </c>
      <c r="J45" s="996">
        <v>0</v>
      </c>
      <c r="K45" s="996">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994" t="s">
        <v>768</v>
      </c>
      <c r="B46" s="994" t="s">
        <v>1833</v>
      </c>
      <c r="C46" s="995"/>
      <c r="D46" s="995"/>
      <c r="E46" s="995"/>
      <c r="F46" s="994" t="s">
        <v>2</v>
      </c>
      <c r="G46" s="994" t="s">
        <v>761</v>
      </c>
      <c r="H46" s="995"/>
      <c r="I46" s="996">
        <v>0.77</v>
      </c>
      <c r="J46" s="996">
        <v>0</v>
      </c>
      <c r="K46" s="996">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994" t="s">
        <v>769</v>
      </c>
      <c r="B47" s="994" t="s">
        <v>1836</v>
      </c>
      <c r="C47" s="995"/>
      <c r="D47" s="995"/>
      <c r="E47" s="995"/>
      <c r="F47" s="994" t="s">
        <v>2</v>
      </c>
      <c r="G47" s="994" t="s">
        <v>761</v>
      </c>
      <c r="H47" s="995"/>
      <c r="I47" s="996">
        <v>0.53</v>
      </c>
      <c r="J47" s="996">
        <v>0</v>
      </c>
      <c r="K47" s="996">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994" t="s">
        <v>770</v>
      </c>
      <c r="B48" s="994" t="s">
        <v>1839</v>
      </c>
      <c r="C48" s="995"/>
      <c r="D48" s="995"/>
      <c r="E48" s="995"/>
      <c r="F48" s="994" t="s">
        <v>2</v>
      </c>
      <c r="G48" s="994" t="s">
        <v>761</v>
      </c>
      <c r="H48" s="995"/>
      <c r="I48" s="996">
        <v>0.53</v>
      </c>
      <c r="J48" s="996">
        <v>0</v>
      </c>
      <c r="K48" s="996">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994" t="s">
        <v>771</v>
      </c>
      <c r="B49" s="994" t="s">
        <v>978</v>
      </c>
      <c r="C49" s="995"/>
      <c r="D49" s="995"/>
      <c r="E49" s="995"/>
      <c r="F49" s="994" t="s">
        <v>2</v>
      </c>
      <c r="G49" s="994" t="s">
        <v>761</v>
      </c>
      <c r="H49" s="995"/>
      <c r="I49" s="996">
        <v>0.42</v>
      </c>
      <c r="J49" s="996">
        <v>0</v>
      </c>
      <c r="K49" s="996">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994" t="s">
        <v>772</v>
      </c>
      <c r="B50" s="994" t="s">
        <v>3352</v>
      </c>
      <c r="C50" s="995"/>
      <c r="D50" s="995"/>
      <c r="E50" s="995"/>
      <c r="F50" s="994" t="s">
        <v>2</v>
      </c>
      <c r="G50" s="994" t="s">
        <v>761</v>
      </c>
      <c r="H50" s="995"/>
      <c r="I50" s="996">
        <v>0</v>
      </c>
      <c r="J50" s="996">
        <v>0.37</v>
      </c>
      <c r="K50" s="996">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994" t="s">
        <v>773</v>
      </c>
      <c r="B51" s="994" t="s">
        <v>1905</v>
      </c>
      <c r="C51" s="995"/>
      <c r="D51" s="995"/>
      <c r="E51" s="995"/>
      <c r="F51" s="994" t="s">
        <v>2</v>
      </c>
      <c r="G51" s="994" t="s">
        <v>3328</v>
      </c>
      <c r="H51" s="995"/>
      <c r="I51" s="996">
        <v>0.18</v>
      </c>
      <c r="J51" s="996">
        <v>0</v>
      </c>
      <c r="K51" s="996">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994" t="s">
        <v>774</v>
      </c>
      <c r="B52" s="994" t="s">
        <v>1912</v>
      </c>
      <c r="C52" s="995"/>
      <c r="D52" s="995"/>
      <c r="E52" s="995"/>
      <c r="F52" s="994" t="s">
        <v>2</v>
      </c>
      <c r="G52" s="994" t="s">
        <v>3328</v>
      </c>
      <c r="H52" s="995"/>
      <c r="I52" s="996">
        <v>0.34</v>
      </c>
      <c r="J52" s="996">
        <v>0</v>
      </c>
      <c r="K52" s="996">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994" t="s">
        <v>775</v>
      </c>
      <c r="B53" s="994" t="s">
        <v>1915</v>
      </c>
      <c r="C53" s="995"/>
      <c r="D53" s="995"/>
      <c r="E53" s="995"/>
      <c r="F53" s="994" t="s">
        <v>2</v>
      </c>
      <c r="G53" s="994" t="s">
        <v>3328</v>
      </c>
      <c r="H53" s="995"/>
      <c r="I53" s="996">
        <v>0.42</v>
      </c>
      <c r="J53" s="996">
        <v>0</v>
      </c>
      <c r="K53" s="996">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994" t="s">
        <v>776</v>
      </c>
      <c r="B54" s="994" t="s">
        <v>1918</v>
      </c>
      <c r="C54" s="995"/>
      <c r="D54" s="995"/>
      <c r="E54" s="995"/>
      <c r="F54" s="994" t="s">
        <v>2</v>
      </c>
      <c r="G54" s="994" t="s">
        <v>3328</v>
      </c>
      <c r="H54" s="995"/>
      <c r="I54" s="996">
        <v>0.31</v>
      </c>
      <c r="J54" s="996">
        <v>0</v>
      </c>
      <c r="K54" s="996">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994" t="s">
        <v>777</v>
      </c>
      <c r="B55" s="994" t="s">
        <v>1921</v>
      </c>
      <c r="C55" s="995"/>
      <c r="D55" s="995"/>
      <c r="E55" s="995"/>
      <c r="F55" s="994" t="s">
        <v>2</v>
      </c>
      <c r="G55" s="994" t="s">
        <v>3328</v>
      </c>
      <c r="H55" s="995"/>
      <c r="I55" s="996">
        <v>0.32</v>
      </c>
      <c r="J55" s="996">
        <v>0</v>
      </c>
      <c r="K55" s="996">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994" t="s">
        <v>778</v>
      </c>
      <c r="B56" s="994" t="s">
        <v>1924</v>
      </c>
      <c r="C56" s="995"/>
      <c r="D56" s="995"/>
      <c r="E56" s="995"/>
      <c r="F56" s="994" t="s">
        <v>2</v>
      </c>
      <c r="G56" s="994" t="s">
        <v>3328</v>
      </c>
      <c r="H56" s="995"/>
      <c r="I56" s="996">
        <v>0.36</v>
      </c>
      <c r="J56" s="996">
        <v>0</v>
      </c>
      <c r="K56" s="996">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994" t="s">
        <v>779</v>
      </c>
      <c r="B57" s="994" t="s">
        <v>1927</v>
      </c>
      <c r="C57" s="995"/>
      <c r="D57" s="995"/>
      <c r="E57" s="995"/>
      <c r="F57" s="994" t="s">
        <v>2</v>
      </c>
      <c r="G57" s="994" t="s">
        <v>3328</v>
      </c>
      <c r="H57" s="995"/>
      <c r="I57" s="996">
        <v>0.39</v>
      </c>
      <c r="J57" s="996">
        <v>0</v>
      </c>
      <c r="K57" s="996">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994" t="s">
        <v>780</v>
      </c>
      <c r="B58" s="994" t="s">
        <v>1930</v>
      </c>
      <c r="C58" s="995"/>
      <c r="D58" s="995"/>
      <c r="E58" s="995"/>
      <c r="F58" s="994" t="s">
        <v>2</v>
      </c>
      <c r="G58" s="994" t="s">
        <v>3328</v>
      </c>
      <c r="H58" s="995"/>
      <c r="I58" s="996">
        <v>0.37</v>
      </c>
      <c r="J58" s="996">
        <v>0</v>
      </c>
      <c r="K58" s="996">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994" t="s">
        <v>781</v>
      </c>
      <c r="B59" s="994" t="s">
        <v>1939</v>
      </c>
      <c r="C59" s="995"/>
      <c r="D59" s="995"/>
      <c r="E59" s="995"/>
      <c r="F59" s="994" t="s">
        <v>2</v>
      </c>
      <c r="G59" s="994" t="s">
        <v>3328</v>
      </c>
      <c r="H59" s="995"/>
      <c r="I59" s="996">
        <v>0.34</v>
      </c>
      <c r="J59" s="996">
        <v>0</v>
      </c>
      <c r="K59" s="996">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994" t="s">
        <v>782</v>
      </c>
      <c r="B60" s="994" t="s">
        <v>1947</v>
      </c>
      <c r="C60" s="995"/>
      <c r="D60" s="995"/>
      <c r="E60" s="995"/>
      <c r="F60" s="994" t="s">
        <v>2</v>
      </c>
      <c r="G60" s="994" t="s">
        <v>3328</v>
      </c>
      <c r="H60" s="995"/>
      <c r="I60" s="996">
        <v>0.26</v>
      </c>
      <c r="J60" s="996">
        <v>0</v>
      </c>
      <c r="K60" s="996">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994" t="s">
        <v>783</v>
      </c>
      <c r="B61" s="994" t="s">
        <v>1950</v>
      </c>
      <c r="C61" s="995"/>
      <c r="D61" s="995"/>
      <c r="E61" s="995"/>
      <c r="F61" s="994" t="s">
        <v>2</v>
      </c>
      <c r="G61" s="994" t="s">
        <v>3328</v>
      </c>
      <c r="H61" s="995"/>
      <c r="I61" s="996">
        <v>0.27</v>
      </c>
      <c r="J61" s="996">
        <v>0</v>
      </c>
      <c r="K61" s="996">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994" t="s">
        <v>3664</v>
      </c>
      <c r="B62" s="994" t="s">
        <v>3353</v>
      </c>
      <c r="C62" s="995"/>
      <c r="D62" s="995"/>
      <c r="E62" s="995"/>
      <c r="F62" s="994" t="s">
        <v>2</v>
      </c>
      <c r="G62" s="994" t="s">
        <v>3328</v>
      </c>
      <c r="H62" s="995"/>
      <c r="I62" s="996">
        <v>0</v>
      </c>
      <c r="J62" s="996">
        <v>0.25</v>
      </c>
      <c r="K62" s="996">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994" t="s">
        <v>784</v>
      </c>
      <c r="B63" s="994" t="s">
        <v>2055</v>
      </c>
      <c r="C63" s="995"/>
      <c r="D63" s="995"/>
      <c r="E63" s="995"/>
      <c r="F63" s="994" t="s">
        <v>2</v>
      </c>
      <c r="G63" s="994" t="s">
        <v>785</v>
      </c>
      <c r="H63" s="995"/>
      <c r="I63" s="996">
        <v>1</v>
      </c>
      <c r="J63" s="996">
        <v>0</v>
      </c>
      <c r="K63" s="996">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994" t="s">
        <v>786</v>
      </c>
      <c r="B64" s="994" t="s">
        <v>1113</v>
      </c>
      <c r="C64" s="995"/>
      <c r="D64" s="995"/>
      <c r="E64" s="995"/>
      <c r="F64" s="994" t="s">
        <v>2</v>
      </c>
      <c r="G64" s="994" t="s">
        <v>785</v>
      </c>
      <c r="H64" s="995"/>
      <c r="I64" s="996">
        <v>0.5</v>
      </c>
      <c r="J64" s="996">
        <v>0</v>
      </c>
      <c r="K64" s="996">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994" t="s">
        <v>787</v>
      </c>
      <c r="B65" s="994" t="s">
        <v>2087</v>
      </c>
      <c r="C65" s="995"/>
      <c r="D65" s="995"/>
      <c r="E65" s="995"/>
      <c r="F65" s="994" t="s">
        <v>2</v>
      </c>
      <c r="G65" s="994" t="s">
        <v>785</v>
      </c>
      <c r="H65" s="995"/>
      <c r="I65" s="996">
        <v>0.5</v>
      </c>
      <c r="J65" s="996">
        <v>0</v>
      </c>
      <c r="K65" s="996">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994" t="s">
        <v>788</v>
      </c>
      <c r="B66" s="994" t="s">
        <v>1120</v>
      </c>
      <c r="C66" s="995"/>
      <c r="D66" s="995"/>
      <c r="E66" s="995"/>
      <c r="F66" s="994" t="s">
        <v>2</v>
      </c>
      <c r="G66" s="994" t="s">
        <v>785</v>
      </c>
      <c r="H66" s="995"/>
      <c r="I66" s="996">
        <v>0.5</v>
      </c>
      <c r="J66" s="996">
        <v>0</v>
      </c>
      <c r="K66" s="996">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994" t="s">
        <v>789</v>
      </c>
      <c r="B67" s="994" t="s">
        <v>2110</v>
      </c>
      <c r="C67" s="995"/>
      <c r="D67" s="995"/>
      <c r="E67" s="995"/>
      <c r="F67" s="994" t="s">
        <v>2</v>
      </c>
      <c r="G67" s="994" t="s">
        <v>785</v>
      </c>
      <c r="H67" s="995"/>
      <c r="I67" s="996">
        <v>0.5</v>
      </c>
      <c r="J67" s="996">
        <v>0</v>
      </c>
      <c r="K67" s="996">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994" t="s">
        <v>790</v>
      </c>
      <c r="B68" s="994" t="s">
        <v>2119</v>
      </c>
      <c r="C68" s="995"/>
      <c r="D68" s="995"/>
      <c r="E68" s="995"/>
      <c r="F68" s="994" t="s">
        <v>2</v>
      </c>
      <c r="G68" s="994" t="s">
        <v>785</v>
      </c>
      <c r="H68" s="995"/>
      <c r="I68" s="996">
        <v>0.5</v>
      </c>
      <c r="J68" s="996">
        <v>0</v>
      </c>
      <c r="K68" s="996">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994" t="s">
        <v>791</v>
      </c>
      <c r="B69" s="994" t="s">
        <v>2128</v>
      </c>
      <c r="C69" s="995"/>
      <c r="D69" s="995"/>
      <c r="E69" s="995"/>
      <c r="F69" s="994" t="s">
        <v>2</v>
      </c>
      <c r="G69" s="994" t="s">
        <v>785</v>
      </c>
      <c r="H69" s="995"/>
      <c r="I69" s="996">
        <v>0.5</v>
      </c>
      <c r="J69" s="996">
        <v>0</v>
      </c>
      <c r="K69" s="996">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994" t="s">
        <v>792</v>
      </c>
      <c r="B70" s="994" t="s">
        <v>2131</v>
      </c>
      <c r="C70" s="995"/>
      <c r="D70" s="995"/>
      <c r="E70" s="995"/>
      <c r="F70" s="994" t="s">
        <v>2</v>
      </c>
      <c r="G70" s="994" t="s">
        <v>785</v>
      </c>
      <c r="H70" s="995"/>
      <c r="I70" s="996">
        <v>1</v>
      </c>
      <c r="J70" s="996">
        <v>0</v>
      </c>
      <c r="K70" s="996">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994" t="s">
        <v>793</v>
      </c>
      <c r="B71" s="994" t="s">
        <v>2133</v>
      </c>
      <c r="C71" s="995"/>
      <c r="D71" s="995"/>
      <c r="E71" s="995"/>
      <c r="F71" s="994" t="s">
        <v>2</v>
      </c>
      <c r="G71" s="994" t="s">
        <v>785</v>
      </c>
      <c r="H71" s="995"/>
      <c r="I71" s="996">
        <v>1</v>
      </c>
      <c r="J71" s="996">
        <v>0</v>
      </c>
      <c r="K71" s="996">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994" t="s">
        <v>794</v>
      </c>
      <c r="B72" s="994" t="s">
        <v>2157</v>
      </c>
      <c r="C72" s="995"/>
      <c r="D72" s="995"/>
      <c r="E72" s="995"/>
      <c r="F72" s="994" t="s">
        <v>2</v>
      </c>
      <c r="G72" s="994" t="s">
        <v>3329</v>
      </c>
      <c r="H72" s="995"/>
      <c r="I72" s="996">
        <v>6</v>
      </c>
      <c r="J72" s="996">
        <v>0</v>
      </c>
      <c r="K72" s="996">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994" t="s">
        <v>795</v>
      </c>
      <c r="B73" s="994" t="s">
        <v>2163</v>
      </c>
      <c r="C73" s="995"/>
      <c r="D73" s="995"/>
      <c r="E73" s="995"/>
      <c r="F73" s="994" t="s">
        <v>2</v>
      </c>
      <c r="G73" s="994" t="s">
        <v>785</v>
      </c>
      <c r="H73" s="995"/>
      <c r="I73" s="996">
        <v>3</v>
      </c>
      <c r="J73" s="996">
        <v>0</v>
      </c>
      <c r="K73" s="996">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994" t="s">
        <v>796</v>
      </c>
      <c r="B74" s="994" t="s">
        <v>2178</v>
      </c>
      <c r="C74" s="995"/>
      <c r="D74" s="995"/>
      <c r="E74" s="995"/>
      <c r="F74" s="994" t="s">
        <v>2</v>
      </c>
      <c r="G74" s="994" t="s">
        <v>785</v>
      </c>
      <c r="H74" s="995"/>
      <c r="I74" s="996">
        <v>1.5</v>
      </c>
      <c r="J74" s="996">
        <v>0</v>
      </c>
      <c r="K74" s="996">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994" t="s">
        <v>797</v>
      </c>
      <c r="B75" s="994" t="s">
        <v>2181</v>
      </c>
      <c r="C75" s="995"/>
      <c r="D75" s="995"/>
      <c r="E75" s="995"/>
      <c r="F75" s="994" t="s">
        <v>2</v>
      </c>
      <c r="G75" s="994" t="s">
        <v>785</v>
      </c>
      <c r="H75" s="995"/>
      <c r="I75" s="996">
        <v>1.5</v>
      </c>
      <c r="J75" s="996">
        <v>0</v>
      </c>
      <c r="K75" s="996">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994" t="s">
        <v>798</v>
      </c>
      <c r="B76" s="994" t="s">
        <v>3354</v>
      </c>
      <c r="C76" s="995"/>
      <c r="D76" s="995"/>
      <c r="E76" s="995"/>
      <c r="F76" s="994" t="s">
        <v>2</v>
      </c>
      <c r="G76" s="994" t="s">
        <v>785</v>
      </c>
      <c r="H76" s="995"/>
      <c r="I76" s="996">
        <v>1</v>
      </c>
      <c r="J76" s="996">
        <v>0</v>
      </c>
      <c r="K76" s="996">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994" t="s">
        <v>799</v>
      </c>
      <c r="B77" s="994" t="s">
        <v>2276</v>
      </c>
      <c r="C77" s="995"/>
      <c r="D77" s="995"/>
      <c r="E77" s="995"/>
      <c r="F77" s="994" t="s">
        <v>2</v>
      </c>
      <c r="G77" s="994" t="s">
        <v>3330</v>
      </c>
      <c r="H77" s="995"/>
      <c r="I77" s="996">
        <v>5</v>
      </c>
      <c r="J77" s="996">
        <v>0</v>
      </c>
      <c r="K77" s="996">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994" t="s">
        <v>800</v>
      </c>
      <c r="B78" s="994" t="s">
        <v>1208</v>
      </c>
      <c r="C78" s="995"/>
      <c r="D78" s="995"/>
      <c r="E78" s="995"/>
      <c r="F78" s="994" t="s">
        <v>2</v>
      </c>
      <c r="G78" s="994" t="s">
        <v>3330</v>
      </c>
      <c r="H78" s="995"/>
      <c r="I78" s="996">
        <v>1</v>
      </c>
      <c r="J78" s="996">
        <v>0</v>
      </c>
      <c r="K78" s="996">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994" t="s">
        <v>801</v>
      </c>
      <c r="B79" s="994" t="s">
        <v>2337</v>
      </c>
      <c r="C79" s="995"/>
      <c r="D79" s="995"/>
      <c r="E79" s="995"/>
      <c r="F79" s="994" t="s">
        <v>2</v>
      </c>
      <c r="G79" s="994" t="s">
        <v>785</v>
      </c>
      <c r="H79" s="995"/>
      <c r="I79" s="996">
        <v>1</v>
      </c>
      <c r="J79" s="996">
        <v>0</v>
      </c>
      <c r="K79" s="996">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994" t="s">
        <v>802</v>
      </c>
      <c r="B80" s="994" t="s">
        <v>2346</v>
      </c>
      <c r="C80" s="995"/>
      <c r="D80" s="995"/>
      <c r="E80" s="995"/>
      <c r="F80" s="994" t="s">
        <v>2</v>
      </c>
      <c r="G80" s="994" t="s">
        <v>785</v>
      </c>
      <c r="H80" s="995"/>
      <c r="I80" s="996">
        <v>1</v>
      </c>
      <c r="J80" s="996">
        <v>0</v>
      </c>
      <c r="K80" s="996">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994" t="s">
        <v>803</v>
      </c>
      <c r="B81" s="994" t="s">
        <v>2371</v>
      </c>
      <c r="C81" s="995"/>
      <c r="D81" s="995"/>
      <c r="E81" s="995"/>
      <c r="F81" s="994" t="s">
        <v>2</v>
      </c>
      <c r="G81" s="994" t="s">
        <v>785</v>
      </c>
      <c r="H81" s="995"/>
      <c r="I81" s="996">
        <v>7</v>
      </c>
      <c r="J81" s="996">
        <v>0</v>
      </c>
      <c r="K81" s="996">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994" t="s">
        <v>804</v>
      </c>
      <c r="B82" s="994" t="s">
        <v>2469</v>
      </c>
      <c r="C82" s="995"/>
      <c r="D82" s="995"/>
      <c r="E82" s="995"/>
      <c r="F82" s="994" t="s">
        <v>2</v>
      </c>
      <c r="G82" s="994" t="s">
        <v>3331</v>
      </c>
      <c r="H82" s="995"/>
      <c r="I82" s="996">
        <v>12</v>
      </c>
      <c r="J82" s="996">
        <v>0</v>
      </c>
      <c r="K82" s="996">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994" t="s">
        <v>805</v>
      </c>
      <c r="B83" s="994" t="s">
        <v>2538</v>
      </c>
      <c r="C83" s="995"/>
      <c r="D83" s="995"/>
      <c r="E83" s="995"/>
      <c r="F83" s="994" t="s">
        <v>2</v>
      </c>
      <c r="G83" s="994" t="s">
        <v>785</v>
      </c>
      <c r="H83" s="995"/>
      <c r="I83" s="996">
        <v>0.2</v>
      </c>
      <c r="J83" s="996">
        <v>0</v>
      </c>
      <c r="K83" s="996">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994" t="s">
        <v>806</v>
      </c>
      <c r="B84" s="994" t="s">
        <v>2544</v>
      </c>
      <c r="C84" s="995"/>
      <c r="D84" s="995"/>
      <c r="E84" s="995"/>
      <c r="F84" s="994" t="s">
        <v>2</v>
      </c>
      <c r="G84" s="994" t="s">
        <v>785</v>
      </c>
      <c r="H84" s="995"/>
      <c r="I84" s="996">
        <v>0.2</v>
      </c>
      <c r="J84" s="996">
        <v>0</v>
      </c>
      <c r="K84" s="996">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994" t="s">
        <v>807</v>
      </c>
      <c r="B85" s="994" t="s">
        <v>2574</v>
      </c>
      <c r="C85" s="995"/>
      <c r="D85" s="995"/>
      <c r="E85" s="995"/>
      <c r="F85" s="994" t="s">
        <v>2</v>
      </c>
      <c r="G85" s="994" t="s">
        <v>785</v>
      </c>
      <c r="H85" s="995"/>
      <c r="I85" s="996">
        <v>0.2</v>
      </c>
      <c r="J85" s="996">
        <v>0</v>
      </c>
      <c r="K85" s="996">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994" t="s">
        <v>808</v>
      </c>
      <c r="B86" s="994" t="s">
        <v>1267</v>
      </c>
      <c r="C86" s="995"/>
      <c r="D86" s="995"/>
      <c r="E86" s="995"/>
      <c r="F86" s="994" t="s">
        <v>2</v>
      </c>
      <c r="G86" s="994" t="s">
        <v>785</v>
      </c>
      <c r="H86" s="995"/>
      <c r="I86" s="996">
        <v>0.2</v>
      </c>
      <c r="J86" s="996">
        <v>0</v>
      </c>
      <c r="K86" s="996">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994" t="s">
        <v>809</v>
      </c>
      <c r="B87" s="994" t="s">
        <v>2617</v>
      </c>
      <c r="C87" s="995"/>
      <c r="D87" s="995"/>
      <c r="E87" s="995"/>
      <c r="F87" s="994" t="s">
        <v>2</v>
      </c>
      <c r="G87" s="994" t="s">
        <v>785</v>
      </c>
      <c r="H87" s="995"/>
      <c r="I87" s="996">
        <v>0.2</v>
      </c>
      <c r="J87" s="996">
        <v>0</v>
      </c>
      <c r="K87" s="996">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994" t="s">
        <v>810</v>
      </c>
      <c r="B88" s="994" t="s">
        <v>2635</v>
      </c>
      <c r="C88" s="995"/>
      <c r="D88" s="995"/>
      <c r="E88" s="995"/>
      <c r="F88" s="994" t="s">
        <v>2</v>
      </c>
      <c r="G88" s="994" t="s">
        <v>785</v>
      </c>
      <c r="H88" s="995"/>
      <c r="I88" s="996">
        <v>1</v>
      </c>
      <c r="J88" s="996">
        <v>0</v>
      </c>
      <c r="K88" s="996">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994" t="s">
        <v>811</v>
      </c>
      <c r="B89" s="994" t="s">
        <v>2638</v>
      </c>
      <c r="C89" s="995"/>
      <c r="D89" s="995"/>
      <c r="E89" s="995"/>
      <c r="F89" s="994" t="s">
        <v>2</v>
      </c>
      <c r="G89" s="994" t="s">
        <v>785</v>
      </c>
      <c r="H89" s="995"/>
      <c r="I89" s="996">
        <v>1</v>
      </c>
      <c r="J89" s="996">
        <v>0</v>
      </c>
      <c r="K89" s="996">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994" t="s">
        <v>812</v>
      </c>
      <c r="B90" s="994" t="s">
        <v>2641</v>
      </c>
      <c r="C90" s="995"/>
      <c r="D90" s="995"/>
      <c r="E90" s="995"/>
      <c r="F90" s="994" t="s">
        <v>2</v>
      </c>
      <c r="G90" s="994" t="s">
        <v>785</v>
      </c>
      <c r="H90" s="995"/>
      <c r="I90" s="996">
        <v>1</v>
      </c>
      <c r="J90" s="996">
        <v>0</v>
      </c>
      <c r="K90" s="996">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994" t="s">
        <v>813</v>
      </c>
      <c r="B91" s="994" t="s">
        <v>2644</v>
      </c>
      <c r="C91" s="995"/>
      <c r="D91" s="995"/>
      <c r="E91" s="995"/>
      <c r="F91" s="994" t="s">
        <v>2</v>
      </c>
      <c r="G91" s="994" t="s">
        <v>785</v>
      </c>
      <c r="H91" s="995"/>
      <c r="I91" s="996">
        <v>1</v>
      </c>
      <c r="J91" s="996">
        <v>0</v>
      </c>
      <c r="K91" s="996">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994" t="s">
        <v>814</v>
      </c>
      <c r="B92" s="994" t="s">
        <v>2722</v>
      </c>
      <c r="C92" s="995"/>
      <c r="D92" s="995"/>
      <c r="E92" s="995"/>
      <c r="F92" s="994" t="s">
        <v>2</v>
      </c>
      <c r="G92" s="994" t="s">
        <v>3332</v>
      </c>
      <c r="H92" s="995"/>
      <c r="I92" s="996">
        <v>3</v>
      </c>
      <c r="J92" s="996">
        <v>0</v>
      </c>
      <c r="K92" s="996">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994" t="s">
        <v>815</v>
      </c>
      <c r="B93" s="994" t="s">
        <v>817</v>
      </c>
      <c r="C93" s="996">
        <v>966471.7</v>
      </c>
      <c r="D93" s="996">
        <v>35273.9</v>
      </c>
      <c r="E93" s="996">
        <v>1001745.6</v>
      </c>
      <c r="F93" s="994" t="s">
        <v>816</v>
      </c>
      <c r="G93" s="994" t="s">
        <v>817</v>
      </c>
      <c r="H93" s="995"/>
      <c r="I93" s="995"/>
      <c r="J93" s="995"/>
      <c r="K93" s="995"/>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994" t="s">
        <v>818</v>
      </c>
      <c r="B94" s="994" t="s">
        <v>3356</v>
      </c>
      <c r="C94" s="996">
        <v>0</v>
      </c>
      <c r="D94" s="996">
        <v>0.01</v>
      </c>
      <c r="E94" s="996">
        <v>0.01</v>
      </c>
      <c r="F94" s="994" t="s">
        <v>816</v>
      </c>
      <c r="G94" s="994" t="s">
        <v>817</v>
      </c>
      <c r="H94" s="995"/>
      <c r="I94" s="995"/>
      <c r="J94" s="995"/>
      <c r="K94" s="995"/>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994" t="s">
        <v>819</v>
      </c>
      <c r="B95" s="994" t="s">
        <v>3359</v>
      </c>
      <c r="C95" s="996">
        <v>850000</v>
      </c>
      <c r="D95" s="996">
        <v>0</v>
      </c>
      <c r="E95" s="996">
        <v>850000</v>
      </c>
      <c r="F95" s="994" t="s">
        <v>816</v>
      </c>
      <c r="G95" s="994" t="s">
        <v>817</v>
      </c>
      <c r="H95" s="995"/>
      <c r="I95" s="995"/>
      <c r="J95" s="995"/>
      <c r="K95" s="995"/>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994" t="s">
        <v>820</v>
      </c>
      <c r="B96" s="994" t="s">
        <v>1452</v>
      </c>
      <c r="C96" s="996">
        <v>220.85</v>
      </c>
      <c r="D96" s="996">
        <v>0</v>
      </c>
      <c r="E96" s="996">
        <v>220.85</v>
      </c>
      <c r="F96" s="994" t="s">
        <v>816</v>
      </c>
      <c r="G96" s="994" t="s">
        <v>817</v>
      </c>
      <c r="H96" s="995"/>
      <c r="I96" s="995"/>
      <c r="J96" s="995"/>
      <c r="K96" s="995"/>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994" t="s">
        <v>3665</v>
      </c>
      <c r="B97" s="994" t="s">
        <v>3361</v>
      </c>
      <c r="C97" s="996">
        <v>0</v>
      </c>
      <c r="D97" s="996">
        <v>69.33</v>
      </c>
      <c r="E97" s="996">
        <v>69.33</v>
      </c>
      <c r="F97" s="994" t="s">
        <v>816</v>
      </c>
      <c r="G97" s="994" t="s">
        <v>821</v>
      </c>
      <c r="H97" s="973"/>
      <c r="I97" s="973"/>
      <c r="J97" s="973"/>
      <c r="K97" s="973"/>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994" t="s">
        <v>822</v>
      </c>
      <c r="B98" s="994" t="s">
        <v>823</v>
      </c>
      <c r="C98" s="996">
        <v>924558.89</v>
      </c>
      <c r="D98" s="996">
        <v>-342698.95</v>
      </c>
      <c r="E98" s="996">
        <v>581859.93999999994</v>
      </c>
      <c r="F98" s="994" t="s">
        <v>816</v>
      </c>
      <c r="G98" s="994" t="s">
        <v>823</v>
      </c>
      <c r="H98" s="973"/>
      <c r="I98" s="973"/>
      <c r="J98" s="973"/>
      <c r="K98" s="973"/>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994" t="s">
        <v>824</v>
      </c>
      <c r="B99" s="994" t="s">
        <v>825</v>
      </c>
      <c r="C99" s="996">
        <v>-10369.950000000001</v>
      </c>
      <c r="D99" s="996">
        <v>18688.14</v>
      </c>
      <c r="E99" s="996">
        <v>8318.19</v>
      </c>
      <c r="F99" s="994" t="s">
        <v>816</v>
      </c>
      <c r="G99" s="994" t="s">
        <v>825</v>
      </c>
      <c r="H99" s="973"/>
      <c r="I99" s="973"/>
      <c r="J99" s="973"/>
      <c r="K99" s="973"/>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994" t="s">
        <v>826</v>
      </c>
      <c r="B100" s="994" t="s">
        <v>1459</v>
      </c>
      <c r="C100" s="996">
        <v>714333.52</v>
      </c>
      <c r="D100" s="996">
        <v>-562398.52</v>
      </c>
      <c r="E100" s="996">
        <v>151935</v>
      </c>
      <c r="F100" s="994" t="s">
        <v>816</v>
      </c>
      <c r="G100" s="994" t="s">
        <v>825</v>
      </c>
      <c r="H100" s="973"/>
      <c r="I100" s="973"/>
      <c r="J100" s="973"/>
      <c r="K100" s="973"/>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994" t="s">
        <v>827</v>
      </c>
      <c r="B101" s="994" t="s">
        <v>828</v>
      </c>
      <c r="C101" s="996">
        <v>167891.3</v>
      </c>
      <c r="D101" s="996">
        <v>-38032.120000000003</v>
      </c>
      <c r="E101" s="996">
        <v>129859.18</v>
      </c>
      <c r="F101" s="994" t="s">
        <v>816</v>
      </c>
      <c r="G101" s="994" t="s">
        <v>828</v>
      </c>
      <c r="H101" s="973"/>
      <c r="I101" s="973"/>
      <c r="J101" s="973"/>
      <c r="K101" s="973"/>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994" t="s">
        <v>829</v>
      </c>
      <c r="B102" s="994" t="s">
        <v>1464</v>
      </c>
      <c r="C102" s="996">
        <v>91192.84</v>
      </c>
      <c r="D102" s="996">
        <v>-20264.66</v>
      </c>
      <c r="E102" s="996">
        <v>70928.179999999993</v>
      </c>
      <c r="F102" s="994" t="s">
        <v>816</v>
      </c>
      <c r="G102" s="994" t="s">
        <v>828</v>
      </c>
      <c r="H102" s="973"/>
      <c r="I102" s="973"/>
      <c r="J102" s="973"/>
      <c r="K102" s="973"/>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994" t="s">
        <v>830</v>
      </c>
      <c r="B103" s="994" t="s">
        <v>3362</v>
      </c>
      <c r="C103" s="996">
        <v>3928.91</v>
      </c>
      <c r="D103" s="996">
        <v>5887.87</v>
      </c>
      <c r="E103" s="996">
        <v>9816.7800000000007</v>
      </c>
      <c r="F103" s="994" t="s">
        <v>816</v>
      </c>
      <c r="G103" s="994" t="s">
        <v>828</v>
      </c>
      <c r="H103" s="973"/>
      <c r="I103" s="974"/>
      <c r="J103" s="974"/>
      <c r="K103" s="974"/>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994" t="s">
        <v>831</v>
      </c>
      <c r="B104" s="994" t="s">
        <v>3363</v>
      </c>
      <c r="C104" s="996">
        <v>24300</v>
      </c>
      <c r="D104" s="996">
        <v>14700</v>
      </c>
      <c r="E104" s="996">
        <v>39000</v>
      </c>
      <c r="F104" s="994" t="s">
        <v>816</v>
      </c>
      <c r="G104" s="994" t="s">
        <v>825</v>
      </c>
      <c r="H104" s="973"/>
      <c r="I104" s="974"/>
      <c r="J104" s="974"/>
      <c r="K104" s="974"/>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994" t="s">
        <v>832</v>
      </c>
      <c r="B105" s="994" t="s">
        <v>1467</v>
      </c>
      <c r="C105" s="996">
        <v>88115</v>
      </c>
      <c r="D105" s="996">
        <v>-73870</v>
      </c>
      <c r="E105" s="996">
        <v>14245</v>
      </c>
      <c r="F105" s="994" t="s">
        <v>816</v>
      </c>
      <c r="G105" s="994" t="s">
        <v>833</v>
      </c>
      <c r="H105" s="973"/>
      <c r="I105" s="974"/>
      <c r="J105" s="974"/>
      <c r="K105" s="974"/>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994" t="s">
        <v>834</v>
      </c>
      <c r="B106" s="994" t="s">
        <v>835</v>
      </c>
      <c r="C106" s="996">
        <v>81514.460000000006</v>
      </c>
      <c r="D106" s="996">
        <v>-78097.36</v>
      </c>
      <c r="E106" s="996">
        <v>3417.1</v>
      </c>
      <c r="F106" s="994" t="s">
        <v>816</v>
      </c>
      <c r="G106" s="994" t="s">
        <v>835</v>
      </c>
      <c r="H106" s="973"/>
      <c r="I106" s="974"/>
      <c r="J106" s="974"/>
      <c r="K106" s="974"/>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994" t="s">
        <v>836</v>
      </c>
      <c r="B107" s="994" t="s">
        <v>1472</v>
      </c>
      <c r="C107" s="996">
        <v>9050.6200000000008</v>
      </c>
      <c r="D107" s="996">
        <v>3198.86</v>
      </c>
      <c r="E107" s="996">
        <v>12249.48</v>
      </c>
      <c r="F107" s="994" t="s">
        <v>816</v>
      </c>
      <c r="G107" s="994" t="s">
        <v>821</v>
      </c>
      <c r="H107" s="973"/>
      <c r="I107" s="974"/>
      <c r="J107" s="974"/>
      <c r="K107" s="974"/>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994" t="s">
        <v>837</v>
      </c>
      <c r="B108" s="994" t="s">
        <v>1475</v>
      </c>
      <c r="C108" s="996">
        <v>-54183.66</v>
      </c>
      <c r="D108" s="996">
        <v>17044</v>
      </c>
      <c r="E108" s="996">
        <v>-37139.660000000003</v>
      </c>
      <c r="F108" s="994" t="s">
        <v>816</v>
      </c>
      <c r="G108" s="994" t="s">
        <v>833</v>
      </c>
      <c r="H108" s="973"/>
      <c r="I108" s="974"/>
      <c r="J108" s="974"/>
      <c r="K108" s="974"/>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994" t="s">
        <v>838</v>
      </c>
      <c r="B109" s="994" t="s">
        <v>839</v>
      </c>
      <c r="C109" s="996">
        <v>-2655.24</v>
      </c>
      <c r="D109" s="996">
        <v>0</v>
      </c>
      <c r="E109" s="996">
        <v>-2655.24</v>
      </c>
      <c r="F109" s="994" t="s">
        <v>816</v>
      </c>
      <c r="G109" s="994" t="s">
        <v>839</v>
      </c>
      <c r="H109" s="973"/>
      <c r="I109" s="974"/>
      <c r="J109" s="974"/>
      <c r="K109" s="974"/>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994" t="s">
        <v>840</v>
      </c>
      <c r="B110" s="994" t="s">
        <v>841</v>
      </c>
      <c r="C110" s="996">
        <v>2737483.13</v>
      </c>
      <c r="D110" s="996">
        <v>-483507.75</v>
      </c>
      <c r="E110" s="996">
        <v>2253975.38</v>
      </c>
      <c r="F110" s="994" t="s">
        <v>816</v>
      </c>
      <c r="G110" s="994" t="s">
        <v>841</v>
      </c>
      <c r="H110" s="973"/>
      <c r="I110" s="974"/>
      <c r="J110" s="974"/>
      <c r="K110" s="974"/>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994" t="s">
        <v>844</v>
      </c>
      <c r="B111" s="994" t="s">
        <v>1487</v>
      </c>
      <c r="C111" s="996">
        <v>-57100</v>
      </c>
      <c r="D111" s="996">
        <v>-1875</v>
      </c>
      <c r="E111" s="996">
        <v>-58975</v>
      </c>
      <c r="F111" s="994" t="s">
        <v>816</v>
      </c>
      <c r="G111" s="994" t="s">
        <v>841</v>
      </c>
      <c r="H111" s="973"/>
      <c r="I111" s="974"/>
      <c r="J111" s="974"/>
      <c r="K111" s="974"/>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994" t="s">
        <v>845</v>
      </c>
      <c r="B112" s="994" t="s">
        <v>846</v>
      </c>
      <c r="C112" s="996">
        <v>-5312</v>
      </c>
      <c r="D112" s="996">
        <v>-2400</v>
      </c>
      <c r="E112" s="996">
        <v>-7712</v>
      </c>
      <c r="F112" s="994" t="s">
        <v>816</v>
      </c>
      <c r="G112" s="994" t="s">
        <v>846</v>
      </c>
      <c r="H112" s="973"/>
      <c r="I112" s="974"/>
      <c r="J112" s="974"/>
      <c r="K112" s="974"/>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994" t="s">
        <v>847</v>
      </c>
      <c r="B113" s="994" t="s">
        <v>848</v>
      </c>
      <c r="C113" s="996">
        <v>2836520.29</v>
      </c>
      <c r="D113" s="996">
        <v>-348389.8</v>
      </c>
      <c r="E113" s="996">
        <v>2488130.4900000002</v>
      </c>
      <c r="F113" s="994" t="s">
        <v>816</v>
      </c>
      <c r="G113" s="994" t="s">
        <v>848</v>
      </c>
      <c r="H113" s="973"/>
      <c r="I113" s="974"/>
      <c r="J113" s="974"/>
      <c r="K113" s="974"/>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994" t="s">
        <v>851</v>
      </c>
      <c r="B114" s="994" t="s">
        <v>852</v>
      </c>
      <c r="C114" s="996">
        <v>-11095.25</v>
      </c>
      <c r="D114" s="996">
        <v>-7064.46</v>
      </c>
      <c r="E114" s="996">
        <v>-18159.71</v>
      </c>
      <c r="F114" s="994" t="s">
        <v>816</v>
      </c>
      <c r="G114" s="994" t="s">
        <v>852</v>
      </c>
      <c r="H114" s="973"/>
      <c r="I114" s="974"/>
      <c r="J114" s="974"/>
      <c r="K114" s="974"/>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994" t="s">
        <v>853</v>
      </c>
      <c r="B115" s="994" t="s">
        <v>3365</v>
      </c>
      <c r="C115" s="996">
        <v>-36318.639999999999</v>
      </c>
      <c r="D115" s="996">
        <v>6920.62</v>
      </c>
      <c r="E115" s="996">
        <v>-29398.02</v>
      </c>
      <c r="F115" s="994" t="s">
        <v>816</v>
      </c>
      <c r="G115" s="994" t="s">
        <v>854</v>
      </c>
      <c r="H115" s="973"/>
      <c r="I115" s="974"/>
      <c r="J115" s="974"/>
      <c r="K115" s="974"/>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994" t="s">
        <v>855</v>
      </c>
      <c r="B116" s="994" t="s">
        <v>856</v>
      </c>
      <c r="C116" s="996">
        <v>65871.789999999994</v>
      </c>
      <c r="D116" s="996">
        <v>-10711.08</v>
      </c>
      <c r="E116" s="996">
        <v>55160.71</v>
      </c>
      <c r="F116" s="994" t="s">
        <v>816</v>
      </c>
      <c r="G116" s="994" t="s">
        <v>856</v>
      </c>
      <c r="H116" s="973"/>
      <c r="I116" s="974"/>
      <c r="J116" s="974"/>
      <c r="K116" s="974"/>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994" t="s">
        <v>857</v>
      </c>
      <c r="B117" s="994" t="s">
        <v>3366</v>
      </c>
      <c r="C117" s="996">
        <v>346.5</v>
      </c>
      <c r="D117" s="996">
        <v>-346.5</v>
      </c>
      <c r="E117" s="996">
        <v>0</v>
      </c>
      <c r="F117" s="994" t="s">
        <v>816</v>
      </c>
      <c r="G117" s="994" t="s">
        <v>856</v>
      </c>
      <c r="H117" s="973"/>
      <c r="I117" s="974"/>
      <c r="J117" s="974"/>
      <c r="K117" s="974"/>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994" t="s">
        <v>858</v>
      </c>
      <c r="B118" s="994" t="s">
        <v>1498</v>
      </c>
      <c r="C118" s="996">
        <v>184295.38</v>
      </c>
      <c r="D118" s="996">
        <v>6291.44</v>
      </c>
      <c r="E118" s="996">
        <v>190586.82</v>
      </c>
      <c r="F118" s="994" t="s">
        <v>816</v>
      </c>
      <c r="G118" s="994" t="s">
        <v>856</v>
      </c>
      <c r="H118" s="973"/>
      <c r="I118" s="974"/>
      <c r="J118" s="974"/>
      <c r="K118" s="974"/>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994" t="s">
        <v>859</v>
      </c>
      <c r="B119" s="994" t="s">
        <v>860</v>
      </c>
      <c r="C119" s="996">
        <v>87436.52</v>
      </c>
      <c r="D119" s="996">
        <v>4161.88</v>
      </c>
      <c r="E119" s="996">
        <v>91598.399999999994</v>
      </c>
      <c r="F119" s="994" t="s">
        <v>816</v>
      </c>
      <c r="G119" s="994" t="s">
        <v>860</v>
      </c>
      <c r="H119" s="973"/>
      <c r="I119" s="974"/>
      <c r="J119" s="974"/>
      <c r="K119" s="974"/>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994" t="s">
        <v>861</v>
      </c>
      <c r="B120" s="994" t="s">
        <v>862</v>
      </c>
      <c r="C120" s="996">
        <v>6332.7</v>
      </c>
      <c r="D120" s="996">
        <v>3466.3</v>
      </c>
      <c r="E120" s="996">
        <v>9799</v>
      </c>
      <c r="F120" s="994" t="s">
        <v>816</v>
      </c>
      <c r="G120" s="994" t="s">
        <v>862</v>
      </c>
      <c r="H120" s="973"/>
      <c r="I120" s="974"/>
      <c r="J120" s="974"/>
      <c r="K120" s="974"/>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994" t="s">
        <v>863</v>
      </c>
      <c r="B121" s="994" t="s">
        <v>1505</v>
      </c>
      <c r="C121" s="996">
        <v>2533.04</v>
      </c>
      <c r="D121" s="996">
        <v>4139.5600000000004</v>
      </c>
      <c r="E121" s="996">
        <v>6672.6</v>
      </c>
      <c r="F121" s="994" t="s">
        <v>816</v>
      </c>
      <c r="G121" s="994" t="s">
        <v>862</v>
      </c>
      <c r="H121" s="973"/>
      <c r="I121" s="974"/>
      <c r="J121" s="974"/>
      <c r="K121" s="974"/>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994" t="s">
        <v>864</v>
      </c>
      <c r="B122" s="994" t="s">
        <v>1508</v>
      </c>
      <c r="C122" s="996">
        <v>1932.59</v>
      </c>
      <c r="D122" s="996">
        <v>15309.97</v>
      </c>
      <c r="E122" s="996">
        <v>17242.560000000001</v>
      </c>
      <c r="F122" s="994" t="s">
        <v>816</v>
      </c>
      <c r="G122" s="994" t="s">
        <v>856</v>
      </c>
      <c r="H122" s="973"/>
      <c r="I122" s="974"/>
      <c r="J122" s="974"/>
      <c r="K122" s="974"/>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994" t="s">
        <v>865</v>
      </c>
      <c r="B123" s="994" t="s">
        <v>866</v>
      </c>
      <c r="C123" s="996">
        <v>47.1</v>
      </c>
      <c r="D123" s="996">
        <v>0</v>
      </c>
      <c r="E123" s="996">
        <v>47.1</v>
      </c>
      <c r="F123" s="994" t="s">
        <v>816</v>
      </c>
      <c r="G123" s="994" t="s">
        <v>866</v>
      </c>
      <c r="H123" s="973"/>
      <c r="I123" s="974"/>
      <c r="J123" s="974"/>
      <c r="K123" s="974"/>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994" t="s">
        <v>867</v>
      </c>
      <c r="B124" s="994" t="s">
        <v>1513</v>
      </c>
      <c r="C124" s="996">
        <v>2228.83</v>
      </c>
      <c r="D124" s="996">
        <v>-148.26</v>
      </c>
      <c r="E124" s="996">
        <v>2080.5700000000002</v>
      </c>
      <c r="F124" s="994" t="s">
        <v>816</v>
      </c>
      <c r="G124" s="994" t="s">
        <v>868</v>
      </c>
      <c r="H124" s="973"/>
      <c r="I124" s="974"/>
      <c r="J124" s="974"/>
      <c r="K124" s="974"/>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994" t="s">
        <v>869</v>
      </c>
      <c r="B125" s="994" t="s">
        <v>1516</v>
      </c>
      <c r="C125" s="996">
        <v>47.35</v>
      </c>
      <c r="D125" s="996">
        <v>86.97</v>
      </c>
      <c r="E125" s="996">
        <v>134.32</v>
      </c>
      <c r="F125" s="994" t="s">
        <v>816</v>
      </c>
      <c r="G125" s="994" t="s">
        <v>868</v>
      </c>
      <c r="H125" s="973"/>
      <c r="I125" s="974"/>
      <c r="J125" s="974"/>
      <c r="K125" s="974"/>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994" t="s">
        <v>870</v>
      </c>
      <c r="B126" s="994" t="s">
        <v>1519</v>
      </c>
      <c r="C126" s="996">
        <v>-19641.759999999998</v>
      </c>
      <c r="D126" s="996">
        <v>3804.65</v>
      </c>
      <c r="E126" s="996">
        <v>-15837.11</v>
      </c>
      <c r="F126" s="994" t="s">
        <v>816</v>
      </c>
      <c r="G126" s="994" t="s">
        <v>868</v>
      </c>
      <c r="H126" s="973"/>
      <c r="I126" s="974"/>
      <c r="J126" s="974"/>
      <c r="K126" s="974"/>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994" t="s">
        <v>871</v>
      </c>
      <c r="B127" s="994" t="s">
        <v>1525</v>
      </c>
      <c r="C127" s="996">
        <v>1380</v>
      </c>
      <c r="D127" s="996">
        <v>-70</v>
      </c>
      <c r="E127" s="996">
        <v>1310</v>
      </c>
      <c r="F127" s="994" t="s">
        <v>816</v>
      </c>
      <c r="G127" s="994" t="s">
        <v>868</v>
      </c>
      <c r="H127" s="973"/>
      <c r="I127" s="974"/>
      <c r="J127" s="974"/>
      <c r="K127" s="974"/>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994" t="s">
        <v>872</v>
      </c>
      <c r="B128" s="994" t="s">
        <v>1528</v>
      </c>
      <c r="C128" s="996">
        <v>8034.43</v>
      </c>
      <c r="D128" s="996">
        <v>0</v>
      </c>
      <c r="E128" s="996">
        <v>8034.43</v>
      </c>
      <c r="F128" s="994" t="s">
        <v>816</v>
      </c>
      <c r="G128" s="994" t="s">
        <v>868</v>
      </c>
      <c r="H128" s="973"/>
      <c r="I128" s="974"/>
      <c r="J128" s="974"/>
      <c r="K128" s="974"/>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994" t="s">
        <v>873</v>
      </c>
      <c r="B129" s="994" t="s">
        <v>1540</v>
      </c>
      <c r="C129" s="996">
        <v>1873</v>
      </c>
      <c r="D129" s="996">
        <v>2326.5</v>
      </c>
      <c r="E129" s="996">
        <v>4199.5</v>
      </c>
      <c r="F129" s="994" t="s">
        <v>816</v>
      </c>
      <c r="G129" s="994" t="s">
        <v>868</v>
      </c>
      <c r="H129" s="973"/>
      <c r="I129" s="974"/>
      <c r="J129" s="974"/>
      <c r="K129" s="974"/>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994" t="s">
        <v>874</v>
      </c>
      <c r="B130" s="994" t="s">
        <v>1543</v>
      </c>
      <c r="C130" s="996">
        <v>-130</v>
      </c>
      <c r="D130" s="996">
        <v>0</v>
      </c>
      <c r="E130" s="996">
        <v>-130</v>
      </c>
      <c r="F130" s="994" t="s">
        <v>816</v>
      </c>
      <c r="G130" s="994" t="s">
        <v>868</v>
      </c>
      <c r="H130" s="973"/>
      <c r="I130" s="974"/>
      <c r="J130" s="974"/>
      <c r="K130" s="974"/>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994" t="s">
        <v>875</v>
      </c>
      <c r="B131" s="994" t="s">
        <v>1552</v>
      </c>
      <c r="C131" s="996">
        <v>125.21</v>
      </c>
      <c r="D131" s="996">
        <v>0</v>
      </c>
      <c r="E131" s="996">
        <v>125.21</v>
      </c>
      <c r="F131" s="994" t="s">
        <v>816</v>
      </c>
      <c r="G131" s="994" t="s">
        <v>868</v>
      </c>
      <c r="H131" s="973"/>
      <c r="I131" s="974"/>
      <c r="J131" s="974"/>
      <c r="K131" s="974"/>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994" t="s">
        <v>876</v>
      </c>
      <c r="B132" s="994" t="s">
        <v>1555</v>
      </c>
      <c r="C132" s="996">
        <v>-13.56</v>
      </c>
      <c r="D132" s="996">
        <v>13.56</v>
      </c>
      <c r="E132" s="996">
        <v>0</v>
      </c>
      <c r="F132" s="994" t="s">
        <v>816</v>
      </c>
      <c r="G132" s="994" t="s">
        <v>868</v>
      </c>
      <c r="H132" s="973"/>
      <c r="I132" s="974"/>
      <c r="J132" s="974"/>
      <c r="K132" s="974"/>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994" t="s">
        <v>877</v>
      </c>
      <c r="B133" s="994" t="s">
        <v>1558</v>
      </c>
      <c r="C133" s="996">
        <v>1834.58</v>
      </c>
      <c r="D133" s="996">
        <v>0</v>
      </c>
      <c r="E133" s="996">
        <v>1834.58</v>
      </c>
      <c r="F133" s="994" t="s">
        <v>816</v>
      </c>
      <c r="G133" s="994" t="s">
        <v>868</v>
      </c>
      <c r="H133" s="973"/>
      <c r="I133" s="974"/>
      <c r="J133" s="974"/>
      <c r="K133" s="974"/>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994" t="s">
        <v>878</v>
      </c>
      <c r="B134" s="994" t="s">
        <v>1561</v>
      </c>
      <c r="C134" s="996">
        <v>8590.9599999999991</v>
      </c>
      <c r="D134" s="996">
        <v>-20211.52</v>
      </c>
      <c r="E134" s="996">
        <v>-11620.56</v>
      </c>
      <c r="F134" s="994" t="s">
        <v>816</v>
      </c>
      <c r="G134" s="994" t="s">
        <v>868</v>
      </c>
      <c r="H134" s="973"/>
      <c r="I134" s="974"/>
      <c r="J134" s="974"/>
      <c r="K134" s="974"/>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994" t="s">
        <v>879</v>
      </c>
      <c r="B135" s="994" t="s">
        <v>3369</v>
      </c>
      <c r="C135" s="996">
        <v>-29952</v>
      </c>
      <c r="D135" s="996">
        <v>0</v>
      </c>
      <c r="E135" s="996">
        <v>-29952</v>
      </c>
      <c r="F135" s="994" t="s">
        <v>816</v>
      </c>
      <c r="G135" s="994" t="s">
        <v>868</v>
      </c>
      <c r="H135" s="973"/>
      <c r="I135" s="974"/>
      <c r="J135" s="974"/>
      <c r="K135" s="974"/>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994" t="s">
        <v>880</v>
      </c>
      <c r="B136" s="994" t="s">
        <v>1564</v>
      </c>
      <c r="C136" s="996">
        <v>4632.24</v>
      </c>
      <c r="D136" s="996">
        <v>-4632.24</v>
      </c>
      <c r="E136" s="996">
        <v>0</v>
      </c>
      <c r="F136" s="994" t="s">
        <v>816</v>
      </c>
      <c r="G136" s="994" t="s">
        <v>868</v>
      </c>
      <c r="H136" s="973"/>
      <c r="I136" s="974"/>
      <c r="J136" s="974"/>
      <c r="K136" s="974"/>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994" t="s">
        <v>881</v>
      </c>
      <c r="B137" s="994" t="s">
        <v>1570</v>
      </c>
      <c r="C137" s="996">
        <v>2123.83</v>
      </c>
      <c r="D137" s="996">
        <v>-303.79000000000002</v>
      </c>
      <c r="E137" s="996">
        <v>1820.04</v>
      </c>
      <c r="F137" s="994" t="s">
        <v>816</v>
      </c>
      <c r="G137" s="994" t="s">
        <v>868</v>
      </c>
      <c r="H137" s="973"/>
      <c r="I137" s="974"/>
      <c r="J137" s="974"/>
      <c r="K137" s="974"/>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994" t="s">
        <v>882</v>
      </c>
      <c r="B138" s="994" t="s">
        <v>3370</v>
      </c>
      <c r="C138" s="996">
        <v>2330</v>
      </c>
      <c r="D138" s="996">
        <v>445</v>
      </c>
      <c r="E138" s="996">
        <v>2775</v>
      </c>
      <c r="F138" s="994" t="s">
        <v>816</v>
      </c>
      <c r="G138" s="994" t="s">
        <v>868</v>
      </c>
      <c r="H138" s="973"/>
      <c r="I138" s="974"/>
      <c r="J138" s="974"/>
      <c r="K138" s="974"/>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994" t="s">
        <v>883</v>
      </c>
      <c r="B139" s="994" t="s">
        <v>1573</v>
      </c>
      <c r="C139" s="996">
        <v>9405.2900000000009</v>
      </c>
      <c r="D139" s="996">
        <v>31299.62</v>
      </c>
      <c r="E139" s="996">
        <v>40704.910000000003</v>
      </c>
      <c r="F139" s="994" t="s">
        <v>816</v>
      </c>
      <c r="G139" s="994" t="s">
        <v>868</v>
      </c>
      <c r="H139" s="973"/>
      <c r="I139" s="974"/>
      <c r="J139" s="974"/>
      <c r="K139" s="974"/>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994" t="s">
        <v>884</v>
      </c>
      <c r="B140" s="994" t="s">
        <v>1585</v>
      </c>
      <c r="C140" s="996">
        <v>144370.28</v>
      </c>
      <c r="D140" s="996">
        <v>0</v>
      </c>
      <c r="E140" s="996">
        <v>144370.28</v>
      </c>
      <c r="F140" s="994" t="s">
        <v>816</v>
      </c>
      <c r="G140" s="994" t="s">
        <v>885</v>
      </c>
      <c r="H140" s="973"/>
      <c r="I140" s="974"/>
      <c r="J140" s="974"/>
      <c r="K140" s="974"/>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994" t="s">
        <v>886</v>
      </c>
      <c r="B141" s="994" t="s">
        <v>1588</v>
      </c>
      <c r="C141" s="996">
        <v>-101575.02</v>
      </c>
      <c r="D141" s="996">
        <v>-225</v>
      </c>
      <c r="E141" s="996">
        <v>-101800.02</v>
      </c>
      <c r="F141" s="994" t="s">
        <v>816</v>
      </c>
      <c r="G141" s="994" t="s">
        <v>885</v>
      </c>
      <c r="H141" s="973"/>
      <c r="I141" s="974"/>
      <c r="J141" s="974"/>
      <c r="K141" s="974"/>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994" t="s">
        <v>887</v>
      </c>
      <c r="B142" s="994" t="s">
        <v>1591</v>
      </c>
      <c r="C142" s="996">
        <v>957607.11</v>
      </c>
      <c r="D142" s="996">
        <v>5143.59</v>
      </c>
      <c r="E142" s="996">
        <v>962750.7</v>
      </c>
      <c r="F142" s="994" t="s">
        <v>816</v>
      </c>
      <c r="G142" s="994" t="s">
        <v>885</v>
      </c>
      <c r="H142" s="973"/>
      <c r="I142" s="974"/>
      <c r="J142" s="974"/>
      <c r="K142" s="974"/>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994" t="s">
        <v>888</v>
      </c>
      <c r="B143" s="994" t="s">
        <v>1594</v>
      </c>
      <c r="C143" s="996">
        <v>-813921.08</v>
      </c>
      <c r="D143" s="996">
        <v>-2612</v>
      </c>
      <c r="E143" s="996">
        <v>-816533.08</v>
      </c>
      <c r="F143" s="994" t="s">
        <v>816</v>
      </c>
      <c r="G143" s="994" t="s">
        <v>885</v>
      </c>
      <c r="H143" s="973"/>
      <c r="I143" s="974"/>
      <c r="J143" s="974"/>
      <c r="K143" s="974"/>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994" t="s">
        <v>889</v>
      </c>
      <c r="B144" s="994" t="s">
        <v>1597</v>
      </c>
      <c r="C144" s="996">
        <v>47461.59</v>
      </c>
      <c r="D144" s="996">
        <v>0</v>
      </c>
      <c r="E144" s="996">
        <v>47461.59</v>
      </c>
      <c r="F144" s="994" t="s">
        <v>816</v>
      </c>
      <c r="G144" s="994" t="s">
        <v>885</v>
      </c>
      <c r="H144" s="973"/>
      <c r="I144" s="974"/>
      <c r="J144" s="974"/>
      <c r="K144" s="974"/>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994" t="s">
        <v>890</v>
      </c>
      <c r="B145" s="994" t="s">
        <v>1600</v>
      </c>
      <c r="C145" s="996">
        <v>-47494.51</v>
      </c>
      <c r="D145" s="996">
        <v>-8.5</v>
      </c>
      <c r="E145" s="996">
        <v>-47503.01</v>
      </c>
      <c r="F145" s="994" t="s">
        <v>816</v>
      </c>
      <c r="G145" s="994" t="s">
        <v>885</v>
      </c>
      <c r="H145" s="973"/>
      <c r="I145" s="973"/>
      <c r="J145" s="973"/>
      <c r="K145" s="973"/>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994" t="s">
        <v>891</v>
      </c>
      <c r="B146" s="994" t="s">
        <v>1609</v>
      </c>
      <c r="C146" s="996">
        <v>440156.49</v>
      </c>
      <c r="D146" s="996">
        <v>0</v>
      </c>
      <c r="E146" s="996">
        <v>440156.49</v>
      </c>
      <c r="F146" s="994" t="s">
        <v>816</v>
      </c>
      <c r="G146" s="994" t="s">
        <v>885</v>
      </c>
      <c r="H146" s="973"/>
      <c r="I146" s="973"/>
      <c r="J146" s="973"/>
      <c r="K146" s="973"/>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994" t="s">
        <v>892</v>
      </c>
      <c r="B147" s="994" t="s">
        <v>1612</v>
      </c>
      <c r="C147" s="996">
        <v>-407893.7</v>
      </c>
      <c r="D147" s="996">
        <v>-497</v>
      </c>
      <c r="E147" s="996">
        <v>-408390.7</v>
      </c>
      <c r="F147" s="994" t="s">
        <v>816</v>
      </c>
      <c r="G147" s="994" t="s">
        <v>885</v>
      </c>
      <c r="H147" s="973"/>
      <c r="I147" s="973"/>
      <c r="J147" s="973"/>
      <c r="K147" s="973"/>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994" t="s">
        <v>893</v>
      </c>
      <c r="B148" s="994" t="s">
        <v>1615</v>
      </c>
      <c r="C148" s="996">
        <v>3987.88</v>
      </c>
      <c r="D148" s="996">
        <v>0</v>
      </c>
      <c r="E148" s="996">
        <v>3987.88</v>
      </c>
      <c r="F148" s="994" t="s">
        <v>816</v>
      </c>
      <c r="G148" s="994" t="s">
        <v>885</v>
      </c>
      <c r="H148" s="973"/>
      <c r="I148" s="973"/>
      <c r="J148" s="973"/>
      <c r="K148" s="973"/>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994" t="s">
        <v>894</v>
      </c>
      <c r="B149" s="994" t="s">
        <v>1618</v>
      </c>
      <c r="C149" s="996">
        <v>-3987.88</v>
      </c>
      <c r="D149" s="996">
        <v>0</v>
      </c>
      <c r="E149" s="996">
        <v>-3987.88</v>
      </c>
      <c r="F149" s="994" t="s">
        <v>816</v>
      </c>
      <c r="G149" s="994" t="s">
        <v>885</v>
      </c>
      <c r="H149" s="973"/>
      <c r="I149" s="973"/>
      <c r="J149" s="973"/>
      <c r="K149" s="973"/>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994" t="s">
        <v>895</v>
      </c>
      <c r="B150" s="994" t="s">
        <v>1621</v>
      </c>
      <c r="C150" s="996">
        <v>129416.15</v>
      </c>
      <c r="D150" s="996">
        <v>0</v>
      </c>
      <c r="E150" s="996">
        <v>129416.15</v>
      </c>
      <c r="F150" s="994" t="s">
        <v>816</v>
      </c>
      <c r="G150" s="994" t="s">
        <v>885</v>
      </c>
      <c r="H150" s="973"/>
      <c r="I150" s="973"/>
      <c r="J150" s="973"/>
      <c r="K150" s="973"/>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994" t="s">
        <v>896</v>
      </c>
      <c r="B151" s="994" t="s">
        <v>1624</v>
      </c>
      <c r="C151" s="996">
        <v>-112927.43</v>
      </c>
      <c r="D151" s="996">
        <v>-972</v>
      </c>
      <c r="E151" s="996">
        <v>-113899.43</v>
      </c>
      <c r="F151" s="994" t="s">
        <v>816</v>
      </c>
      <c r="G151" s="994" t="s">
        <v>885</v>
      </c>
      <c r="H151" s="973"/>
      <c r="I151" s="973"/>
      <c r="J151" s="973"/>
      <c r="K151" s="973"/>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994" t="s">
        <v>897</v>
      </c>
      <c r="B152" s="994" t="s">
        <v>1627</v>
      </c>
      <c r="C152" s="996">
        <v>119393.66</v>
      </c>
      <c r="D152" s="996">
        <v>0</v>
      </c>
      <c r="E152" s="996">
        <v>119393.66</v>
      </c>
      <c r="F152" s="994" t="s">
        <v>816</v>
      </c>
      <c r="G152" s="994" t="s">
        <v>885</v>
      </c>
      <c r="H152" s="973"/>
      <c r="I152" s="973"/>
      <c r="J152" s="973"/>
      <c r="K152" s="973"/>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994" t="s">
        <v>898</v>
      </c>
      <c r="B153" s="994" t="s">
        <v>1630</v>
      </c>
      <c r="C153" s="996">
        <v>-119393.65</v>
      </c>
      <c r="D153" s="996">
        <v>0</v>
      </c>
      <c r="E153" s="996">
        <v>-119393.65</v>
      </c>
      <c r="F153" s="994" t="s">
        <v>816</v>
      </c>
      <c r="G153" s="994" t="s">
        <v>885</v>
      </c>
      <c r="H153" s="973"/>
      <c r="I153" s="973"/>
      <c r="J153" s="973"/>
      <c r="K153" s="973"/>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994" t="s">
        <v>3334</v>
      </c>
      <c r="B154" s="994" t="s">
        <v>899</v>
      </c>
      <c r="C154" s="996">
        <v>7173600</v>
      </c>
      <c r="D154" s="996">
        <v>0</v>
      </c>
      <c r="E154" s="996">
        <v>7173600</v>
      </c>
      <c r="F154" s="994" t="s">
        <v>816</v>
      </c>
      <c r="G154" s="994" t="s">
        <v>899</v>
      </c>
      <c r="H154" s="973"/>
      <c r="I154" s="973"/>
      <c r="J154" s="973"/>
      <c r="K154" s="973"/>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994" t="s">
        <v>900</v>
      </c>
      <c r="B155" s="994" t="s">
        <v>1635</v>
      </c>
      <c r="C155" s="996">
        <v>9036.09</v>
      </c>
      <c r="D155" s="996">
        <v>-1372.33</v>
      </c>
      <c r="E155" s="996">
        <v>7663.76</v>
      </c>
      <c r="F155" s="994" t="s">
        <v>816</v>
      </c>
      <c r="G155" s="994" t="s">
        <v>821</v>
      </c>
      <c r="H155" s="973"/>
      <c r="I155" s="973"/>
      <c r="J155" s="973"/>
      <c r="K155" s="973"/>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994" t="s">
        <v>901</v>
      </c>
      <c r="B156" s="994" t="s">
        <v>903</v>
      </c>
      <c r="C156" s="996">
        <v>-4255820.22</v>
      </c>
      <c r="D156" s="996">
        <v>1431441.99</v>
      </c>
      <c r="E156" s="996">
        <v>-2824378.23</v>
      </c>
      <c r="F156" s="994" t="s">
        <v>902</v>
      </c>
      <c r="G156" s="994" t="s">
        <v>903</v>
      </c>
      <c r="H156" s="973"/>
      <c r="I156" s="973"/>
      <c r="J156" s="973"/>
      <c r="K156" s="973"/>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994" t="s">
        <v>904</v>
      </c>
      <c r="B157" s="994" t="s">
        <v>905</v>
      </c>
      <c r="C157" s="996">
        <v>-1434674.44</v>
      </c>
      <c r="D157" s="996">
        <v>39066.93</v>
      </c>
      <c r="E157" s="996">
        <v>-1395607.51</v>
      </c>
      <c r="F157" s="994" t="s">
        <v>902</v>
      </c>
      <c r="G157" s="994" t="s">
        <v>905</v>
      </c>
      <c r="H157" s="973"/>
      <c r="I157" s="973"/>
      <c r="J157" s="973"/>
      <c r="K157" s="973"/>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994" t="s">
        <v>3666</v>
      </c>
      <c r="B158" s="994" t="s">
        <v>3373</v>
      </c>
      <c r="C158" s="996">
        <v>0</v>
      </c>
      <c r="D158" s="996">
        <v>-10831.38</v>
      </c>
      <c r="E158" s="996">
        <v>-10831.38</v>
      </c>
      <c r="F158" s="994" t="s">
        <v>902</v>
      </c>
      <c r="G158" s="994" t="s">
        <v>3667</v>
      </c>
      <c r="H158" s="973"/>
      <c r="I158" s="973"/>
      <c r="J158" s="973"/>
      <c r="K158" s="973"/>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994" t="s">
        <v>3668</v>
      </c>
      <c r="B159" s="994" t="s">
        <v>3374</v>
      </c>
      <c r="C159" s="996">
        <v>0</v>
      </c>
      <c r="D159" s="996">
        <v>-7073.76</v>
      </c>
      <c r="E159" s="996">
        <v>-7073.76</v>
      </c>
      <c r="F159" s="994" t="s">
        <v>902</v>
      </c>
      <c r="G159" s="994" t="s">
        <v>3669</v>
      </c>
      <c r="H159" s="973"/>
      <c r="I159" s="973"/>
      <c r="J159" s="973"/>
      <c r="K159" s="973"/>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994" t="s">
        <v>906</v>
      </c>
      <c r="B160" s="994" t="s">
        <v>907</v>
      </c>
      <c r="C160" s="996">
        <v>-15810</v>
      </c>
      <c r="D160" s="996">
        <v>0</v>
      </c>
      <c r="E160" s="996">
        <v>-15810</v>
      </c>
      <c r="F160" s="994" t="s">
        <v>902</v>
      </c>
      <c r="G160" s="994" t="s">
        <v>907</v>
      </c>
      <c r="H160" s="973"/>
      <c r="I160" s="974"/>
      <c r="J160" s="974"/>
      <c r="K160" s="974"/>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994" t="s">
        <v>908</v>
      </c>
      <c r="B161" s="994" t="s">
        <v>909</v>
      </c>
      <c r="C161" s="996">
        <v>-143.55000000000001</v>
      </c>
      <c r="D161" s="996">
        <v>-84.68</v>
      </c>
      <c r="E161" s="996">
        <v>-228.23</v>
      </c>
      <c r="F161" s="994" t="s">
        <v>902</v>
      </c>
      <c r="G161" s="994"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994" t="s">
        <v>910</v>
      </c>
      <c r="B162" s="994" t="s">
        <v>911</v>
      </c>
      <c r="C162" s="996">
        <v>-113015.09</v>
      </c>
      <c r="D162" s="996">
        <v>34143.129999999997</v>
      </c>
      <c r="E162" s="996">
        <v>-78871.960000000006</v>
      </c>
      <c r="F162" s="994" t="s">
        <v>902</v>
      </c>
      <c r="G162" s="994" t="s">
        <v>911</v>
      </c>
      <c r="H162" s="973"/>
      <c r="I162" s="973"/>
      <c r="J162" s="973"/>
      <c r="K162" s="973"/>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994" t="s">
        <v>912</v>
      </c>
      <c r="B163" s="994" t="s">
        <v>1652</v>
      </c>
      <c r="C163" s="996">
        <v>66563.850000000006</v>
      </c>
      <c r="D163" s="996">
        <v>-11854.02</v>
      </c>
      <c r="E163" s="996">
        <v>54709.83</v>
      </c>
      <c r="F163" s="994" t="s">
        <v>902</v>
      </c>
      <c r="G163" s="994"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994" t="s">
        <v>913</v>
      </c>
      <c r="B164" s="994" t="s">
        <v>914</v>
      </c>
      <c r="C164" s="996">
        <v>-379218</v>
      </c>
      <c r="D164" s="996">
        <v>203833.3</v>
      </c>
      <c r="E164" s="996">
        <v>-175384.7</v>
      </c>
      <c r="F164" s="994" t="s">
        <v>902</v>
      </c>
      <c r="G164" s="994" t="s">
        <v>914</v>
      </c>
      <c r="H164" s="973"/>
      <c r="I164" s="973"/>
      <c r="J164" s="973"/>
      <c r="K164" s="973"/>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994" t="s">
        <v>915</v>
      </c>
      <c r="B165" s="994" t="s">
        <v>1657</v>
      </c>
      <c r="C165" s="996">
        <v>232868.88</v>
      </c>
      <c r="D165" s="996">
        <v>-124391.82</v>
      </c>
      <c r="E165" s="996">
        <v>108477.06</v>
      </c>
      <c r="F165" s="994" t="s">
        <v>902</v>
      </c>
      <c r="G165" s="994"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994" t="s">
        <v>916</v>
      </c>
      <c r="B166" s="994" t="s">
        <v>1660</v>
      </c>
      <c r="C166" s="996">
        <v>-1464</v>
      </c>
      <c r="D166" s="996">
        <v>435</v>
      </c>
      <c r="E166" s="996">
        <v>-1029</v>
      </c>
      <c r="F166" s="994" t="s">
        <v>902</v>
      </c>
      <c r="G166" s="994" t="s">
        <v>911</v>
      </c>
      <c r="H166" s="973"/>
      <c r="I166" s="973"/>
      <c r="J166" s="973"/>
      <c r="K166" s="973"/>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994" t="s">
        <v>917</v>
      </c>
      <c r="B167" s="994" t="s">
        <v>1663</v>
      </c>
      <c r="C167" s="996">
        <v>-116317.14</v>
      </c>
      <c r="D167" s="996">
        <v>49076.67</v>
      </c>
      <c r="E167" s="996">
        <v>-67240.47</v>
      </c>
      <c r="F167" s="994" t="s">
        <v>902</v>
      </c>
      <c r="G167" s="994"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994" t="s">
        <v>919</v>
      </c>
      <c r="B168" s="994" t="s">
        <v>918</v>
      </c>
      <c r="C168" s="996">
        <v>-7750</v>
      </c>
      <c r="D168" s="996">
        <v>-610</v>
      </c>
      <c r="E168" s="996">
        <v>-8360</v>
      </c>
      <c r="F168" s="994" t="s">
        <v>902</v>
      </c>
      <c r="G168" s="994" t="s">
        <v>918</v>
      </c>
      <c r="H168" s="973"/>
      <c r="I168" s="973"/>
      <c r="J168" s="973"/>
      <c r="K168" s="973"/>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994" t="s">
        <v>920</v>
      </c>
      <c r="B169" s="994" t="s">
        <v>1668</v>
      </c>
      <c r="C169" s="996">
        <v>-45115.67</v>
      </c>
      <c r="D169" s="996">
        <v>-6864.5</v>
      </c>
      <c r="E169" s="996">
        <v>-51980.17</v>
      </c>
      <c r="F169" s="994" t="s">
        <v>902</v>
      </c>
      <c r="G169" s="994"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994" t="s">
        <v>921</v>
      </c>
      <c r="B170" s="994" t="s">
        <v>1671</v>
      </c>
      <c r="C170" s="996">
        <v>-4058.7</v>
      </c>
      <c r="D170" s="996">
        <v>-2098.25</v>
      </c>
      <c r="E170" s="996">
        <v>-6156.95</v>
      </c>
      <c r="F170" s="994" t="s">
        <v>902</v>
      </c>
      <c r="G170" s="994" t="s">
        <v>918</v>
      </c>
      <c r="H170" s="973"/>
      <c r="I170" s="973"/>
      <c r="J170" s="973"/>
      <c r="K170" s="973"/>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994" t="s">
        <v>922</v>
      </c>
      <c r="B171" s="994" t="s">
        <v>923</v>
      </c>
      <c r="C171" s="996">
        <v>-236298.28</v>
      </c>
      <c r="D171" s="996">
        <v>230775.03</v>
      </c>
      <c r="E171" s="996">
        <v>-5523.25</v>
      </c>
      <c r="F171" s="994" t="s">
        <v>902</v>
      </c>
      <c r="G171" s="994"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994" t="s">
        <v>924</v>
      </c>
      <c r="B172" s="994" t="s">
        <v>1679</v>
      </c>
      <c r="C172" s="996">
        <v>0</v>
      </c>
      <c r="D172" s="996">
        <v>-28500</v>
      </c>
      <c r="E172" s="996">
        <v>-28500</v>
      </c>
      <c r="F172" s="994" t="s">
        <v>902</v>
      </c>
      <c r="G172" s="994" t="s">
        <v>923</v>
      </c>
      <c r="H172" s="973"/>
      <c r="I172" s="973"/>
      <c r="J172" s="973"/>
      <c r="K172" s="973"/>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994" t="s">
        <v>925</v>
      </c>
      <c r="B173" s="994" t="s">
        <v>928</v>
      </c>
      <c r="C173" s="996">
        <v>-17639.5</v>
      </c>
      <c r="D173" s="996">
        <v>1793.38</v>
      </c>
      <c r="E173" s="996">
        <v>-15846.12</v>
      </c>
      <c r="F173" s="994" t="s">
        <v>902</v>
      </c>
      <c r="G173" s="994"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994" t="s">
        <v>926</v>
      </c>
      <c r="B174" s="994" t="s">
        <v>3375</v>
      </c>
      <c r="C174" s="996">
        <v>-4911.46</v>
      </c>
      <c r="D174" s="996">
        <v>112.57</v>
      </c>
      <c r="E174" s="996">
        <v>-4798.8900000000003</v>
      </c>
      <c r="F174" s="994" t="s">
        <v>902</v>
      </c>
      <c r="G174" s="994" t="s">
        <v>918</v>
      </c>
      <c r="H174" s="973"/>
      <c r="I174" s="973"/>
      <c r="J174" s="973"/>
      <c r="K174" s="973"/>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994" t="s">
        <v>927</v>
      </c>
      <c r="B175" s="994" t="s">
        <v>1684</v>
      </c>
      <c r="C175" s="996">
        <v>-536.32000000000005</v>
      </c>
      <c r="D175" s="996">
        <v>-163.53</v>
      </c>
      <c r="E175" s="996">
        <v>-699.85</v>
      </c>
      <c r="F175" s="994" t="s">
        <v>902</v>
      </c>
      <c r="G175" s="994"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994" t="s">
        <v>929</v>
      </c>
      <c r="B176" s="994" t="s">
        <v>3376</v>
      </c>
      <c r="C176" s="996">
        <v>-102214.71</v>
      </c>
      <c r="D176" s="996">
        <v>9405.65</v>
      </c>
      <c r="E176" s="996">
        <v>-92809.06</v>
      </c>
      <c r="F176" s="994" t="s">
        <v>902</v>
      </c>
      <c r="G176" s="994" t="s">
        <v>923</v>
      </c>
      <c r="H176" s="973"/>
      <c r="I176" s="973"/>
      <c r="J176" s="973"/>
      <c r="K176" s="973"/>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994" t="s">
        <v>930</v>
      </c>
      <c r="B177" s="994" t="s">
        <v>1687</v>
      </c>
      <c r="C177" s="996">
        <v>-29950</v>
      </c>
      <c r="D177" s="996">
        <v>-1250</v>
      </c>
      <c r="E177" s="996">
        <v>-31200</v>
      </c>
      <c r="F177" s="994" t="s">
        <v>902</v>
      </c>
      <c r="G177" s="994"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994" t="s">
        <v>931</v>
      </c>
      <c r="B178" s="994" t="s">
        <v>932</v>
      </c>
      <c r="C178" s="996">
        <v>11626.69</v>
      </c>
      <c r="D178" s="996">
        <v>-796.17</v>
      </c>
      <c r="E178" s="996">
        <v>10830.52</v>
      </c>
      <c r="F178" s="994" t="s">
        <v>902</v>
      </c>
      <c r="G178" s="994" t="s">
        <v>932</v>
      </c>
      <c r="H178" s="973"/>
      <c r="I178" s="973"/>
      <c r="J178" s="973"/>
      <c r="K178" s="973"/>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994" t="s">
        <v>933</v>
      </c>
      <c r="B179" s="994" t="s">
        <v>1695</v>
      </c>
      <c r="C179" s="996">
        <v>52.35</v>
      </c>
      <c r="D179" s="996">
        <v>0</v>
      </c>
      <c r="E179" s="996">
        <v>52.35</v>
      </c>
      <c r="F179" s="994" t="s">
        <v>902</v>
      </c>
      <c r="G179" s="994"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994" t="s">
        <v>934</v>
      </c>
      <c r="B180" s="994" t="s">
        <v>1701</v>
      </c>
      <c r="C180" s="996">
        <v>-25186.91</v>
      </c>
      <c r="D180" s="996">
        <v>-8075.32</v>
      </c>
      <c r="E180" s="996">
        <v>-33262.230000000003</v>
      </c>
      <c r="F180" s="994" t="s">
        <v>902</v>
      </c>
      <c r="G180" s="994" t="s">
        <v>932</v>
      </c>
      <c r="H180" s="973"/>
      <c r="I180" s="973"/>
      <c r="J180" s="973"/>
      <c r="K180" s="973"/>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994" t="s">
        <v>935</v>
      </c>
      <c r="B181" s="994" t="s">
        <v>1704</v>
      </c>
      <c r="C181" s="996">
        <v>-609.5</v>
      </c>
      <c r="D181" s="996">
        <v>-86.82</v>
      </c>
      <c r="E181" s="996">
        <v>-696.32</v>
      </c>
      <c r="F181" s="994" t="s">
        <v>902</v>
      </c>
      <c r="G181" s="994"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994" t="s">
        <v>936</v>
      </c>
      <c r="B182" s="994" t="s">
        <v>1707</v>
      </c>
      <c r="C182" s="996">
        <v>-1111.3800000000001</v>
      </c>
      <c r="D182" s="996">
        <v>-739.44</v>
      </c>
      <c r="E182" s="996">
        <v>-1850.82</v>
      </c>
      <c r="F182" s="994" t="s">
        <v>902</v>
      </c>
      <c r="G182" s="994" t="s">
        <v>932</v>
      </c>
      <c r="H182" s="973"/>
      <c r="I182" s="973"/>
      <c r="J182" s="973"/>
      <c r="K182" s="973"/>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994" t="s">
        <v>937</v>
      </c>
      <c r="B183" s="994" t="s">
        <v>938</v>
      </c>
      <c r="C183" s="996">
        <v>-17020</v>
      </c>
      <c r="D183" s="996">
        <v>-11230</v>
      </c>
      <c r="E183" s="996">
        <v>-28250</v>
      </c>
      <c r="F183" s="994" t="s">
        <v>902</v>
      </c>
      <c r="G183" s="994"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994" t="s">
        <v>939</v>
      </c>
      <c r="B184" s="994" t="s">
        <v>940</v>
      </c>
      <c r="C184" s="996">
        <v>-25676</v>
      </c>
      <c r="D184" s="996">
        <v>11626.25</v>
      </c>
      <c r="E184" s="996">
        <v>-14049.75</v>
      </c>
      <c r="F184" s="994" t="s">
        <v>902</v>
      </c>
      <c r="G184" s="994" t="s">
        <v>940</v>
      </c>
      <c r="H184" s="973"/>
      <c r="I184" s="973"/>
      <c r="J184" s="973"/>
      <c r="K184" s="973"/>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994" t="s">
        <v>941</v>
      </c>
      <c r="B185" s="994" t="s">
        <v>3377</v>
      </c>
      <c r="C185" s="996">
        <v>-604.98</v>
      </c>
      <c r="D185" s="996">
        <v>781.92</v>
      </c>
      <c r="E185" s="996">
        <v>176.94</v>
      </c>
      <c r="F185" s="994" t="s">
        <v>902</v>
      </c>
      <c r="G185" s="994"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994" t="s">
        <v>943</v>
      </c>
      <c r="B186" s="994" t="s">
        <v>944</v>
      </c>
      <c r="C186" s="996">
        <v>-285463.46000000002</v>
      </c>
      <c r="D186" s="996">
        <v>-79669.59</v>
      </c>
      <c r="E186" s="996">
        <v>-365133.05</v>
      </c>
      <c r="F186" s="994" t="s">
        <v>902</v>
      </c>
      <c r="G186" s="994" t="s">
        <v>944</v>
      </c>
      <c r="H186" s="973"/>
      <c r="I186" s="973"/>
      <c r="J186" s="973"/>
      <c r="K186" s="973"/>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994" t="s">
        <v>945</v>
      </c>
      <c r="B187" s="994" t="s">
        <v>1734</v>
      </c>
      <c r="C187" s="996">
        <v>-22211.24</v>
      </c>
      <c r="D187" s="996">
        <v>-8091.09</v>
      </c>
      <c r="E187" s="996">
        <v>-30302.33</v>
      </c>
      <c r="F187" s="994" t="s">
        <v>902</v>
      </c>
      <c r="G187" s="994"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994" t="s">
        <v>946</v>
      </c>
      <c r="B188" s="994" t="s">
        <v>1740</v>
      </c>
      <c r="C188" s="996">
        <v>-203900.22</v>
      </c>
      <c r="D188" s="996">
        <v>-32741.200000000001</v>
      </c>
      <c r="E188" s="996">
        <v>-236641.42</v>
      </c>
      <c r="F188" s="994" t="s">
        <v>902</v>
      </c>
      <c r="G188" s="994" t="s">
        <v>944</v>
      </c>
      <c r="H188" s="973"/>
      <c r="I188" s="973"/>
      <c r="J188" s="973"/>
      <c r="K188" s="973"/>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994" t="s">
        <v>947</v>
      </c>
      <c r="B189" s="994" t="s">
        <v>1743</v>
      </c>
      <c r="C189" s="996">
        <v>10294.98</v>
      </c>
      <c r="D189" s="996">
        <v>14306.85</v>
      </c>
      <c r="E189" s="996">
        <v>24601.83</v>
      </c>
      <c r="F189" s="994" t="s">
        <v>902</v>
      </c>
      <c r="G189" s="994" t="s">
        <v>944</v>
      </c>
      <c r="H189" s="973"/>
      <c r="I189" s="974"/>
      <c r="J189" s="974"/>
      <c r="K189" s="974"/>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994" t="s">
        <v>948</v>
      </c>
      <c r="B190" s="994" t="s">
        <v>949</v>
      </c>
      <c r="C190" s="996">
        <v>-80283</v>
      </c>
      <c r="D190" s="996">
        <v>18048</v>
      </c>
      <c r="E190" s="996">
        <v>-62235</v>
      </c>
      <c r="F190" s="994" t="s">
        <v>902</v>
      </c>
      <c r="G190" s="994"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994" t="s">
        <v>950</v>
      </c>
      <c r="B191" s="994" t="s">
        <v>3378</v>
      </c>
      <c r="C191" s="996">
        <v>-242566.15</v>
      </c>
      <c r="D191" s="996">
        <v>0</v>
      </c>
      <c r="E191" s="996">
        <v>-242566.15</v>
      </c>
      <c r="F191" s="994" t="s">
        <v>902</v>
      </c>
      <c r="G191" s="994" t="s">
        <v>951</v>
      </c>
      <c r="H191" s="973"/>
      <c r="I191" s="974"/>
      <c r="J191" s="974"/>
      <c r="K191" s="974"/>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994" t="s">
        <v>952</v>
      </c>
      <c r="B192" s="994" t="s">
        <v>953</v>
      </c>
      <c r="C192" s="996">
        <v>2143.75</v>
      </c>
      <c r="D192" s="996">
        <v>1317.5</v>
      </c>
      <c r="E192" s="996">
        <v>3461.25</v>
      </c>
      <c r="F192" s="994" t="s">
        <v>902</v>
      </c>
      <c r="G192" s="994"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994" t="s">
        <v>954</v>
      </c>
      <c r="B193" s="994" t="s">
        <v>955</v>
      </c>
      <c r="C193" s="996">
        <v>-19122.599999999999</v>
      </c>
      <c r="D193" s="996">
        <v>0</v>
      </c>
      <c r="E193" s="996">
        <v>-19122.599999999999</v>
      </c>
      <c r="F193" s="994" t="s">
        <v>902</v>
      </c>
      <c r="G193" s="994" t="s">
        <v>955</v>
      </c>
      <c r="H193" s="973"/>
      <c r="I193" s="974"/>
      <c r="J193" s="974"/>
      <c r="K193" s="974"/>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994" t="s">
        <v>956</v>
      </c>
      <c r="B194" s="994" t="s">
        <v>958</v>
      </c>
      <c r="C194" s="996">
        <v>-2350000</v>
      </c>
      <c r="D194" s="996">
        <v>0</v>
      </c>
      <c r="E194" s="996">
        <v>-2350000</v>
      </c>
      <c r="F194" s="994" t="s">
        <v>957</v>
      </c>
      <c r="G194" s="994"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994" t="s">
        <v>959</v>
      </c>
      <c r="B195" s="994" t="s">
        <v>1768</v>
      </c>
      <c r="C195" s="996">
        <v>-1723617</v>
      </c>
      <c r="D195" s="996">
        <v>0</v>
      </c>
      <c r="E195" s="996">
        <v>-1723617</v>
      </c>
      <c r="F195" s="994" t="s">
        <v>957</v>
      </c>
      <c r="G195" s="994" t="s">
        <v>958</v>
      </c>
      <c r="H195" s="973"/>
      <c r="I195" s="974"/>
      <c r="J195" s="974"/>
      <c r="K195" s="974"/>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994" t="s">
        <v>960</v>
      </c>
      <c r="B196" s="994" t="s">
        <v>1771</v>
      </c>
      <c r="C196" s="996">
        <v>-347547.5</v>
      </c>
      <c r="D196" s="996">
        <v>0</v>
      </c>
      <c r="E196" s="996">
        <v>-347547.5</v>
      </c>
      <c r="F196" s="994" t="s">
        <v>957</v>
      </c>
      <c r="G196" s="994"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994" t="s">
        <v>961</v>
      </c>
      <c r="B197" s="994" t="s">
        <v>1795</v>
      </c>
      <c r="C197" s="996">
        <v>-3068758.8</v>
      </c>
      <c r="D197" s="996">
        <v>0</v>
      </c>
      <c r="E197" s="996">
        <v>-3068758.8</v>
      </c>
      <c r="F197" s="994" t="s">
        <v>957</v>
      </c>
      <c r="G197" s="994" t="s">
        <v>958</v>
      </c>
      <c r="H197" s="973"/>
      <c r="I197" s="974"/>
      <c r="J197" s="974"/>
      <c r="K197" s="974"/>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994" t="s">
        <v>962</v>
      </c>
      <c r="B198" s="994" t="s">
        <v>964</v>
      </c>
      <c r="C198" s="996">
        <v>-4072416.36</v>
      </c>
      <c r="D198" s="996">
        <v>-157823.97</v>
      </c>
      <c r="E198" s="996">
        <v>-4230240.33</v>
      </c>
      <c r="F198" s="994" t="s">
        <v>963</v>
      </c>
      <c r="G198" s="994"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994" t="s">
        <v>967</v>
      </c>
      <c r="B199" s="994" t="s">
        <v>968</v>
      </c>
      <c r="C199" s="996">
        <v>-343139.26</v>
      </c>
      <c r="D199" s="996">
        <v>0</v>
      </c>
      <c r="E199" s="996">
        <v>-343139.26</v>
      </c>
      <c r="F199" s="994" t="s">
        <v>963</v>
      </c>
      <c r="G199" s="994" t="s">
        <v>968</v>
      </c>
      <c r="H199" s="973"/>
      <c r="I199" s="974"/>
      <c r="J199" s="974"/>
      <c r="K199" s="974"/>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994" t="s">
        <v>971</v>
      </c>
      <c r="B200" s="994" t="s">
        <v>972</v>
      </c>
      <c r="C200" s="996">
        <v>-1504563.89</v>
      </c>
      <c r="D200" s="996">
        <v>-209692.07</v>
      </c>
      <c r="E200" s="996">
        <v>-1714255.96</v>
      </c>
      <c r="F200" s="994" t="s">
        <v>963</v>
      </c>
      <c r="G200" s="994"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994" t="s">
        <v>974</v>
      </c>
      <c r="B201" s="994" t="s">
        <v>3379</v>
      </c>
      <c r="C201" s="996">
        <v>-3841289.47</v>
      </c>
      <c r="D201" s="996">
        <v>-76944.42</v>
      </c>
      <c r="E201" s="996">
        <v>-3918233.89</v>
      </c>
      <c r="F201" s="994" t="s">
        <v>963</v>
      </c>
      <c r="G201" s="994" t="s">
        <v>975</v>
      </c>
      <c r="H201" s="973"/>
      <c r="I201" s="974"/>
      <c r="J201" s="974"/>
      <c r="K201" s="974"/>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994" t="s">
        <v>979</v>
      </c>
      <c r="B202" s="994" t="s">
        <v>980</v>
      </c>
      <c r="C202" s="996">
        <v>-3882401.56</v>
      </c>
      <c r="D202" s="996">
        <v>-120161.91</v>
      </c>
      <c r="E202" s="996">
        <v>-4002563.47</v>
      </c>
      <c r="F202" s="994" t="s">
        <v>963</v>
      </c>
      <c r="G202" s="994"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994" t="s">
        <v>983</v>
      </c>
      <c r="B203" s="994" t="s">
        <v>3348</v>
      </c>
      <c r="C203" s="996">
        <v>-136159.35</v>
      </c>
      <c r="D203" s="996">
        <v>0</v>
      </c>
      <c r="E203" s="996">
        <v>-136159.35</v>
      </c>
      <c r="F203" s="994" t="s">
        <v>963</v>
      </c>
      <c r="G203" s="994" t="s">
        <v>3348</v>
      </c>
      <c r="H203" s="973"/>
      <c r="I203" s="974"/>
      <c r="J203" s="974"/>
      <c r="K203" s="974"/>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994" t="s">
        <v>986</v>
      </c>
      <c r="B204" s="994" t="s">
        <v>987</v>
      </c>
      <c r="C204" s="996">
        <v>-745869.72</v>
      </c>
      <c r="D204" s="996">
        <v>0</v>
      </c>
      <c r="E204" s="996">
        <v>-745869.72</v>
      </c>
      <c r="F204" s="994" t="s">
        <v>963</v>
      </c>
      <c r="G204" s="994"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994" t="s">
        <v>990</v>
      </c>
      <c r="B205" s="994" t="s">
        <v>991</v>
      </c>
      <c r="C205" s="996">
        <v>-7675601.3700000001</v>
      </c>
      <c r="D205" s="996">
        <v>-1052891.29</v>
      </c>
      <c r="E205" s="996">
        <v>-8728492.6600000001</v>
      </c>
      <c r="F205" s="994" t="s">
        <v>963</v>
      </c>
      <c r="G205" s="994" t="s">
        <v>991</v>
      </c>
      <c r="H205" s="973"/>
      <c r="I205" s="974"/>
      <c r="J205" s="974"/>
      <c r="K205" s="974"/>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994" t="s">
        <v>994</v>
      </c>
      <c r="B206" s="994" t="s">
        <v>995</v>
      </c>
      <c r="C206" s="996">
        <v>-648565.75</v>
      </c>
      <c r="D206" s="996">
        <v>0</v>
      </c>
      <c r="E206" s="996">
        <v>-648565.75</v>
      </c>
      <c r="F206" s="994" t="s">
        <v>963</v>
      </c>
      <c r="G206" s="994"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994" t="s">
        <v>998</v>
      </c>
      <c r="B207" s="994" t="s">
        <v>999</v>
      </c>
      <c r="C207" s="996">
        <v>-1634702.63</v>
      </c>
      <c r="D207" s="996">
        <v>-100957.09</v>
      </c>
      <c r="E207" s="996">
        <v>-1735659.72</v>
      </c>
      <c r="F207" s="994" t="s">
        <v>963</v>
      </c>
      <c r="G207" s="994" t="s">
        <v>999</v>
      </c>
      <c r="H207" s="973"/>
      <c r="I207" s="974"/>
      <c r="J207" s="974"/>
      <c r="K207" s="974"/>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994" t="s">
        <v>1002</v>
      </c>
      <c r="B208" s="994" t="s">
        <v>3380</v>
      </c>
      <c r="C208" s="996">
        <v>-696802.81</v>
      </c>
      <c r="D208" s="996">
        <v>0</v>
      </c>
      <c r="E208" s="996">
        <v>-696802.81</v>
      </c>
      <c r="F208" s="994" t="s">
        <v>963</v>
      </c>
      <c r="G208" s="994"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994" t="s">
        <v>1006</v>
      </c>
      <c r="B209" s="994" t="s">
        <v>1007</v>
      </c>
      <c r="C209" s="996">
        <v>-9637209.8800000008</v>
      </c>
      <c r="D209" s="996">
        <v>-594776</v>
      </c>
      <c r="E209" s="996">
        <v>-10231985.880000001</v>
      </c>
      <c r="F209" s="994" t="s">
        <v>963</v>
      </c>
      <c r="G209" s="994" t="s">
        <v>1007</v>
      </c>
      <c r="H209" s="973"/>
      <c r="I209" s="974"/>
      <c r="J209" s="974"/>
      <c r="K209" s="974"/>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994" t="s">
        <v>1010</v>
      </c>
      <c r="B210" s="994" t="s">
        <v>1011</v>
      </c>
      <c r="C210" s="996">
        <v>0</v>
      </c>
      <c r="D210" s="996">
        <v>-22197</v>
      </c>
      <c r="E210" s="996">
        <v>-22197</v>
      </c>
      <c r="F210" s="994" t="s">
        <v>963</v>
      </c>
      <c r="G210" s="994" t="s">
        <v>1011</v>
      </c>
      <c r="H210" s="973"/>
      <c r="I210" s="975"/>
      <c r="J210" s="973"/>
      <c r="K210" s="975"/>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994" t="s">
        <v>1014</v>
      </c>
      <c r="B211" s="994" t="s">
        <v>1933</v>
      </c>
      <c r="C211" s="996">
        <v>-184645</v>
      </c>
      <c r="D211" s="996">
        <v>0</v>
      </c>
      <c r="E211" s="996">
        <v>-184645</v>
      </c>
      <c r="F211" s="994" t="s">
        <v>963</v>
      </c>
      <c r="G211" s="994"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994" t="s">
        <v>1018</v>
      </c>
      <c r="B212" s="994" t="s">
        <v>1942</v>
      </c>
      <c r="C212" s="996">
        <v>-5759812</v>
      </c>
      <c r="D212" s="996">
        <v>-557925</v>
      </c>
      <c r="E212" s="996">
        <v>-6317737</v>
      </c>
      <c r="F212" s="994" t="s">
        <v>963</v>
      </c>
      <c r="G212" s="994" t="s">
        <v>1019</v>
      </c>
      <c r="H212" s="973"/>
      <c r="I212" s="973"/>
      <c r="J212" s="973"/>
      <c r="K212" s="973"/>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994" t="s">
        <v>3670</v>
      </c>
      <c r="B213" s="994" t="s">
        <v>1023</v>
      </c>
      <c r="C213" s="996">
        <v>-1507998.11</v>
      </c>
      <c r="D213" s="996">
        <v>-117635.87</v>
      </c>
      <c r="E213" s="996">
        <v>-1625633.98</v>
      </c>
      <c r="F213" s="994" t="s">
        <v>963</v>
      </c>
      <c r="G213" s="994"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994" t="s">
        <v>1025</v>
      </c>
      <c r="B214" s="994" t="s">
        <v>1026</v>
      </c>
      <c r="C214" s="996">
        <v>-8450.01</v>
      </c>
      <c r="D214" s="996">
        <v>-14.55</v>
      </c>
      <c r="E214" s="996">
        <v>-8464.56</v>
      </c>
      <c r="F214" s="994" t="s">
        <v>963</v>
      </c>
      <c r="G214" s="994" t="s">
        <v>1026</v>
      </c>
      <c r="H214" s="973"/>
      <c r="I214" s="973"/>
      <c r="J214" s="973"/>
      <c r="K214" s="973"/>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994" t="s">
        <v>3671</v>
      </c>
      <c r="B215" s="994" t="s">
        <v>1028</v>
      </c>
      <c r="C215" s="996">
        <v>-449305.62</v>
      </c>
      <c r="D215" s="996">
        <v>-32607.37</v>
      </c>
      <c r="E215" s="996">
        <v>-481912.99</v>
      </c>
      <c r="F215" s="994" t="s">
        <v>963</v>
      </c>
      <c r="G215" s="994" t="s">
        <v>1028</v>
      </c>
      <c r="H215" s="973"/>
      <c r="I215" s="974"/>
      <c r="J215" s="974"/>
      <c r="K215" s="974"/>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994" t="s">
        <v>3672</v>
      </c>
      <c r="B216" s="994" t="s">
        <v>1031</v>
      </c>
      <c r="C216" s="996">
        <v>-522640.16</v>
      </c>
      <c r="D216" s="996">
        <v>-42675.5</v>
      </c>
      <c r="E216" s="996">
        <v>-565315.66</v>
      </c>
      <c r="F216" s="994" t="s">
        <v>963</v>
      </c>
      <c r="G216" s="994"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994" t="s">
        <v>1033</v>
      </c>
      <c r="B217" s="994" t="s">
        <v>1974</v>
      </c>
      <c r="C217" s="996">
        <v>-270764.46999999997</v>
      </c>
      <c r="D217" s="996">
        <v>-18177.72</v>
      </c>
      <c r="E217" s="996">
        <v>-288942.19</v>
      </c>
      <c r="F217" s="994" t="s">
        <v>963</v>
      </c>
      <c r="G217" s="994" t="s">
        <v>1034</v>
      </c>
      <c r="H217" s="973"/>
      <c r="I217" s="974"/>
      <c r="J217" s="974"/>
      <c r="K217" s="974"/>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994" t="s">
        <v>1036</v>
      </c>
      <c r="B218" s="994" t="s">
        <v>1037</v>
      </c>
      <c r="C218" s="996">
        <v>-20976.89</v>
      </c>
      <c r="D218" s="996">
        <v>-3116.04</v>
      </c>
      <c r="E218" s="996">
        <v>-24092.93</v>
      </c>
      <c r="F218" s="994" t="s">
        <v>963</v>
      </c>
      <c r="G218" s="994"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994" t="s">
        <v>1039</v>
      </c>
      <c r="B219" s="994" t="s">
        <v>1040</v>
      </c>
      <c r="C219" s="996">
        <v>-16378.54</v>
      </c>
      <c r="D219" s="996">
        <v>-5120.8999999999996</v>
      </c>
      <c r="E219" s="996">
        <v>-21499.439999999999</v>
      </c>
      <c r="F219" s="994" t="s">
        <v>963</v>
      </c>
      <c r="G219" s="994" t="s">
        <v>1040</v>
      </c>
      <c r="H219" s="973"/>
      <c r="I219" s="974"/>
      <c r="J219" s="974"/>
      <c r="K219" s="974"/>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994" t="s">
        <v>1043</v>
      </c>
      <c r="B220" s="994" t="s">
        <v>1044</v>
      </c>
      <c r="C220" s="996">
        <v>-224279.54</v>
      </c>
      <c r="D220" s="996">
        <v>-12324.22</v>
      </c>
      <c r="E220" s="996">
        <v>-236603.76</v>
      </c>
      <c r="F220" s="994" t="s">
        <v>963</v>
      </c>
      <c r="G220" s="994"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994" t="s">
        <v>1047</v>
      </c>
      <c r="B221" s="994" t="s">
        <v>3333</v>
      </c>
      <c r="C221" s="996">
        <v>-5600</v>
      </c>
      <c r="D221" s="996">
        <v>0</v>
      </c>
      <c r="E221" s="996">
        <v>-5600</v>
      </c>
      <c r="F221" s="994" t="s">
        <v>963</v>
      </c>
      <c r="G221" s="994" t="s">
        <v>3333</v>
      </c>
      <c r="H221" s="973"/>
      <c r="I221" s="974"/>
      <c r="J221" s="974"/>
      <c r="K221" s="974"/>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994" t="s">
        <v>1050</v>
      </c>
      <c r="B222" s="994" t="s">
        <v>1051</v>
      </c>
      <c r="C222" s="996">
        <v>-402359.43</v>
      </c>
      <c r="D222" s="996">
        <v>-21309.73</v>
      </c>
      <c r="E222" s="996">
        <v>-423669.16</v>
      </c>
      <c r="F222" s="994" t="s">
        <v>963</v>
      </c>
      <c r="G222" s="994"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994" t="s">
        <v>1054</v>
      </c>
      <c r="B223" s="994" t="s">
        <v>1055</v>
      </c>
      <c r="C223" s="996">
        <v>-632376.15</v>
      </c>
      <c r="D223" s="996">
        <v>-45682.63</v>
      </c>
      <c r="E223" s="996">
        <v>-678058.78</v>
      </c>
      <c r="F223" s="994" t="s">
        <v>963</v>
      </c>
      <c r="G223" s="994" t="s">
        <v>1055</v>
      </c>
      <c r="H223" s="973"/>
      <c r="I223" s="974"/>
      <c r="J223" s="974"/>
      <c r="K223" s="974"/>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994" t="s">
        <v>1058</v>
      </c>
      <c r="B224" s="994" t="s">
        <v>1059</v>
      </c>
      <c r="C224" s="996">
        <v>-62554.69</v>
      </c>
      <c r="D224" s="996">
        <v>-4230.28</v>
      </c>
      <c r="E224" s="996">
        <v>-66784.97</v>
      </c>
      <c r="F224" s="994" t="s">
        <v>963</v>
      </c>
      <c r="G224" s="994"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994" t="s">
        <v>3673</v>
      </c>
      <c r="B225" s="994" t="s">
        <v>1063</v>
      </c>
      <c r="C225" s="996">
        <v>-848710.64</v>
      </c>
      <c r="D225" s="996">
        <v>-81455.14</v>
      </c>
      <c r="E225" s="996">
        <v>-930165.78</v>
      </c>
      <c r="F225" s="994" t="s">
        <v>963</v>
      </c>
      <c r="G225" s="994" t="s">
        <v>1063</v>
      </c>
      <c r="H225" s="973"/>
      <c r="I225" s="974"/>
      <c r="J225" s="974"/>
      <c r="K225" s="974"/>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994" t="s">
        <v>1066</v>
      </c>
      <c r="B226" s="994" t="s">
        <v>1067</v>
      </c>
      <c r="C226" s="996">
        <v>-7825.75</v>
      </c>
      <c r="D226" s="996">
        <v>-322.64999999999998</v>
      </c>
      <c r="E226" s="996">
        <v>-8148.4</v>
      </c>
      <c r="F226" s="994" t="s">
        <v>963</v>
      </c>
      <c r="G226" s="994"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994" t="s">
        <v>3674</v>
      </c>
      <c r="B227" s="994" t="s">
        <v>1069</v>
      </c>
      <c r="C227" s="996">
        <v>-653979.53</v>
      </c>
      <c r="D227" s="996">
        <v>-53458.95</v>
      </c>
      <c r="E227" s="996">
        <v>-707438.48</v>
      </c>
      <c r="F227" s="994" t="s">
        <v>963</v>
      </c>
      <c r="G227" s="994" t="s">
        <v>1069</v>
      </c>
      <c r="H227" s="973"/>
      <c r="I227" s="974"/>
      <c r="J227" s="974"/>
      <c r="K227" s="974"/>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994" t="s">
        <v>3675</v>
      </c>
      <c r="B228" s="994" t="s">
        <v>1073</v>
      </c>
      <c r="C228" s="996">
        <v>-485869.45</v>
      </c>
      <c r="D228" s="996">
        <v>-35063.86</v>
      </c>
      <c r="E228" s="996">
        <v>-520933.31</v>
      </c>
      <c r="F228" s="994" t="s">
        <v>963</v>
      </c>
      <c r="G228" s="994"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994" t="s">
        <v>3676</v>
      </c>
      <c r="B229" s="994" t="s">
        <v>1076</v>
      </c>
      <c r="C229" s="996">
        <v>-7495.48</v>
      </c>
      <c r="D229" s="996">
        <v>-99.9</v>
      </c>
      <c r="E229" s="996">
        <v>-7595.38</v>
      </c>
      <c r="F229" s="994" t="s">
        <v>963</v>
      </c>
      <c r="G229" s="994" t="s">
        <v>1076</v>
      </c>
      <c r="H229" s="973"/>
      <c r="I229" s="974"/>
      <c r="J229" s="974"/>
      <c r="K229" s="974"/>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994" t="s">
        <v>1077</v>
      </c>
      <c r="B230" s="994" t="s">
        <v>1142</v>
      </c>
      <c r="C230" s="996">
        <v>-28025.83</v>
      </c>
      <c r="D230" s="996">
        <v>-2161.19</v>
      </c>
      <c r="E230" s="996">
        <v>-30187.02</v>
      </c>
      <c r="F230" s="994" t="s">
        <v>963</v>
      </c>
      <c r="G230" s="994" t="s">
        <v>1078</v>
      </c>
      <c r="H230" s="973"/>
      <c r="I230" s="975"/>
      <c r="J230" s="973"/>
      <c r="K230" s="975"/>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994" t="s">
        <v>1081</v>
      </c>
      <c r="B231" s="994" t="s">
        <v>3382</v>
      </c>
      <c r="C231" s="996">
        <v>-247.19</v>
      </c>
      <c r="D231" s="996">
        <v>0</v>
      </c>
      <c r="E231" s="996">
        <v>-247.19</v>
      </c>
      <c r="F231" s="994" t="s">
        <v>963</v>
      </c>
      <c r="G231" s="994" t="s">
        <v>3382</v>
      </c>
      <c r="H231" s="973"/>
      <c r="I231" s="974"/>
      <c r="J231" s="974"/>
      <c r="K231" s="974"/>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994" t="s">
        <v>3677</v>
      </c>
      <c r="B232" s="994" t="s">
        <v>1086</v>
      </c>
      <c r="C232" s="996">
        <v>-112336.03</v>
      </c>
      <c r="D232" s="996">
        <v>-3252.45</v>
      </c>
      <c r="E232" s="996">
        <v>-115588.48</v>
      </c>
      <c r="F232" s="994" t="s">
        <v>963</v>
      </c>
      <c r="G232" s="994" t="s">
        <v>1086</v>
      </c>
      <c r="H232" s="973"/>
      <c r="I232" s="975"/>
      <c r="J232" s="973"/>
      <c r="K232" s="975"/>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994" t="s">
        <v>3678</v>
      </c>
      <c r="B233" s="994" t="s">
        <v>1090</v>
      </c>
      <c r="C233" s="996">
        <v>-501877.03</v>
      </c>
      <c r="D233" s="996">
        <v>-34843.68</v>
      </c>
      <c r="E233" s="996">
        <v>-536720.71</v>
      </c>
      <c r="F233" s="994" t="s">
        <v>963</v>
      </c>
      <c r="G233" s="994" t="s">
        <v>1090</v>
      </c>
      <c r="H233" s="973"/>
      <c r="I233" s="974"/>
      <c r="J233" s="974"/>
      <c r="K233" s="974"/>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994" t="s">
        <v>3679</v>
      </c>
      <c r="B234" s="994" t="s">
        <v>1094</v>
      </c>
      <c r="C234" s="996">
        <v>-14970.18</v>
      </c>
      <c r="D234" s="996">
        <v>-250.81</v>
      </c>
      <c r="E234" s="996">
        <v>-15220.99</v>
      </c>
      <c r="F234" s="994" t="s">
        <v>963</v>
      </c>
      <c r="G234" s="994" t="s">
        <v>1094</v>
      </c>
      <c r="H234" s="973"/>
      <c r="I234" s="975"/>
      <c r="J234" s="973"/>
      <c r="K234" s="975"/>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994" t="s">
        <v>1097</v>
      </c>
      <c r="B235" s="994" t="s">
        <v>1098</v>
      </c>
      <c r="C235" s="996">
        <v>-193680.58</v>
      </c>
      <c r="D235" s="996">
        <v>-15141.81</v>
      </c>
      <c r="E235" s="996">
        <v>-208822.39</v>
      </c>
      <c r="F235" s="994" t="s">
        <v>963</v>
      </c>
      <c r="G235" s="994" t="s">
        <v>1098</v>
      </c>
      <c r="H235" s="973"/>
      <c r="I235" s="974"/>
      <c r="J235" s="974"/>
      <c r="K235" s="974"/>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994" t="s">
        <v>1101</v>
      </c>
      <c r="B236" s="994" t="s">
        <v>1102</v>
      </c>
      <c r="C236" s="996">
        <v>-924658.91</v>
      </c>
      <c r="D236" s="996">
        <v>-86945.99</v>
      </c>
      <c r="E236" s="996">
        <v>-1011604.9</v>
      </c>
      <c r="F236" s="994" t="s">
        <v>963</v>
      </c>
      <c r="G236" s="994" t="s">
        <v>1102</v>
      </c>
      <c r="H236" s="973"/>
      <c r="I236" s="975"/>
      <c r="J236" s="973"/>
      <c r="K236" s="975"/>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994" t="s">
        <v>1105</v>
      </c>
      <c r="B237" s="994" t="s">
        <v>1106</v>
      </c>
      <c r="C237" s="996">
        <v>-467451.74</v>
      </c>
      <c r="D237" s="996">
        <v>-52653.82</v>
      </c>
      <c r="E237" s="996">
        <v>-520105.56</v>
      </c>
      <c r="F237" s="994" t="s">
        <v>963</v>
      </c>
      <c r="G237" s="994" t="s">
        <v>1106</v>
      </c>
      <c r="H237" s="973"/>
      <c r="I237" s="974"/>
      <c r="J237" s="974"/>
      <c r="K237" s="974"/>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994" t="s">
        <v>1108</v>
      </c>
      <c r="B238" s="994" t="s">
        <v>2050</v>
      </c>
      <c r="C238" s="996">
        <v>-7308.02</v>
      </c>
      <c r="D238" s="996">
        <v>-5238.8599999999997</v>
      </c>
      <c r="E238" s="996">
        <v>-12546.88</v>
      </c>
      <c r="F238" s="994" t="s">
        <v>963</v>
      </c>
      <c r="G238" s="994" t="s">
        <v>1106</v>
      </c>
      <c r="H238" s="973"/>
      <c r="I238" s="975"/>
      <c r="J238" s="973"/>
      <c r="K238" s="975"/>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994" t="s">
        <v>1109</v>
      </c>
      <c r="B239" s="994" t="s">
        <v>2058</v>
      </c>
      <c r="C239" s="996">
        <v>3936009.74</v>
      </c>
      <c r="D239" s="996">
        <v>150643.4</v>
      </c>
      <c r="E239" s="996">
        <v>4086653.14</v>
      </c>
      <c r="F239" s="994" t="s">
        <v>1110</v>
      </c>
      <c r="G239" s="994" t="s">
        <v>964</v>
      </c>
      <c r="H239" s="973"/>
      <c r="I239" s="974"/>
      <c r="J239" s="974"/>
      <c r="K239" s="974"/>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994" t="s">
        <v>1111</v>
      </c>
      <c r="B240" s="994" t="s">
        <v>2070</v>
      </c>
      <c r="C240" s="996">
        <v>308970.82</v>
      </c>
      <c r="D240" s="996">
        <v>0</v>
      </c>
      <c r="E240" s="996">
        <v>308970.82</v>
      </c>
      <c r="F240" s="994" t="s">
        <v>1110</v>
      </c>
      <c r="G240" s="994" t="s">
        <v>968</v>
      </c>
      <c r="H240" s="973"/>
      <c r="I240" s="975"/>
      <c r="J240" s="973"/>
      <c r="K240" s="975"/>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994" t="s">
        <v>971</v>
      </c>
      <c r="B241" s="994" t="s">
        <v>2075</v>
      </c>
      <c r="C241" s="996">
        <v>1391371.97</v>
      </c>
      <c r="D241" s="996">
        <v>200240.03</v>
      </c>
      <c r="E241" s="996">
        <v>1591612</v>
      </c>
      <c r="F241" s="994" t="s">
        <v>1110</v>
      </c>
      <c r="G241" s="994" t="s">
        <v>972</v>
      </c>
      <c r="H241" s="973"/>
      <c r="I241" s="974"/>
      <c r="J241" s="974"/>
      <c r="K241" s="974"/>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994" t="s">
        <v>1112</v>
      </c>
      <c r="B242" s="994" t="s">
        <v>3383</v>
      </c>
      <c r="C242" s="996">
        <v>3590111.14</v>
      </c>
      <c r="D242" s="996">
        <v>73816.33</v>
      </c>
      <c r="E242" s="996">
        <v>3663927.47</v>
      </c>
      <c r="F242" s="994" t="s">
        <v>1110</v>
      </c>
      <c r="G242" s="994" t="s">
        <v>1113</v>
      </c>
      <c r="H242" s="973"/>
      <c r="I242" s="974"/>
      <c r="J242" s="974"/>
      <c r="K242" s="974"/>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994" t="s">
        <v>1114</v>
      </c>
      <c r="B243" s="994" t="s">
        <v>2084</v>
      </c>
      <c r="C243" s="996">
        <v>3579760.93</v>
      </c>
      <c r="D243" s="996">
        <v>114585.37</v>
      </c>
      <c r="E243" s="996">
        <v>3694346.3</v>
      </c>
      <c r="F243" s="994" t="s">
        <v>1110</v>
      </c>
      <c r="G243" s="994" t="s">
        <v>980</v>
      </c>
      <c r="H243" s="973"/>
      <c r="I243" s="974"/>
      <c r="J243" s="974"/>
      <c r="K243" s="974"/>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994" t="s">
        <v>1115</v>
      </c>
      <c r="B244" s="994" t="s">
        <v>3384</v>
      </c>
      <c r="C244" s="996">
        <v>126137.85</v>
      </c>
      <c r="D244" s="996">
        <v>0</v>
      </c>
      <c r="E244" s="996">
        <v>126137.85</v>
      </c>
      <c r="F244" s="994" t="s">
        <v>1110</v>
      </c>
      <c r="G244" s="994" t="s">
        <v>3348</v>
      </c>
      <c r="H244" s="973"/>
      <c r="I244" s="974"/>
      <c r="J244" s="974"/>
      <c r="K244" s="974"/>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994" t="s">
        <v>1116</v>
      </c>
      <c r="B245" s="994" t="s">
        <v>2090</v>
      </c>
      <c r="C245" s="996">
        <v>700204.34</v>
      </c>
      <c r="D245" s="996">
        <v>0</v>
      </c>
      <c r="E245" s="996">
        <v>700204.34</v>
      </c>
      <c r="F245" s="994" t="s">
        <v>1110</v>
      </c>
      <c r="G245" s="994" t="s">
        <v>987</v>
      </c>
      <c r="H245" s="973"/>
      <c r="I245" s="974"/>
      <c r="J245" s="974"/>
      <c r="K245" s="974"/>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994" t="s">
        <v>1117</v>
      </c>
      <c r="B246" s="994" t="s">
        <v>2093</v>
      </c>
      <c r="C246" s="996">
        <v>7127981.9500000002</v>
      </c>
      <c r="D246" s="996">
        <v>1002585.66</v>
      </c>
      <c r="E246" s="996">
        <v>8130567.6100000003</v>
      </c>
      <c r="F246" s="994" t="s">
        <v>1110</v>
      </c>
      <c r="G246" s="994" t="s">
        <v>991</v>
      </c>
      <c r="H246" s="973"/>
      <c r="I246" s="974"/>
      <c r="J246" s="974"/>
      <c r="K246" s="974"/>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994" t="s">
        <v>1118</v>
      </c>
      <c r="B247" s="994" t="s">
        <v>2099</v>
      </c>
      <c r="C247" s="996">
        <v>612020.26</v>
      </c>
      <c r="D247" s="996">
        <v>0</v>
      </c>
      <c r="E247" s="996">
        <v>612020.26</v>
      </c>
      <c r="F247" s="994" t="s">
        <v>1110</v>
      </c>
      <c r="G247" s="994" t="s">
        <v>995</v>
      </c>
      <c r="H247" s="973"/>
      <c r="I247" s="974"/>
      <c r="J247" s="974"/>
      <c r="K247" s="974"/>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994" t="s">
        <v>1118</v>
      </c>
      <c r="B248" s="994" t="s">
        <v>2102</v>
      </c>
      <c r="C248" s="996">
        <v>1495822.7</v>
      </c>
      <c r="D248" s="996">
        <v>88846.22</v>
      </c>
      <c r="E248" s="996">
        <v>1584668.92</v>
      </c>
      <c r="F248" s="994" t="s">
        <v>1110</v>
      </c>
      <c r="G248" s="994" t="s">
        <v>999</v>
      </c>
      <c r="H248" s="973"/>
      <c r="I248" s="974"/>
      <c r="J248" s="974"/>
      <c r="K248" s="974"/>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994" t="s">
        <v>1119</v>
      </c>
      <c r="B249" s="994" t="s">
        <v>3385</v>
      </c>
      <c r="C249" s="996">
        <v>638243.43999999994</v>
      </c>
      <c r="D249" s="996">
        <v>0</v>
      </c>
      <c r="E249" s="996">
        <v>638243.43999999994</v>
      </c>
      <c r="F249" s="994" t="s">
        <v>1110</v>
      </c>
      <c r="G249" s="994" t="s">
        <v>1120</v>
      </c>
      <c r="H249" s="973"/>
      <c r="I249" s="974"/>
      <c r="J249" s="974"/>
      <c r="K249" s="974"/>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994" t="s">
        <v>1121</v>
      </c>
      <c r="B250" s="994" t="s">
        <v>2113</v>
      </c>
      <c r="C250" s="996">
        <v>8252786.2000000002</v>
      </c>
      <c r="D250" s="996">
        <v>543756.91</v>
      </c>
      <c r="E250" s="996">
        <v>8796543.1099999994</v>
      </c>
      <c r="F250" s="994" t="s">
        <v>1110</v>
      </c>
      <c r="G250" s="994" t="s">
        <v>1007</v>
      </c>
      <c r="H250" s="973"/>
      <c r="I250" s="974"/>
      <c r="J250" s="974"/>
      <c r="K250" s="974"/>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994" t="s">
        <v>1122</v>
      </c>
      <c r="B251" s="994" t="s">
        <v>2116</v>
      </c>
      <c r="C251" s="996">
        <v>680296.63</v>
      </c>
      <c r="D251" s="996">
        <v>46014.91</v>
      </c>
      <c r="E251" s="996">
        <v>726311.54</v>
      </c>
      <c r="F251" s="994" t="s">
        <v>1110</v>
      </c>
      <c r="G251" s="994" t="s">
        <v>1007</v>
      </c>
      <c r="H251" s="973"/>
      <c r="I251" s="974"/>
      <c r="J251" s="974"/>
      <c r="K251" s="974"/>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994" t="s">
        <v>1123</v>
      </c>
      <c r="B252" s="994" t="s">
        <v>2122</v>
      </c>
      <c r="C252" s="996">
        <v>0</v>
      </c>
      <c r="D252" s="996">
        <v>20600</v>
      </c>
      <c r="E252" s="996">
        <v>20600</v>
      </c>
      <c r="F252" s="994" t="s">
        <v>1110</v>
      </c>
      <c r="G252" s="994" t="s">
        <v>1011</v>
      </c>
      <c r="H252" s="973"/>
      <c r="I252" s="974"/>
      <c r="J252" s="974"/>
      <c r="K252" s="974"/>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994" t="s">
        <v>1124</v>
      </c>
      <c r="B253" s="994" t="s">
        <v>2125</v>
      </c>
      <c r="C253" s="996">
        <v>0</v>
      </c>
      <c r="D253" s="996">
        <v>547.1</v>
      </c>
      <c r="E253" s="996">
        <v>547.1</v>
      </c>
      <c r="F253" s="994" t="s">
        <v>1110</v>
      </c>
      <c r="G253" s="994" t="s">
        <v>1011</v>
      </c>
      <c r="H253" s="973"/>
      <c r="I253" s="974"/>
      <c r="J253" s="974"/>
      <c r="K253" s="974"/>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994" t="s">
        <v>1014</v>
      </c>
      <c r="B254" s="994" t="s">
        <v>2136</v>
      </c>
      <c r="C254" s="996">
        <v>155147.42000000001</v>
      </c>
      <c r="D254" s="996">
        <v>0</v>
      </c>
      <c r="E254" s="996">
        <v>155147.42000000001</v>
      </c>
      <c r="F254" s="994" t="s">
        <v>1110</v>
      </c>
      <c r="G254" s="994" t="s">
        <v>1015</v>
      </c>
      <c r="H254" s="973"/>
      <c r="I254" s="974"/>
      <c r="J254" s="974"/>
      <c r="K254" s="974"/>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994" t="s">
        <v>1125</v>
      </c>
      <c r="B255" s="994" t="s">
        <v>2139</v>
      </c>
      <c r="C255" s="996">
        <v>12858.82</v>
      </c>
      <c r="D255" s="996">
        <v>0</v>
      </c>
      <c r="E255" s="996">
        <v>12858.82</v>
      </c>
      <c r="F255" s="994" t="s">
        <v>1110</v>
      </c>
      <c r="G255" s="994" t="s">
        <v>1015</v>
      </c>
      <c r="H255" s="973"/>
      <c r="I255" s="974"/>
      <c r="J255" s="974"/>
      <c r="K255" s="974"/>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994" t="s">
        <v>1018</v>
      </c>
      <c r="B256" s="994" t="s">
        <v>2142</v>
      </c>
      <c r="C256" s="996">
        <v>5630431.2999999998</v>
      </c>
      <c r="D256" s="996">
        <v>560551.97</v>
      </c>
      <c r="E256" s="996">
        <v>6190983.2699999996</v>
      </c>
      <c r="F256" s="994" t="s">
        <v>1110</v>
      </c>
      <c r="G256" s="994" t="s">
        <v>1019</v>
      </c>
      <c r="H256" s="973"/>
      <c r="I256" s="974"/>
      <c r="J256" s="974"/>
      <c r="K256" s="974"/>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994" t="s">
        <v>3670</v>
      </c>
      <c r="B257" s="994" t="s">
        <v>2145</v>
      </c>
      <c r="C257" s="996">
        <v>333177.5</v>
      </c>
      <c r="D257" s="996">
        <v>27460.84</v>
      </c>
      <c r="E257" s="996">
        <v>360638.34</v>
      </c>
      <c r="F257" s="994" t="s">
        <v>1110</v>
      </c>
      <c r="G257" s="994" t="s">
        <v>1023</v>
      </c>
      <c r="H257" s="973"/>
      <c r="I257" s="974"/>
      <c r="J257" s="974"/>
      <c r="K257" s="974"/>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994" t="s">
        <v>1127</v>
      </c>
      <c r="B258" s="994" t="s">
        <v>2148</v>
      </c>
      <c r="C258" s="996">
        <v>1510.29</v>
      </c>
      <c r="D258" s="996">
        <v>0</v>
      </c>
      <c r="E258" s="996">
        <v>1510.29</v>
      </c>
      <c r="F258" s="994" t="s">
        <v>1110</v>
      </c>
      <c r="G258" s="994" t="s">
        <v>1026</v>
      </c>
      <c r="H258" s="973"/>
      <c r="I258" s="975"/>
      <c r="J258" s="973"/>
      <c r="K258" s="975"/>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994" t="s">
        <v>3671</v>
      </c>
      <c r="B259" s="994" t="s">
        <v>2151</v>
      </c>
      <c r="C259" s="996">
        <v>142433.63</v>
      </c>
      <c r="D259" s="996">
        <v>10576.5</v>
      </c>
      <c r="E259" s="996">
        <v>153010.13</v>
      </c>
      <c r="F259" s="994" t="s">
        <v>1110</v>
      </c>
      <c r="G259" s="994" t="s">
        <v>1028</v>
      </c>
      <c r="H259" s="973"/>
      <c r="I259" s="975"/>
      <c r="J259" s="973"/>
      <c r="K259" s="975"/>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994" t="s">
        <v>3672</v>
      </c>
      <c r="B260" s="994" t="s">
        <v>2154</v>
      </c>
      <c r="C260" s="996">
        <v>142977.4</v>
      </c>
      <c r="D260" s="996">
        <v>10757.8</v>
      </c>
      <c r="E260" s="996">
        <v>153735.20000000001</v>
      </c>
      <c r="F260" s="994" t="s">
        <v>1110</v>
      </c>
      <c r="G260" s="994" t="s">
        <v>1031</v>
      </c>
      <c r="H260" s="973"/>
      <c r="I260" s="973"/>
      <c r="J260" s="973"/>
      <c r="K260" s="973"/>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994" t="s">
        <v>3680</v>
      </c>
      <c r="B261" s="994" t="s">
        <v>2160</v>
      </c>
      <c r="C261" s="996">
        <v>18627.75</v>
      </c>
      <c r="D261" s="996">
        <v>2193.19</v>
      </c>
      <c r="E261" s="996">
        <v>20820.939999999999</v>
      </c>
      <c r="F261" s="994" t="s">
        <v>1110</v>
      </c>
      <c r="G261" s="994" t="s">
        <v>1131</v>
      </c>
      <c r="H261" s="973"/>
      <c r="I261" s="975"/>
      <c r="J261" s="973"/>
      <c r="K261" s="975"/>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994" t="s">
        <v>1033</v>
      </c>
      <c r="B262" s="994" t="s">
        <v>2166</v>
      </c>
      <c r="C262" s="996">
        <v>187160.75</v>
      </c>
      <c r="D262" s="996">
        <v>13158.91</v>
      </c>
      <c r="E262" s="996">
        <v>200319.66</v>
      </c>
      <c r="F262" s="994" t="s">
        <v>1110</v>
      </c>
      <c r="G262" s="994" t="s">
        <v>1034</v>
      </c>
      <c r="H262" s="973"/>
      <c r="I262" s="975"/>
      <c r="J262" s="973"/>
      <c r="K262" s="975"/>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994" t="s">
        <v>1036</v>
      </c>
      <c r="B263" s="994" t="s">
        <v>2169</v>
      </c>
      <c r="C263" s="996">
        <v>15309.84</v>
      </c>
      <c r="D263" s="996">
        <v>2451</v>
      </c>
      <c r="E263" s="996">
        <v>17760.84</v>
      </c>
      <c r="F263" s="994" t="s">
        <v>1110</v>
      </c>
      <c r="G263" s="994" t="s">
        <v>1037</v>
      </c>
      <c r="H263" s="973"/>
      <c r="I263" s="973"/>
      <c r="J263" s="973"/>
      <c r="K263" s="973"/>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994" t="s">
        <v>1132</v>
      </c>
      <c r="B264" s="994" t="s">
        <v>2172</v>
      </c>
      <c r="C264" s="996">
        <v>18322.73</v>
      </c>
      <c r="D264" s="996">
        <v>6928</v>
      </c>
      <c r="E264" s="996">
        <v>25250.73</v>
      </c>
      <c r="F264" s="994" t="s">
        <v>1110</v>
      </c>
      <c r="G264" s="994" t="s">
        <v>1040</v>
      </c>
      <c r="H264" s="973"/>
      <c r="I264" s="975"/>
      <c r="J264" s="973"/>
      <c r="K264" s="975"/>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994" t="s">
        <v>1133</v>
      </c>
      <c r="B265" s="994" t="s">
        <v>2175</v>
      </c>
      <c r="C265" s="996">
        <v>170571.8</v>
      </c>
      <c r="D265" s="996">
        <v>9741.6</v>
      </c>
      <c r="E265" s="996">
        <v>180313.4</v>
      </c>
      <c r="F265" s="994" t="s">
        <v>1110</v>
      </c>
      <c r="G265" s="994" t="s">
        <v>1044</v>
      </c>
      <c r="H265" s="973"/>
      <c r="I265" s="973"/>
      <c r="J265" s="973"/>
      <c r="K265" s="973"/>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994" t="s">
        <v>1134</v>
      </c>
      <c r="B266" s="994" t="s">
        <v>2184</v>
      </c>
      <c r="C266" s="996">
        <v>179426.37</v>
      </c>
      <c r="D266" s="996">
        <v>9233.16</v>
      </c>
      <c r="E266" s="996">
        <v>188659.53</v>
      </c>
      <c r="F266" s="994" t="s">
        <v>1110</v>
      </c>
      <c r="G266" s="994" t="s">
        <v>1051</v>
      </c>
      <c r="H266" s="973"/>
      <c r="I266" s="975"/>
      <c r="J266" s="973"/>
      <c r="K266" s="975"/>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994" t="s">
        <v>1135</v>
      </c>
      <c r="B267" s="994" t="s">
        <v>2187</v>
      </c>
      <c r="C267" s="996">
        <v>632488.54</v>
      </c>
      <c r="D267" s="996">
        <v>45682.63</v>
      </c>
      <c r="E267" s="996">
        <v>678171.17</v>
      </c>
      <c r="F267" s="994" t="s">
        <v>1110</v>
      </c>
      <c r="G267" s="994" t="s">
        <v>1055</v>
      </c>
      <c r="H267" s="973"/>
      <c r="I267" s="975"/>
      <c r="J267" s="973"/>
      <c r="K267" s="975"/>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994" t="s">
        <v>1136</v>
      </c>
      <c r="B268" s="994" t="s">
        <v>2190</v>
      </c>
      <c r="C268" s="996">
        <v>51368.12</v>
      </c>
      <c r="D268" s="996">
        <v>3535.22</v>
      </c>
      <c r="E268" s="996">
        <v>54903.34</v>
      </c>
      <c r="F268" s="994" t="s">
        <v>1110</v>
      </c>
      <c r="G268" s="994" t="s">
        <v>1059</v>
      </c>
      <c r="H268" s="973"/>
      <c r="I268" s="973"/>
      <c r="J268" s="973"/>
      <c r="K268" s="973"/>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994" t="s">
        <v>3673</v>
      </c>
      <c r="B269" s="994" t="s">
        <v>2193</v>
      </c>
      <c r="C269" s="996">
        <v>539344.22</v>
      </c>
      <c r="D269" s="996">
        <v>51502.47</v>
      </c>
      <c r="E269" s="996">
        <v>590846.68999999994</v>
      </c>
      <c r="F269" s="994" t="s">
        <v>1110</v>
      </c>
      <c r="G269" s="994" t="s">
        <v>1063</v>
      </c>
      <c r="H269" s="973"/>
      <c r="I269" s="975"/>
      <c r="J269" s="973"/>
      <c r="K269" s="975"/>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994" t="s">
        <v>1138</v>
      </c>
      <c r="B270" s="994" t="s">
        <v>2196</v>
      </c>
      <c r="C270" s="996">
        <v>5324.19</v>
      </c>
      <c r="D270" s="996">
        <v>219.93</v>
      </c>
      <c r="E270" s="996">
        <v>5544.12</v>
      </c>
      <c r="F270" s="994" t="s">
        <v>1110</v>
      </c>
      <c r="G270" s="994" t="s">
        <v>1067</v>
      </c>
      <c r="H270" s="973"/>
      <c r="I270" s="975"/>
      <c r="J270" s="973"/>
      <c r="K270" s="975"/>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994" t="s">
        <v>3674</v>
      </c>
      <c r="B271" s="994" t="s">
        <v>2199</v>
      </c>
      <c r="C271" s="996">
        <v>495564.84</v>
      </c>
      <c r="D271" s="996">
        <v>41455.96</v>
      </c>
      <c r="E271" s="996">
        <v>537020.80000000005</v>
      </c>
      <c r="F271" s="994" t="s">
        <v>1110</v>
      </c>
      <c r="G271" s="994" t="s">
        <v>1069</v>
      </c>
      <c r="H271" s="973"/>
      <c r="I271" s="973"/>
      <c r="J271" s="973"/>
      <c r="K271" s="973"/>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994" t="s">
        <v>3675</v>
      </c>
      <c r="B272" s="994" t="s">
        <v>2202</v>
      </c>
      <c r="C272" s="996">
        <v>332704.98</v>
      </c>
      <c r="D272" s="996">
        <v>24567.599999999999</v>
      </c>
      <c r="E272" s="996">
        <v>357272.58</v>
      </c>
      <c r="F272" s="994" t="s">
        <v>1110</v>
      </c>
      <c r="G272" s="994" t="s">
        <v>1073</v>
      </c>
      <c r="H272" s="973"/>
      <c r="I272" s="975"/>
      <c r="J272" s="973"/>
      <c r="K272" s="975"/>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994" t="s">
        <v>3676</v>
      </c>
      <c r="B273" s="994" t="s">
        <v>2205</v>
      </c>
      <c r="C273" s="996">
        <v>5848.68</v>
      </c>
      <c r="D273" s="996">
        <v>68.62</v>
      </c>
      <c r="E273" s="996">
        <v>5917.3</v>
      </c>
      <c r="F273" s="994" t="s">
        <v>1110</v>
      </c>
      <c r="G273" s="994" t="s">
        <v>1076</v>
      </c>
      <c r="H273" s="973"/>
      <c r="I273" s="974"/>
      <c r="J273" s="974"/>
      <c r="K273" s="974"/>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994" t="s">
        <v>1141</v>
      </c>
      <c r="B274" s="994" t="s">
        <v>2208</v>
      </c>
      <c r="C274" s="996">
        <v>20099.38</v>
      </c>
      <c r="D274" s="996">
        <v>1445.54</v>
      </c>
      <c r="E274" s="996">
        <v>21544.92</v>
      </c>
      <c r="F274" s="994" t="s">
        <v>1110</v>
      </c>
      <c r="G274" s="994" t="s">
        <v>1142</v>
      </c>
      <c r="H274" s="973"/>
      <c r="I274" s="974"/>
      <c r="J274" s="974"/>
      <c r="K274" s="974"/>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994" t="s">
        <v>1143</v>
      </c>
      <c r="B275" s="994" t="s">
        <v>3386</v>
      </c>
      <c r="C275" s="996">
        <v>189.83</v>
      </c>
      <c r="D275" s="996">
        <v>0</v>
      </c>
      <c r="E275" s="996">
        <v>189.83</v>
      </c>
      <c r="F275" s="994" t="s">
        <v>1110</v>
      </c>
      <c r="G275" s="994" t="s">
        <v>3382</v>
      </c>
      <c r="H275" s="973"/>
      <c r="I275" s="974"/>
      <c r="J275" s="974"/>
      <c r="K275" s="974"/>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994" t="s">
        <v>3677</v>
      </c>
      <c r="B276" s="994" t="s">
        <v>2214</v>
      </c>
      <c r="C276" s="996">
        <v>74159.25</v>
      </c>
      <c r="D276" s="996">
        <v>2531.7600000000002</v>
      </c>
      <c r="E276" s="996">
        <v>76691.009999999995</v>
      </c>
      <c r="F276" s="994" t="s">
        <v>1110</v>
      </c>
      <c r="G276" s="994" t="s">
        <v>1086</v>
      </c>
      <c r="H276" s="973"/>
      <c r="I276" s="974"/>
      <c r="J276" s="974"/>
      <c r="K276" s="974"/>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994" t="s">
        <v>3678</v>
      </c>
      <c r="B277" s="994" t="s">
        <v>2217</v>
      </c>
      <c r="C277" s="996">
        <v>385030.95</v>
      </c>
      <c r="D277" s="996">
        <v>26802.7</v>
      </c>
      <c r="E277" s="996">
        <v>411833.65</v>
      </c>
      <c r="F277" s="994" t="s">
        <v>1110</v>
      </c>
      <c r="G277" s="994" t="s">
        <v>1090</v>
      </c>
      <c r="H277" s="973"/>
      <c r="I277" s="974"/>
      <c r="J277" s="974"/>
      <c r="K277" s="974"/>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994" t="s">
        <v>3679</v>
      </c>
      <c r="B278" s="994" t="s">
        <v>2220</v>
      </c>
      <c r="C278" s="996">
        <v>10014.44</v>
      </c>
      <c r="D278" s="996">
        <v>194.62</v>
      </c>
      <c r="E278" s="996">
        <v>10209.06</v>
      </c>
      <c r="F278" s="994" t="s">
        <v>1110</v>
      </c>
      <c r="G278" s="994" t="s">
        <v>1094</v>
      </c>
      <c r="H278" s="973"/>
      <c r="I278" s="974"/>
      <c r="J278" s="974"/>
      <c r="K278" s="974"/>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994" t="s">
        <v>1147</v>
      </c>
      <c r="B279" s="994" t="s">
        <v>2223</v>
      </c>
      <c r="C279" s="996">
        <v>137674.37</v>
      </c>
      <c r="D279" s="996">
        <v>10790.48</v>
      </c>
      <c r="E279" s="996">
        <v>148464.85</v>
      </c>
      <c r="F279" s="994" t="s">
        <v>1110</v>
      </c>
      <c r="G279" s="994" t="s">
        <v>1098</v>
      </c>
      <c r="H279" s="973"/>
      <c r="I279" s="974"/>
      <c r="J279" s="974"/>
      <c r="K279" s="974"/>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994" t="s">
        <v>1148</v>
      </c>
      <c r="B280" s="994" t="s">
        <v>2226</v>
      </c>
      <c r="C280" s="996">
        <v>763062.29</v>
      </c>
      <c r="D280" s="996">
        <v>71924.28</v>
      </c>
      <c r="E280" s="996">
        <v>834986.57</v>
      </c>
      <c r="F280" s="994" t="s">
        <v>1110</v>
      </c>
      <c r="G280" s="994" t="s">
        <v>1102</v>
      </c>
      <c r="H280" s="973"/>
      <c r="I280" s="974"/>
      <c r="J280" s="974"/>
      <c r="K280" s="974"/>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994" t="s">
        <v>1149</v>
      </c>
      <c r="B281" s="994" t="s">
        <v>2229</v>
      </c>
      <c r="C281" s="996">
        <v>382588.15999999997</v>
      </c>
      <c r="D281" s="996">
        <v>42461.16</v>
      </c>
      <c r="E281" s="996">
        <v>425049.32</v>
      </c>
      <c r="F281" s="994" t="s">
        <v>1110</v>
      </c>
      <c r="G281" s="994" t="s">
        <v>1106</v>
      </c>
      <c r="H281" s="973"/>
      <c r="I281" s="974"/>
      <c r="J281" s="974"/>
      <c r="K281" s="974"/>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994" t="s">
        <v>1150</v>
      </c>
      <c r="B282" s="994" t="s">
        <v>2232</v>
      </c>
      <c r="C282" s="996">
        <v>7089.96</v>
      </c>
      <c r="D282" s="996">
        <v>1337.6</v>
      </c>
      <c r="E282" s="996">
        <v>8427.56</v>
      </c>
      <c r="F282" s="994" t="s">
        <v>1110</v>
      </c>
      <c r="G282" s="994" t="s">
        <v>1106</v>
      </c>
      <c r="H282" s="973"/>
      <c r="I282" s="973"/>
      <c r="J282" s="973"/>
      <c r="K282" s="973"/>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994" t="s">
        <v>1151</v>
      </c>
      <c r="B283" s="994" t="s">
        <v>2237</v>
      </c>
      <c r="C283" s="996">
        <v>-15645.42</v>
      </c>
      <c r="D283" s="996">
        <v>-5367.57</v>
      </c>
      <c r="E283" s="996">
        <v>-21012.99</v>
      </c>
      <c r="F283" s="994" t="s">
        <v>1110</v>
      </c>
      <c r="G283" s="994" t="s">
        <v>1152</v>
      </c>
      <c r="H283" s="973"/>
      <c r="I283" s="973"/>
      <c r="J283" s="973"/>
      <c r="K283" s="973"/>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994" t="s">
        <v>1153</v>
      </c>
      <c r="B284" s="994" t="s">
        <v>1155</v>
      </c>
      <c r="C284" s="996">
        <v>460692.04</v>
      </c>
      <c r="D284" s="996">
        <v>29910.06</v>
      </c>
      <c r="E284" s="996">
        <v>490602.1</v>
      </c>
      <c r="F284" s="994" t="s">
        <v>1154</v>
      </c>
      <c r="G284" s="994" t="s">
        <v>1155</v>
      </c>
      <c r="H284" s="973"/>
      <c r="I284" s="973"/>
      <c r="J284" s="973"/>
      <c r="K284" s="973"/>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994" t="s">
        <v>1156</v>
      </c>
      <c r="B285" s="994" t="s">
        <v>1157</v>
      </c>
      <c r="C285" s="996">
        <v>196964.34</v>
      </c>
      <c r="D285" s="996">
        <v>14353.95</v>
      </c>
      <c r="E285" s="996">
        <v>211318.29</v>
      </c>
      <c r="F285" s="994" t="s">
        <v>1154</v>
      </c>
      <c r="G285" s="994" t="s">
        <v>1157</v>
      </c>
      <c r="H285" s="973"/>
      <c r="I285" s="973"/>
      <c r="J285" s="973"/>
      <c r="K285" s="973"/>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994" t="s">
        <v>1158</v>
      </c>
      <c r="B286" s="994" t="s">
        <v>1159</v>
      </c>
      <c r="C286" s="996">
        <v>1055.6600000000001</v>
      </c>
      <c r="D286" s="996">
        <v>249.5</v>
      </c>
      <c r="E286" s="996">
        <v>1305.1600000000001</v>
      </c>
      <c r="F286" s="994" t="s">
        <v>1154</v>
      </c>
      <c r="G286" s="994" t="s">
        <v>1159</v>
      </c>
      <c r="H286" s="973"/>
      <c r="I286" s="973"/>
      <c r="J286" s="973"/>
      <c r="K286" s="973"/>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994" t="s">
        <v>1160</v>
      </c>
      <c r="B287" s="994" t="s">
        <v>1161</v>
      </c>
      <c r="C287" s="996">
        <v>52787.58</v>
      </c>
      <c r="D287" s="996">
        <v>3105.58</v>
      </c>
      <c r="E287" s="996">
        <v>55893.16</v>
      </c>
      <c r="F287" s="994" t="s">
        <v>1154</v>
      </c>
      <c r="G287" s="994" t="s">
        <v>1161</v>
      </c>
      <c r="H287" s="973"/>
      <c r="I287" s="973"/>
      <c r="J287" s="973"/>
      <c r="K287" s="973"/>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994" t="s">
        <v>1162</v>
      </c>
      <c r="B288" s="994" t="s">
        <v>1163</v>
      </c>
      <c r="C288" s="996">
        <v>20315</v>
      </c>
      <c r="D288" s="996">
        <v>9068.61</v>
      </c>
      <c r="E288" s="996">
        <v>29383.61</v>
      </c>
      <c r="F288" s="994" t="s">
        <v>1154</v>
      </c>
      <c r="G288" s="994" t="s">
        <v>1163</v>
      </c>
      <c r="H288" s="973"/>
      <c r="I288" s="973"/>
      <c r="J288" s="973"/>
      <c r="K288" s="973"/>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994" t="s">
        <v>1164</v>
      </c>
      <c r="B289" s="994" t="s">
        <v>1165</v>
      </c>
      <c r="C289" s="996">
        <v>40162.28</v>
      </c>
      <c r="D289" s="996">
        <v>6194.72</v>
      </c>
      <c r="E289" s="996">
        <v>46357</v>
      </c>
      <c r="F289" s="994" t="s">
        <v>1154</v>
      </c>
      <c r="G289" s="994" t="s">
        <v>1165</v>
      </c>
      <c r="H289" s="971"/>
      <c r="I289" s="972"/>
      <c r="J289" s="972"/>
      <c r="K289" s="972"/>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994" t="s">
        <v>1166</v>
      </c>
      <c r="B290" s="994" t="s">
        <v>1167</v>
      </c>
      <c r="C290" s="996">
        <v>169914.96</v>
      </c>
      <c r="D290" s="996">
        <v>16734.32</v>
      </c>
      <c r="E290" s="996">
        <v>186649.28</v>
      </c>
      <c r="F290" s="994" t="s">
        <v>1154</v>
      </c>
      <c r="G290" s="994" t="s">
        <v>1167</v>
      </c>
      <c r="H290" s="971"/>
      <c r="I290" s="972"/>
      <c r="J290" s="972"/>
      <c r="K290" s="972"/>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994" t="s">
        <v>1168</v>
      </c>
      <c r="B291" s="994" t="s">
        <v>2257</v>
      </c>
      <c r="C291" s="996">
        <v>-66850</v>
      </c>
      <c r="D291" s="996">
        <v>-5550</v>
      </c>
      <c r="E291" s="996">
        <v>-72400</v>
      </c>
      <c r="F291" s="994" t="s">
        <v>1154</v>
      </c>
      <c r="G291" s="994" t="s">
        <v>1167</v>
      </c>
      <c r="H291" s="971"/>
      <c r="I291" s="972"/>
      <c r="J291" s="972"/>
      <c r="K291" s="972"/>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994" t="s">
        <v>1169</v>
      </c>
      <c r="B292" s="994" t="s">
        <v>1170</v>
      </c>
      <c r="C292" s="996">
        <v>80091.91</v>
      </c>
      <c r="D292" s="996">
        <v>8369.7099999999991</v>
      </c>
      <c r="E292" s="996">
        <v>88461.62</v>
      </c>
      <c r="F292" s="994" t="s">
        <v>1154</v>
      </c>
      <c r="G292" s="994" t="s">
        <v>1170</v>
      </c>
      <c r="H292" s="971"/>
      <c r="I292" s="972"/>
      <c r="J292" s="972"/>
      <c r="K292" s="972"/>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994" t="s">
        <v>1171</v>
      </c>
      <c r="B293" s="994" t="s">
        <v>1172</v>
      </c>
      <c r="C293" s="996">
        <v>165503.76999999999</v>
      </c>
      <c r="D293" s="996">
        <v>13251.53</v>
      </c>
      <c r="E293" s="996">
        <v>178755.3</v>
      </c>
      <c r="F293" s="994" t="s">
        <v>1154</v>
      </c>
      <c r="G293" s="994" t="s">
        <v>1172</v>
      </c>
      <c r="H293" s="971"/>
      <c r="I293" s="972"/>
      <c r="J293" s="972"/>
      <c r="K293" s="972"/>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994" t="s">
        <v>1173</v>
      </c>
      <c r="B294" s="994" t="s">
        <v>1174</v>
      </c>
      <c r="C294" s="996">
        <v>85532.85</v>
      </c>
      <c r="D294" s="996">
        <v>8271.85</v>
      </c>
      <c r="E294" s="996">
        <v>93804.7</v>
      </c>
      <c r="F294" s="994" t="s">
        <v>1154</v>
      </c>
      <c r="G294" s="994" t="s">
        <v>1174</v>
      </c>
      <c r="H294" s="971"/>
      <c r="I294" s="972"/>
      <c r="J294" s="972"/>
      <c r="K294" s="972"/>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994" t="s">
        <v>1175</v>
      </c>
      <c r="B295" s="994" t="s">
        <v>1176</v>
      </c>
      <c r="C295" s="996">
        <v>45852.26</v>
      </c>
      <c r="D295" s="996">
        <v>6556.67</v>
      </c>
      <c r="E295" s="996">
        <v>52408.93</v>
      </c>
      <c r="F295" s="994" t="s">
        <v>1154</v>
      </c>
      <c r="G295" s="994" t="s">
        <v>1176</v>
      </c>
      <c r="H295" s="971"/>
      <c r="I295" s="972"/>
      <c r="J295" s="972"/>
      <c r="K295" s="972"/>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994" t="s">
        <v>1177</v>
      </c>
      <c r="B296" s="994" t="s">
        <v>1178</v>
      </c>
      <c r="C296" s="996">
        <v>152615.57</v>
      </c>
      <c r="D296" s="996">
        <v>33705.11</v>
      </c>
      <c r="E296" s="996">
        <v>186320.68</v>
      </c>
      <c r="F296" s="994" t="s">
        <v>1154</v>
      </c>
      <c r="G296" s="994" t="s">
        <v>1178</v>
      </c>
      <c r="H296" s="971"/>
      <c r="I296" s="972"/>
      <c r="J296" s="972"/>
      <c r="K296" s="972"/>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994" t="s">
        <v>1179</v>
      </c>
      <c r="B297" s="994" t="s">
        <v>1180</v>
      </c>
      <c r="C297" s="996">
        <v>33970.050000000003</v>
      </c>
      <c r="D297" s="996">
        <v>9053.94</v>
      </c>
      <c r="E297" s="996">
        <v>43023.99</v>
      </c>
      <c r="F297" s="994" t="s">
        <v>1154</v>
      </c>
      <c r="G297" s="994" t="s">
        <v>1180</v>
      </c>
      <c r="H297" s="971"/>
      <c r="I297" s="972"/>
      <c r="J297" s="972"/>
      <c r="K297" s="972"/>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994" t="s">
        <v>1181</v>
      </c>
      <c r="B298" s="994" t="s">
        <v>1182</v>
      </c>
      <c r="C298" s="996">
        <v>175165.9</v>
      </c>
      <c r="D298" s="996">
        <v>22415.47</v>
      </c>
      <c r="E298" s="996">
        <v>197581.37</v>
      </c>
      <c r="F298" s="994" t="s">
        <v>1154</v>
      </c>
      <c r="G298" s="994" t="s">
        <v>1182</v>
      </c>
      <c r="H298" s="971"/>
      <c r="I298" s="972"/>
      <c r="J298" s="972"/>
      <c r="K298" s="972"/>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994" t="s">
        <v>1183</v>
      </c>
      <c r="B299" s="994" t="s">
        <v>1184</v>
      </c>
      <c r="C299" s="996">
        <v>0</v>
      </c>
      <c r="D299" s="996">
        <v>1484.98</v>
      </c>
      <c r="E299" s="996">
        <v>1484.98</v>
      </c>
      <c r="F299" s="994" t="s">
        <v>1154</v>
      </c>
      <c r="G299" s="994" t="s">
        <v>1184</v>
      </c>
      <c r="H299" s="971"/>
      <c r="I299" s="972"/>
      <c r="J299" s="972"/>
      <c r="K299" s="972"/>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994" t="s">
        <v>1185</v>
      </c>
      <c r="B300" s="994" t="s">
        <v>1186</v>
      </c>
      <c r="C300" s="996">
        <v>69862.69</v>
      </c>
      <c r="D300" s="996">
        <v>5142.59</v>
      </c>
      <c r="E300" s="996">
        <v>75005.279999999999</v>
      </c>
      <c r="F300" s="994" t="s">
        <v>1154</v>
      </c>
      <c r="G300" s="994" t="s">
        <v>1186</v>
      </c>
      <c r="H300" s="971"/>
      <c r="I300" s="972"/>
      <c r="J300" s="972"/>
      <c r="K300" s="972"/>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994" t="s">
        <v>1187</v>
      </c>
      <c r="B301" s="994" t="s">
        <v>1188</v>
      </c>
      <c r="C301" s="996">
        <v>339.81</v>
      </c>
      <c r="D301" s="996">
        <v>0</v>
      </c>
      <c r="E301" s="996">
        <v>339.81</v>
      </c>
      <c r="F301" s="994" t="s">
        <v>1154</v>
      </c>
      <c r="G301" s="994" t="s">
        <v>1188</v>
      </c>
      <c r="H301" s="971"/>
      <c r="I301" s="972"/>
      <c r="J301" s="972"/>
      <c r="K301" s="972"/>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994" t="s">
        <v>1189</v>
      </c>
      <c r="B302" s="994" t="s">
        <v>1190</v>
      </c>
      <c r="C302" s="996">
        <v>113.99</v>
      </c>
      <c r="D302" s="996">
        <v>0</v>
      </c>
      <c r="E302" s="996">
        <v>113.99</v>
      </c>
      <c r="F302" s="994" t="s">
        <v>1154</v>
      </c>
      <c r="G302" s="994" t="s">
        <v>1190</v>
      </c>
      <c r="H302" s="971"/>
      <c r="I302" s="972"/>
      <c r="J302" s="972"/>
      <c r="K302" s="972"/>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994" t="s">
        <v>1191</v>
      </c>
      <c r="B303" s="994" t="s">
        <v>1192</v>
      </c>
      <c r="C303" s="996">
        <v>13726.62</v>
      </c>
      <c r="D303" s="996">
        <v>2965.24</v>
      </c>
      <c r="E303" s="996">
        <v>16691.86</v>
      </c>
      <c r="F303" s="994" t="s">
        <v>1154</v>
      </c>
      <c r="G303" s="994" t="s">
        <v>1192</v>
      </c>
      <c r="H303" s="971"/>
      <c r="I303" s="972"/>
      <c r="J303" s="972"/>
      <c r="K303" s="972"/>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994" t="s">
        <v>1193</v>
      </c>
      <c r="B304" s="994" t="s">
        <v>1194</v>
      </c>
      <c r="C304" s="996">
        <v>91428.6</v>
      </c>
      <c r="D304" s="996">
        <v>12232.5</v>
      </c>
      <c r="E304" s="996">
        <v>103661.1</v>
      </c>
      <c r="F304" s="994" t="s">
        <v>1154</v>
      </c>
      <c r="G304" s="994" t="s">
        <v>1194</v>
      </c>
      <c r="H304" s="971"/>
      <c r="I304" s="972"/>
      <c r="J304" s="972"/>
      <c r="K304" s="972"/>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994" t="s">
        <v>1195</v>
      </c>
      <c r="B305" s="994" t="s">
        <v>1196</v>
      </c>
      <c r="C305" s="996">
        <v>1572.14</v>
      </c>
      <c r="D305" s="996">
        <v>158.28</v>
      </c>
      <c r="E305" s="996">
        <v>1730.42</v>
      </c>
      <c r="F305" s="994" t="s">
        <v>1154</v>
      </c>
      <c r="G305" s="994" t="s">
        <v>1196</v>
      </c>
      <c r="H305" s="971"/>
      <c r="I305" s="972"/>
      <c r="J305" s="972"/>
      <c r="K305" s="972"/>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994" t="s">
        <v>1197</v>
      </c>
      <c r="B306" s="994" t="s">
        <v>1198</v>
      </c>
      <c r="C306" s="996">
        <v>83241.56</v>
      </c>
      <c r="D306" s="996">
        <v>5935.79</v>
      </c>
      <c r="E306" s="996">
        <v>89177.35</v>
      </c>
      <c r="F306" s="994" t="s">
        <v>1154</v>
      </c>
      <c r="G306" s="994" t="s">
        <v>1198</v>
      </c>
      <c r="H306" s="971"/>
      <c r="I306" s="972"/>
      <c r="J306" s="972"/>
      <c r="K306" s="972"/>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994" t="s">
        <v>1199</v>
      </c>
      <c r="B307" s="994" t="s">
        <v>1200</v>
      </c>
      <c r="C307" s="996">
        <v>7650.15</v>
      </c>
      <c r="D307" s="996">
        <v>942.03</v>
      </c>
      <c r="E307" s="996">
        <v>8592.18</v>
      </c>
      <c r="F307" s="994" t="s">
        <v>1154</v>
      </c>
      <c r="G307" s="994" t="s">
        <v>1200</v>
      </c>
      <c r="H307" s="971"/>
      <c r="I307" s="972"/>
      <c r="J307" s="972"/>
      <c r="K307" s="972"/>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994" t="s">
        <v>1201</v>
      </c>
      <c r="B308" s="994" t="s">
        <v>1202</v>
      </c>
      <c r="C308" s="996">
        <v>2959.06</v>
      </c>
      <c r="D308" s="996">
        <v>241.05</v>
      </c>
      <c r="E308" s="996">
        <v>3200.11</v>
      </c>
      <c r="F308" s="994" t="s">
        <v>1154</v>
      </c>
      <c r="G308" s="994" t="s">
        <v>1202</v>
      </c>
      <c r="H308" s="971"/>
      <c r="I308" s="972"/>
      <c r="J308" s="972"/>
      <c r="K308" s="972"/>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994" t="s">
        <v>1203</v>
      </c>
      <c r="B309" s="994" t="s">
        <v>1204</v>
      </c>
      <c r="C309" s="996">
        <v>2931.35</v>
      </c>
      <c r="D309" s="996">
        <v>-3.75</v>
      </c>
      <c r="E309" s="996">
        <v>2927.6</v>
      </c>
      <c r="F309" s="994" t="s">
        <v>1154</v>
      </c>
      <c r="G309" s="994" t="s">
        <v>1204</v>
      </c>
      <c r="H309" s="971"/>
      <c r="I309" s="972"/>
      <c r="J309" s="972"/>
      <c r="K309" s="972"/>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994" t="s">
        <v>1205</v>
      </c>
      <c r="B310" s="994" t="s">
        <v>1206</v>
      </c>
      <c r="C310" s="996">
        <v>12492.64</v>
      </c>
      <c r="D310" s="996">
        <v>862.19</v>
      </c>
      <c r="E310" s="996">
        <v>13354.83</v>
      </c>
      <c r="F310" s="994" t="s">
        <v>1154</v>
      </c>
      <c r="G310" s="994" t="s">
        <v>1206</v>
      </c>
      <c r="H310" s="971"/>
      <c r="I310" s="972"/>
      <c r="J310" s="972"/>
      <c r="K310" s="972"/>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994" t="s">
        <v>1207</v>
      </c>
      <c r="B311" s="994" t="s">
        <v>3387</v>
      </c>
      <c r="C311" s="996">
        <v>49147.26</v>
      </c>
      <c r="D311" s="996">
        <v>-3163.38</v>
      </c>
      <c r="E311" s="996">
        <v>45983.88</v>
      </c>
      <c r="F311" s="994" t="s">
        <v>1154</v>
      </c>
      <c r="G311" s="994" t="s">
        <v>1208</v>
      </c>
      <c r="H311" s="971"/>
      <c r="I311" s="972"/>
      <c r="J311" s="972"/>
      <c r="K311" s="972"/>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994" t="s">
        <v>1209</v>
      </c>
      <c r="B312" s="994" t="s">
        <v>1210</v>
      </c>
      <c r="C312" s="996">
        <v>74595.070000000007</v>
      </c>
      <c r="D312" s="996">
        <v>6386.01</v>
      </c>
      <c r="E312" s="996">
        <v>80981.08</v>
      </c>
      <c r="F312" s="994" t="s">
        <v>1154</v>
      </c>
      <c r="G312" s="994" t="s">
        <v>1210</v>
      </c>
      <c r="H312" s="971"/>
      <c r="I312" s="972"/>
      <c r="J312" s="972"/>
      <c r="K312" s="972"/>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994" t="s">
        <v>1211</v>
      </c>
      <c r="B313" s="994" t="s">
        <v>1212</v>
      </c>
      <c r="C313" s="996">
        <v>15187.04</v>
      </c>
      <c r="D313" s="996">
        <v>1380.64</v>
      </c>
      <c r="E313" s="996">
        <v>16567.68</v>
      </c>
      <c r="F313" s="994" t="s">
        <v>1154</v>
      </c>
      <c r="G313" s="994" t="s">
        <v>1212</v>
      </c>
      <c r="H313" s="971"/>
      <c r="I313" s="972"/>
      <c r="J313" s="972"/>
      <c r="K313" s="972"/>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994" t="s">
        <v>1213</v>
      </c>
      <c r="B314" s="994" t="s">
        <v>1214</v>
      </c>
      <c r="C314" s="996">
        <v>8906.51</v>
      </c>
      <c r="D314" s="996">
        <v>297.87</v>
      </c>
      <c r="E314" s="996">
        <v>9204.3799999999992</v>
      </c>
      <c r="F314" s="994" t="s">
        <v>1154</v>
      </c>
      <c r="G314" s="994" t="s">
        <v>1214</v>
      </c>
      <c r="H314" s="971"/>
      <c r="I314" s="972"/>
      <c r="J314" s="972"/>
      <c r="K314" s="972"/>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994" t="s">
        <v>1215</v>
      </c>
      <c r="B315" s="994" t="s">
        <v>1216</v>
      </c>
      <c r="C315" s="996">
        <v>91520</v>
      </c>
      <c r="D315" s="996">
        <v>8320</v>
      </c>
      <c r="E315" s="996">
        <v>99840</v>
      </c>
      <c r="F315" s="994" t="s">
        <v>1154</v>
      </c>
      <c r="G315" s="994" t="s">
        <v>1216</v>
      </c>
      <c r="H315" s="971"/>
      <c r="I315" s="972"/>
      <c r="J315" s="972"/>
      <c r="K315" s="972"/>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994" t="s">
        <v>1217</v>
      </c>
      <c r="B316" s="994" t="s">
        <v>1218</v>
      </c>
      <c r="C316" s="996">
        <v>15033.92</v>
      </c>
      <c r="D316" s="996">
        <v>1366.72</v>
      </c>
      <c r="E316" s="996">
        <v>16400.64</v>
      </c>
      <c r="F316" s="994" t="s">
        <v>1154</v>
      </c>
      <c r="G316" s="994" t="s">
        <v>1218</v>
      </c>
      <c r="H316" s="971"/>
      <c r="I316" s="972"/>
      <c r="J316" s="972"/>
      <c r="K316" s="972"/>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994" t="s">
        <v>1219</v>
      </c>
      <c r="B317" s="994" t="s">
        <v>1220</v>
      </c>
      <c r="C317" s="996">
        <v>17353.599999999999</v>
      </c>
      <c r="D317" s="996">
        <v>529.92999999999995</v>
      </c>
      <c r="E317" s="996">
        <v>17883.53</v>
      </c>
      <c r="F317" s="994" t="s">
        <v>1154</v>
      </c>
      <c r="G317" s="994" t="s">
        <v>1220</v>
      </c>
      <c r="H317" s="971"/>
      <c r="I317" s="972"/>
      <c r="J317" s="972"/>
      <c r="K317" s="972"/>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994" t="s">
        <v>1221</v>
      </c>
      <c r="B318" s="994" t="s">
        <v>1222</v>
      </c>
      <c r="C318" s="996">
        <v>11545.6</v>
      </c>
      <c r="D318" s="996">
        <v>1049.5999999999999</v>
      </c>
      <c r="E318" s="996">
        <v>12595.2</v>
      </c>
      <c r="F318" s="994" t="s">
        <v>1154</v>
      </c>
      <c r="G318" s="994" t="s">
        <v>1222</v>
      </c>
      <c r="H318" s="971"/>
      <c r="I318" s="972"/>
      <c r="J318" s="972"/>
      <c r="K318" s="972"/>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994" t="s">
        <v>1223</v>
      </c>
      <c r="B319" s="994" t="s">
        <v>1224</v>
      </c>
      <c r="C319" s="996">
        <v>21554.17</v>
      </c>
      <c r="D319" s="996">
        <v>1959.47</v>
      </c>
      <c r="E319" s="996">
        <v>23513.64</v>
      </c>
      <c r="F319" s="994" t="s">
        <v>1154</v>
      </c>
      <c r="G319" s="994" t="s">
        <v>1224</v>
      </c>
      <c r="H319" s="971"/>
      <c r="I319" s="972"/>
      <c r="J319" s="972"/>
      <c r="K319" s="972"/>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994" t="s">
        <v>1225</v>
      </c>
      <c r="B320" s="994" t="s">
        <v>2319</v>
      </c>
      <c r="C320" s="996">
        <v>276749.90000000002</v>
      </c>
      <c r="D320" s="996">
        <v>10925.41</v>
      </c>
      <c r="E320" s="996">
        <v>287675.31</v>
      </c>
      <c r="F320" s="994" t="s">
        <v>1154</v>
      </c>
      <c r="G320" s="994" t="s">
        <v>1155</v>
      </c>
      <c r="H320" s="971"/>
      <c r="I320" s="972"/>
      <c r="J320" s="972"/>
      <c r="K320" s="972"/>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994" t="s">
        <v>1156</v>
      </c>
      <c r="B321" s="994" t="s">
        <v>2322</v>
      </c>
      <c r="C321" s="996">
        <v>244478.97</v>
      </c>
      <c r="D321" s="996">
        <v>13256.64</v>
      </c>
      <c r="E321" s="996">
        <v>257735.61</v>
      </c>
      <c r="F321" s="994" t="s">
        <v>1154</v>
      </c>
      <c r="G321" s="994" t="s">
        <v>1157</v>
      </c>
      <c r="H321" s="971"/>
      <c r="I321" s="972"/>
      <c r="J321" s="972"/>
      <c r="K321" s="972"/>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994" t="s">
        <v>1226</v>
      </c>
      <c r="B322" s="994" t="s">
        <v>2325</v>
      </c>
      <c r="C322" s="996">
        <v>1812.09</v>
      </c>
      <c r="D322" s="996">
        <v>0</v>
      </c>
      <c r="E322" s="996">
        <v>1812.09</v>
      </c>
      <c r="F322" s="994" t="s">
        <v>1154</v>
      </c>
      <c r="G322" s="994" t="s">
        <v>1159</v>
      </c>
      <c r="H322" s="971"/>
      <c r="I322" s="972"/>
      <c r="J322" s="972"/>
      <c r="K322" s="972"/>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994" t="s">
        <v>1160</v>
      </c>
      <c r="B323" s="994" t="s">
        <v>2328</v>
      </c>
      <c r="C323" s="996">
        <v>51151.41</v>
      </c>
      <c r="D323" s="996">
        <v>4374.82</v>
      </c>
      <c r="E323" s="996">
        <v>55526.23</v>
      </c>
      <c r="F323" s="994" t="s">
        <v>1154</v>
      </c>
      <c r="G323" s="994" t="s">
        <v>1161</v>
      </c>
      <c r="H323" s="971"/>
      <c r="I323" s="972"/>
      <c r="J323" s="972"/>
      <c r="K323" s="972"/>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994" t="s">
        <v>1162</v>
      </c>
      <c r="B324" s="994" t="s">
        <v>2331</v>
      </c>
      <c r="C324" s="996">
        <v>28976.73</v>
      </c>
      <c r="D324" s="996">
        <v>9450.74</v>
      </c>
      <c r="E324" s="996">
        <v>38427.47</v>
      </c>
      <c r="F324" s="994" t="s">
        <v>1154</v>
      </c>
      <c r="G324" s="994" t="s">
        <v>1163</v>
      </c>
      <c r="H324" s="971"/>
      <c r="I324" s="972"/>
      <c r="J324" s="972"/>
      <c r="K324" s="972"/>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994" t="s">
        <v>1164</v>
      </c>
      <c r="B325" s="994" t="s">
        <v>2334</v>
      </c>
      <c r="C325" s="996">
        <v>7787.54</v>
      </c>
      <c r="D325" s="996">
        <v>2310.11</v>
      </c>
      <c r="E325" s="996">
        <v>10097.65</v>
      </c>
      <c r="F325" s="994" t="s">
        <v>1154</v>
      </c>
      <c r="G325" s="994" t="s">
        <v>1165</v>
      </c>
      <c r="H325" s="971"/>
      <c r="I325" s="972"/>
      <c r="J325" s="972"/>
      <c r="K325" s="972"/>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994" t="s">
        <v>1166</v>
      </c>
      <c r="B326" s="994" t="s">
        <v>2340</v>
      </c>
      <c r="C326" s="996">
        <v>97727.83</v>
      </c>
      <c r="D326" s="996">
        <v>11744.93</v>
      </c>
      <c r="E326" s="996">
        <v>109472.76</v>
      </c>
      <c r="F326" s="994" t="s">
        <v>1154</v>
      </c>
      <c r="G326" s="994" t="s">
        <v>1167</v>
      </c>
      <c r="H326" s="971"/>
      <c r="I326" s="972"/>
      <c r="J326" s="972"/>
      <c r="K326" s="972"/>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994" t="s">
        <v>1227</v>
      </c>
      <c r="B327" s="994" t="s">
        <v>2343</v>
      </c>
      <c r="C327" s="996">
        <v>-35300</v>
      </c>
      <c r="D327" s="996">
        <v>-2400</v>
      </c>
      <c r="E327" s="996">
        <v>-37700</v>
      </c>
      <c r="F327" s="994" t="s">
        <v>1154</v>
      </c>
      <c r="G327" s="994" t="s">
        <v>1167</v>
      </c>
      <c r="H327" s="971"/>
      <c r="I327" s="972"/>
      <c r="J327" s="972"/>
      <c r="K327" s="972"/>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994" t="s">
        <v>1169</v>
      </c>
      <c r="B328" s="994" t="s">
        <v>2349</v>
      </c>
      <c r="C328" s="996">
        <v>17798.060000000001</v>
      </c>
      <c r="D328" s="996">
        <v>1859.92</v>
      </c>
      <c r="E328" s="996">
        <v>19657.98</v>
      </c>
      <c r="F328" s="994" t="s">
        <v>1154</v>
      </c>
      <c r="G328" s="994" t="s">
        <v>1170</v>
      </c>
      <c r="H328" s="971"/>
      <c r="I328" s="972"/>
      <c r="J328" s="972"/>
      <c r="K328" s="972"/>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994" t="s">
        <v>1171</v>
      </c>
      <c r="B329" s="994" t="s">
        <v>2352</v>
      </c>
      <c r="C329" s="996">
        <v>108665.56</v>
      </c>
      <c r="D329" s="996">
        <v>7995.62</v>
      </c>
      <c r="E329" s="996">
        <v>116661.18</v>
      </c>
      <c r="F329" s="994" t="s">
        <v>1154</v>
      </c>
      <c r="G329" s="994" t="s">
        <v>1172</v>
      </c>
      <c r="H329" s="971"/>
      <c r="I329" s="972"/>
      <c r="J329" s="972"/>
      <c r="K329" s="972"/>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994" t="s">
        <v>1173</v>
      </c>
      <c r="B330" s="994" t="s">
        <v>2355</v>
      </c>
      <c r="C330" s="996">
        <v>19007.28</v>
      </c>
      <c r="D330" s="996">
        <v>2858.19</v>
      </c>
      <c r="E330" s="996">
        <v>21865.47</v>
      </c>
      <c r="F330" s="994" t="s">
        <v>1154</v>
      </c>
      <c r="G330" s="994" t="s">
        <v>1174</v>
      </c>
      <c r="H330" s="971"/>
      <c r="I330" s="972"/>
      <c r="J330" s="972"/>
      <c r="K330" s="972"/>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994" t="s">
        <v>1228</v>
      </c>
      <c r="B331" s="994" t="s">
        <v>2358</v>
      </c>
      <c r="C331" s="996">
        <v>83330.259999999995</v>
      </c>
      <c r="D331" s="996">
        <v>8410.67</v>
      </c>
      <c r="E331" s="996">
        <v>91740.93</v>
      </c>
      <c r="F331" s="994" t="s">
        <v>1154</v>
      </c>
      <c r="G331" s="994" t="s">
        <v>1176</v>
      </c>
      <c r="H331" s="971"/>
      <c r="I331" s="972"/>
      <c r="J331" s="972"/>
      <c r="K331" s="972"/>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994" t="s">
        <v>1229</v>
      </c>
      <c r="B332" s="994" t="s">
        <v>2359</v>
      </c>
      <c r="C332" s="996">
        <v>40448.980000000003</v>
      </c>
      <c r="D332" s="996">
        <v>8469.86</v>
      </c>
      <c r="E332" s="996">
        <v>48918.84</v>
      </c>
      <c r="F332" s="994" t="s">
        <v>1154</v>
      </c>
      <c r="G332" s="994" t="s">
        <v>1178</v>
      </c>
      <c r="H332" s="971"/>
      <c r="I332" s="972"/>
      <c r="J332" s="972"/>
      <c r="K332" s="972"/>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994" t="s">
        <v>1179</v>
      </c>
      <c r="B333" s="994" t="s">
        <v>2362</v>
      </c>
      <c r="C333" s="996">
        <v>17573.97</v>
      </c>
      <c r="D333" s="996">
        <v>4570.97</v>
      </c>
      <c r="E333" s="996">
        <v>22144.94</v>
      </c>
      <c r="F333" s="994" t="s">
        <v>1154</v>
      </c>
      <c r="G333" s="994" t="s">
        <v>1180</v>
      </c>
      <c r="H333" s="971"/>
      <c r="I333" s="972"/>
      <c r="J333" s="972"/>
      <c r="K333" s="972"/>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994" t="s">
        <v>1181</v>
      </c>
      <c r="B334" s="994" t="s">
        <v>2365</v>
      </c>
      <c r="C334" s="996">
        <v>47352.15</v>
      </c>
      <c r="D334" s="996">
        <v>6702.32</v>
      </c>
      <c r="E334" s="996">
        <v>54054.47</v>
      </c>
      <c r="F334" s="994" t="s">
        <v>1154</v>
      </c>
      <c r="G334" s="994" t="s">
        <v>1182</v>
      </c>
      <c r="H334" s="971"/>
      <c r="I334" s="972"/>
      <c r="J334" s="972"/>
      <c r="K334" s="972"/>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994" t="s">
        <v>1230</v>
      </c>
      <c r="B335" s="994" t="s">
        <v>3389</v>
      </c>
      <c r="C335" s="996">
        <v>0</v>
      </c>
      <c r="D335" s="996">
        <v>267.44</v>
      </c>
      <c r="E335" s="996">
        <v>267.44</v>
      </c>
      <c r="F335" s="994" t="s">
        <v>1154</v>
      </c>
      <c r="G335" s="994" t="s">
        <v>1184</v>
      </c>
      <c r="H335" s="971"/>
      <c r="I335" s="972"/>
      <c r="J335" s="972"/>
      <c r="K335" s="972"/>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994" t="s">
        <v>1231</v>
      </c>
      <c r="B336" s="994" t="s">
        <v>2368</v>
      </c>
      <c r="C336" s="996">
        <v>31408.639999999999</v>
      </c>
      <c r="D336" s="996">
        <v>1869.15</v>
      </c>
      <c r="E336" s="996">
        <v>33277.79</v>
      </c>
      <c r="F336" s="994" t="s">
        <v>1154</v>
      </c>
      <c r="G336" s="994" t="s">
        <v>1186</v>
      </c>
      <c r="H336" s="971"/>
      <c r="I336" s="972"/>
      <c r="J336" s="972"/>
      <c r="K336" s="972"/>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994" t="s">
        <v>1187</v>
      </c>
      <c r="B337" s="994" t="s">
        <v>2374</v>
      </c>
      <c r="C337" s="996">
        <v>1707.74</v>
      </c>
      <c r="D337" s="996">
        <v>0</v>
      </c>
      <c r="E337" s="996">
        <v>1707.74</v>
      </c>
      <c r="F337" s="994" t="s">
        <v>1154</v>
      </c>
      <c r="G337" s="994" t="s">
        <v>1188</v>
      </c>
      <c r="H337" s="971"/>
      <c r="I337" s="973"/>
      <c r="J337" s="973"/>
      <c r="K337" s="973"/>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994" t="s">
        <v>1191</v>
      </c>
      <c r="B338" s="994" t="s">
        <v>2379</v>
      </c>
      <c r="C338" s="996">
        <v>2291.85</v>
      </c>
      <c r="D338" s="996">
        <v>1249.67</v>
      </c>
      <c r="E338" s="996">
        <v>3541.52</v>
      </c>
      <c r="F338" s="994" t="s">
        <v>1154</v>
      </c>
      <c r="G338" s="994" t="s">
        <v>1192</v>
      </c>
      <c r="H338" s="971"/>
      <c r="I338" s="973"/>
      <c r="J338" s="973"/>
      <c r="K338" s="973"/>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994" t="s">
        <v>1193</v>
      </c>
      <c r="B339" s="994" t="s">
        <v>2382</v>
      </c>
      <c r="C339" s="996">
        <v>2438.73</v>
      </c>
      <c r="D339" s="996">
        <v>1106.7</v>
      </c>
      <c r="E339" s="996">
        <v>3545.43</v>
      </c>
      <c r="F339" s="994" t="s">
        <v>1154</v>
      </c>
      <c r="G339" s="994" t="s">
        <v>1194</v>
      </c>
      <c r="H339" s="971"/>
      <c r="I339" s="973"/>
      <c r="J339" s="973"/>
      <c r="K339" s="973"/>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994" t="s">
        <v>1195</v>
      </c>
      <c r="B340" s="994" t="s">
        <v>2385</v>
      </c>
      <c r="C340" s="996">
        <v>772.4</v>
      </c>
      <c r="D340" s="996">
        <v>59.36</v>
      </c>
      <c r="E340" s="996">
        <v>831.76</v>
      </c>
      <c r="F340" s="994" t="s">
        <v>1154</v>
      </c>
      <c r="G340" s="994" t="s">
        <v>1196</v>
      </c>
      <c r="H340" s="971"/>
      <c r="I340" s="973"/>
      <c r="J340" s="973"/>
      <c r="K340" s="973"/>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994" t="s">
        <v>1197</v>
      </c>
      <c r="B341" s="994" t="s">
        <v>2388</v>
      </c>
      <c r="C341" s="996">
        <v>32409.72</v>
      </c>
      <c r="D341" s="996">
        <v>3407.82</v>
      </c>
      <c r="E341" s="996">
        <v>35817.54</v>
      </c>
      <c r="F341" s="994" t="s">
        <v>1154</v>
      </c>
      <c r="G341" s="994" t="s">
        <v>1198</v>
      </c>
      <c r="H341" s="971"/>
      <c r="I341" s="974"/>
      <c r="J341" s="974"/>
      <c r="K341" s="974"/>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994" t="s">
        <v>1199</v>
      </c>
      <c r="B342" s="994" t="s">
        <v>2391</v>
      </c>
      <c r="C342" s="996">
        <v>2868.84</v>
      </c>
      <c r="D342" s="996">
        <v>353.27</v>
      </c>
      <c r="E342" s="996">
        <v>3222.11</v>
      </c>
      <c r="F342" s="994" t="s">
        <v>1154</v>
      </c>
      <c r="G342" s="994" t="s">
        <v>1200</v>
      </c>
      <c r="H342" s="971"/>
      <c r="I342" s="974"/>
      <c r="J342" s="974"/>
      <c r="K342" s="974"/>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994" t="s">
        <v>1201</v>
      </c>
      <c r="B343" s="994" t="s">
        <v>2394</v>
      </c>
      <c r="C343" s="996">
        <v>562.15</v>
      </c>
      <c r="D343" s="996">
        <v>109.4</v>
      </c>
      <c r="E343" s="996">
        <v>671.55</v>
      </c>
      <c r="F343" s="994" t="s">
        <v>1154</v>
      </c>
      <c r="G343" s="994" t="s">
        <v>1202</v>
      </c>
      <c r="H343" s="971"/>
      <c r="I343" s="974"/>
      <c r="J343" s="974"/>
      <c r="K343" s="974"/>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994" t="s">
        <v>1203</v>
      </c>
      <c r="B344" s="994" t="s">
        <v>2397</v>
      </c>
      <c r="C344" s="996">
        <v>1099.24</v>
      </c>
      <c r="D344" s="996">
        <v>-1.41</v>
      </c>
      <c r="E344" s="996">
        <v>1097.83</v>
      </c>
      <c r="F344" s="994" t="s">
        <v>1154</v>
      </c>
      <c r="G344" s="994" t="s">
        <v>1204</v>
      </c>
      <c r="H344" s="971"/>
      <c r="I344" s="974"/>
      <c r="J344" s="974"/>
      <c r="K344" s="974"/>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994" t="s">
        <v>1232</v>
      </c>
      <c r="B345" s="994" t="s">
        <v>2400</v>
      </c>
      <c r="C345" s="996">
        <v>4273.12</v>
      </c>
      <c r="D345" s="996">
        <v>456.83</v>
      </c>
      <c r="E345" s="996">
        <v>4729.95</v>
      </c>
      <c r="F345" s="994" t="s">
        <v>1154</v>
      </c>
      <c r="G345" s="994" t="s">
        <v>1206</v>
      </c>
      <c r="H345" s="971"/>
      <c r="I345" s="974"/>
      <c r="J345" s="974"/>
      <c r="K345" s="974"/>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994" t="s">
        <v>1233</v>
      </c>
      <c r="B346" s="994" t="s">
        <v>3390</v>
      </c>
      <c r="C346" s="996">
        <v>13171.01</v>
      </c>
      <c r="D346" s="996">
        <v>-3375.5</v>
      </c>
      <c r="E346" s="996">
        <v>9795.51</v>
      </c>
      <c r="F346" s="994" t="s">
        <v>1154</v>
      </c>
      <c r="G346" s="994" t="s">
        <v>1234</v>
      </c>
      <c r="H346" s="971"/>
      <c r="I346" s="974"/>
      <c r="J346" s="974"/>
      <c r="K346" s="974"/>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994" t="s">
        <v>1209</v>
      </c>
      <c r="B347" s="994" t="s">
        <v>2403</v>
      </c>
      <c r="C347" s="996">
        <v>11775.24</v>
      </c>
      <c r="D347" s="996">
        <v>923.2</v>
      </c>
      <c r="E347" s="996">
        <v>12698.44</v>
      </c>
      <c r="F347" s="994" t="s">
        <v>1154</v>
      </c>
      <c r="G347" s="994" t="s">
        <v>1210</v>
      </c>
      <c r="H347" s="971"/>
      <c r="I347" s="974"/>
      <c r="J347" s="974"/>
      <c r="K347" s="974"/>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994" t="s">
        <v>1211</v>
      </c>
      <c r="B348" s="994" t="s">
        <v>2406</v>
      </c>
      <c r="C348" s="996">
        <v>5695.14</v>
      </c>
      <c r="D348" s="996">
        <v>517.74</v>
      </c>
      <c r="E348" s="996">
        <v>6212.88</v>
      </c>
      <c r="F348" s="994" t="s">
        <v>1154</v>
      </c>
      <c r="G348" s="994" t="s">
        <v>1212</v>
      </c>
      <c r="H348" s="971"/>
      <c r="I348" s="974"/>
      <c r="J348" s="974"/>
      <c r="K348" s="974"/>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994" t="s">
        <v>1235</v>
      </c>
      <c r="B349" s="994" t="s">
        <v>2412</v>
      </c>
      <c r="C349" s="996">
        <v>3339.93</v>
      </c>
      <c r="D349" s="996">
        <v>111.7</v>
      </c>
      <c r="E349" s="996">
        <v>3451.63</v>
      </c>
      <c r="F349" s="994" t="s">
        <v>1154</v>
      </c>
      <c r="G349" s="994" t="s">
        <v>1214</v>
      </c>
      <c r="H349" s="971"/>
      <c r="I349" s="974"/>
      <c r="J349" s="974"/>
      <c r="K349" s="974"/>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994" t="s">
        <v>1236</v>
      </c>
      <c r="B350" s="994" t="s">
        <v>2415</v>
      </c>
      <c r="C350" s="996">
        <v>34320</v>
      </c>
      <c r="D350" s="996">
        <v>3120</v>
      </c>
      <c r="E350" s="996">
        <v>37440</v>
      </c>
      <c r="F350" s="994" t="s">
        <v>1154</v>
      </c>
      <c r="G350" s="994" t="s">
        <v>1216</v>
      </c>
      <c r="H350" s="971"/>
      <c r="I350" s="974"/>
      <c r="J350" s="974"/>
      <c r="K350" s="974"/>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994" t="s">
        <v>1237</v>
      </c>
      <c r="B351" s="994" t="s">
        <v>2418</v>
      </c>
      <c r="C351" s="996">
        <v>5637.72</v>
      </c>
      <c r="D351" s="996">
        <v>512.52</v>
      </c>
      <c r="E351" s="996">
        <v>6150.24</v>
      </c>
      <c r="F351" s="994" t="s">
        <v>1154</v>
      </c>
      <c r="G351" s="994" t="s">
        <v>1218</v>
      </c>
      <c r="H351" s="971"/>
      <c r="I351" s="974"/>
      <c r="J351" s="974"/>
      <c r="K351" s="974"/>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994" t="s">
        <v>1238</v>
      </c>
      <c r="B352" s="994" t="s">
        <v>2421</v>
      </c>
      <c r="C352" s="996">
        <v>6507.6</v>
      </c>
      <c r="D352" s="996">
        <v>198.72</v>
      </c>
      <c r="E352" s="996">
        <v>6706.32</v>
      </c>
      <c r="F352" s="994" t="s">
        <v>1154</v>
      </c>
      <c r="G352" s="994" t="s">
        <v>1220</v>
      </c>
      <c r="H352" s="971"/>
      <c r="I352" s="974"/>
      <c r="J352" s="974"/>
      <c r="K352" s="974"/>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994" t="s">
        <v>1239</v>
      </c>
      <c r="B353" s="994" t="s">
        <v>2424</v>
      </c>
      <c r="C353" s="996">
        <v>4329.6000000000004</v>
      </c>
      <c r="D353" s="996">
        <v>393.6</v>
      </c>
      <c r="E353" s="996">
        <v>4723.2</v>
      </c>
      <c r="F353" s="994" t="s">
        <v>1154</v>
      </c>
      <c r="G353" s="994" t="s">
        <v>1222</v>
      </c>
      <c r="H353" s="971"/>
      <c r="I353" s="974"/>
      <c r="J353" s="974"/>
      <c r="K353" s="974"/>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994" t="s">
        <v>1240</v>
      </c>
      <c r="B354" s="994" t="s">
        <v>2427</v>
      </c>
      <c r="C354" s="996">
        <v>8082.8</v>
      </c>
      <c r="D354" s="996">
        <v>734.8</v>
      </c>
      <c r="E354" s="996">
        <v>8817.6</v>
      </c>
      <c r="F354" s="994" t="s">
        <v>1154</v>
      </c>
      <c r="G354" s="994" t="s">
        <v>1224</v>
      </c>
      <c r="H354" s="971"/>
      <c r="I354" s="974"/>
      <c r="J354" s="974"/>
      <c r="K354" s="974"/>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994" t="s">
        <v>1241</v>
      </c>
      <c r="B355" s="994" t="s">
        <v>2430</v>
      </c>
      <c r="C355" s="996">
        <v>31136.54</v>
      </c>
      <c r="D355" s="996">
        <v>3968.13</v>
      </c>
      <c r="E355" s="996">
        <v>35104.67</v>
      </c>
      <c r="F355" s="994" t="s">
        <v>1154</v>
      </c>
      <c r="G355" s="994" t="s">
        <v>1242</v>
      </c>
      <c r="H355" s="971"/>
      <c r="I355" s="974"/>
      <c r="J355" s="974"/>
      <c r="K355" s="974"/>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994" t="s">
        <v>1243</v>
      </c>
      <c r="B356" s="994" t="s">
        <v>2433</v>
      </c>
      <c r="C356" s="996">
        <v>701.93</v>
      </c>
      <c r="D356" s="996">
        <v>-22.28</v>
      </c>
      <c r="E356" s="996">
        <v>679.65</v>
      </c>
      <c r="F356" s="994" t="s">
        <v>1154</v>
      </c>
      <c r="G356" s="994" t="s">
        <v>1242</v>
      </c>
      <c r="H356" s="971"/>
      <c r="I356" s="974"/>
      <c r="J356" s="974"/>
      <c r="K356" s="974"/>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994" t="s">
        <v>1166</v>
      </c>
      <c r="B357" s="994" t="s">
        <v>2436</v>
      </c>
      <c r="C357" s="996">
        <v>122101.18</v>
      </c>
      <c r="D357" s="996">
        <v>10808.55</v>
      </c>
      <c r="E357" s="996">
        <v>132909.73000000001</v>
      </c>
      <c r="F357" s="994" t="s">
        <v>1154</v>
      </c>
      <c r="G357" s="994" t="s">
        <v>1167</v>
      </c>
      <c r="H357" s="971"/>
      <c r="I357" s="974"/>
      <c r="J357" s="974"/>
      <c r="K357" s="974"/>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994" t="s">
        <v>1169</v>
      </c>
      <c r="B358" s="994" t="s">
        <v>2439</v>
      </c>
      <c r="C358" s="996">
        <v>40046.239999999998</v>
      </c>
      <c r="D358" s="996">
        <v>4184.87</v>
      </c>
      <c r="E358" s="996">
        <v>44231.11</v>
      </c>
      <c r="F358" s="994" t="s">
        <v>1154</v>
      </c>
      <c r="G358" s="994" t="s">
        <v>1170</v>
      </c>
      <c r="H358" s="971"/>
      <c r="I358" s="974"/>
      <c r="J358" s="974"/>
      <c r="K358" s="974"/>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994" t="s">
        <v>1171</v>
      </c>
      <c r="B359" s="994" t="s">
        <v>2442</v>
      </c>
      <c r="C359" s="996">
        <v>108686.24</v>
      </c>
      <c r="D359" s="996">
        <v>10130.92</v>
      </c>
      <c r="E359" s="996">
        <v>118817.16</v>
      </c>
      <c r="F359" s="994" t="s">
        <v>1154</v>
      </c>
      <c r="G359" s="994" t="s">
        <v>1172</v>
      </c>
      <c r="H359" s="971"/>
      <c r="I359" s="974"/>
      <c r="J359" s="974"/>
      <c r="K359" s="974"/>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994" t="s">
        <v>1244</v>
      </c>
      <c r="B360" s="994" t="s">
        <v>2445</v>
      </c>
      <c r="C360" s="996">
        <v>86725.91</v>
      </c>
      <c r="D360" s="996">
        <v>7284.98</v>
      </c>
      <c r="E360" s="996">
        <v>94010.89</v>
      </c>
      <c r="F360" s="994" t="s">
        <v>1154</v>
      </c>
      <c r="G360" s="994" t="s">
        <v>1174</v>
      </c>
      <c r="H360" s="971"/>
      <c r="I360" s="974"/>
      <c r="J360" s="974"/>
      <c r="K360" s="974"/>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994" t="s">
        <v>1175</v>
      </c>
      <c r="B361" s="994" t="s">
        <v>2448</v>
      </c>
      <c r="C361" s="996">
        <v>222448.85</v>
      </c>
      <c r="D361" s="996">
        <v>15114.01</v>
      </c>
      <c r="E361" s="996">
        <v>237562.86</v>
      </c>
      <c r="F361" s="994" t="s">
        <v>1154</v>
      </c>
      <c r="G361" s="994" t="s">
        <v>1176</v>
      </c>
      <c r="H361" s="971"/>
      <c r="I361" s="974"/>
      <c r="J361" s="974"/>
      <c r="K361" s="974"/>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994" t="s">
        <v>1245</v>
      </c>
      <c r="B362" s="994" t="s">
        <v>2451</v>
      </c>
      <c r="C362" s="996">
        <v>320279.23</v>
      </c>
      <c r="D362" s="996">
        <v>34633.07</v>
      </c>
      <c r="E362" s="996">
        <v>354912.3</v>
      </c>
      <c r="F362" s="994" t="s">
        <v>1154</v>
      </c>
      <c r="G362" s="994" t="s">
        <v>1246</v>
      </c>
      <c r="H362" s="971"/>
      <c r="I362" s="974"/>
      <c r="J362" s="974"/>
      <c r="K362" s="974"/>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994" t="s">
        <v>1247</v>
      </c>
      <c r="B363" s="994" t="s">
        <v>2454</v>
      </c>
      <c r="C363" s="996">
        <v>168727.9</v>
      </c>
      <c r="D363" s="996">
        <v>40715.89</v>
      </c>
      <c r="E363" s="996">
        <v>209443.79</v>
      </c>
      <c r="F363" s="994" t="s">
        <v>1154</v>
      </c>
      <c r="G363" s="994" t="s">
        <v>1178</v>
      </c>
      <c r="H363" s="971"/>
      <c r="I363" s="974"/>
      <c r="J363" s="974"/>
      <c r="K363" s="974"/>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994" t="s">
        <v>1179</v>
      </c>
      <c r="B364" s="994" t="s">
        <v>2457</v>
      </c>
      <c r="C364" s="996">
        <v>50044.19</v>
      </c>
      <c r="D364" s="996">
        <v>13474.23</v>
      </c>
      <c r="E364" s="996">
        <v>63518.42</v>
      </c>
      <c r="F364" s="994" t="s">
        <v>1154</v>
      </c>
      <c r="G364" s="994" t="s">
        <v>1180</v>
      </c>
      <c r="H364" s="971"/>
      <c r="I364" s="974"/>
      <c r="J364" s="974"/>
      <c r="K364" s="974"/>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994" t="s">
        <v>1181</v>
      </c>
      <c r="B365" s="994" t="s">
        <v>2460</v>
      </c>
      <c r="C365" s="996">
        <v>178263.07</v>
      </c>
      <c r="D365" s="996">
        <v>21128.01</v>
      </c>
      <c r="E365" s="996">
        <v>199391.08</v>
      </c>
      <c r="F365" s="994" t="s">
        <v>1154</v>
      </c>
      <c r="G365" s="994" t="s">
        <v>1182</v>
      </c>
      <c r="H365" s="971"/>
      <c r="I365" s="974"/>
      <c r="J365" s="974"/>
      <c r="K365" s="974"/>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994" t="s">
        <v>1248</v>
      </c>
      <c r="B366" s="994" t="s">
        <v>2463</v>
      </c>
      <c r="C366" s="996">
        <v>3194.34</v>
      </c>
      <c r="D366" s="996">
        <v>2880.8</v>
      </c>
      <c r="E366" s="996">
        <v>6075.14</v>
      </c>
      <c r="F366" s="994" t="s">
        <v>1154</v>
      </c>
      <c r="G366" s="994" t="s">
        <v>1184</v>
      </c>
      <c r="H366" s="971"/>
      <c r="I366" s="974"/>
      <c r="J366" s="974"/>
      <c r="K366" s="974"/>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994" t="s">
        <v>1231</v>
      </c>
      <c r="B367" s="994" t="s">
        <v>2466</v>
      </c>
      <c r="C367" s="996">
        <v>60907.26</v>
      </c>
      <c r="D367" s="996">
        <v>5108.53</v>
      </c>
      <c r="E367" s="996">
        <v>66015.789999999994</v>
      </c>
      <c r="F367" s="994" t="s">
        <v>1154</v>
      </c>
      <c r="G367" s="994" t="s">
        <v>1186</v>
      </c>
      <c r="H367" s="971"/>
      <c r="I367" s="974"/>
      <c r="J367" s="974"/>
      <c r="K367" s="974"/>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994" t="s">
        <v>1249</v>
      </c>
      <c r="B368" s="994" t="s">
        <v>2472</v>
      </c>
      <c r="C368" s="996">
        <v>7526.67</v>
      </c>
      <c r="D368" s="996">
        <v>253.25</v>
      </c>
      <c r="E368" s="996">
        <v>7779.92</v>
      </c>
      <c r="F368" s="994" t="s">
        <v>1154</v>
      </c>
      <c r="G368" s="994" t="s">
        <v>1242</v>
      </c>
      <c r="H368" s="971"/>
      <c r="I368" s="974"/>
      <c r="J368" s="974"/>
      <c r="K368" s="974"/>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994" t="s">
        <v>1187</v>
      </c>
      <c r="B369" s="994" t="s">
        <v>2475</v>
      </c>
      <c r="C369" s="996">
        <v>24618.91</v>
      </c>
      <c r="D369" s="996">
        <v>3022.65</v>
      </c>
      <c r="E369" s="996">
        <v>27641.56</v>
      </c>
      <c r="F369" s="994" t="s">
        <v>1154</v>
      </c>
      <c r="G369" s="994" t="s">
        <v>1188</v>
      </c>
      <c r="H369" s="971"/>
      <c r="I369" s="974"/>
      <c r="J369" s="974"/>
      <c r="K369" s="974"/>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994" t="s">
        <v>1189</v>
      </c>
      <c r="B370" s="994" t="s">
        <v>2478</v>
      </c>
      <c r="C370" s="996">
        <v>13842.34</v>
      </c>
      <c r="D370" s="996">
        <v>852.51</v>
      </c>
      <c r="E370" s="996">
        <v>14694.85</v>
      </c>
      <c r="F370" s="994" t="s">
        <v>1154</v>
      </c>
      <c r="G370" s="994" t="s">
        <v>1190</v>
      </c>
      <c r="H370" s="971"/>
      <c r="I370" s="974"/>
      <c r="J370" s="974"/>
      <c r="K370" s="974"/>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994" t="s">
        <v>1191</v>
      </c>
      <c r="B371" s="994" t="s">
        <v>2481</v>
      </c>
      <c r="C371" s="996">
        <v>14620.18</v>
      </c>
      <c r="D371" s="996">
        <v>705.24</v>
      </c>
      <c r="E371" s="996">
        <v>15325.42</v>
      </c>
      <c r="F371" s="994" t="s">
        <v>1154</v>
      </c>
      <c r="G371" s="994" t="s">
        <v>1192</v>
      </c>
      <c r="H371" s="971"/>
      <c r="I371" s="974"/>
      <c r="J371" s="974"/>
      <c r="K371" s="974"/>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994" t="s">
        <v>1250</v>
      </c>
      <c r="B372" s="994" t="s">
        <v>2484</v>
      </c>
      <c r="C372" s="996">
        <v>147830.10999999999</v>
      </c>
      <c r="D372" s="996">
        <v>18216.68</v>
      </c>
      <c r="E372" s="996">
        <v>166046.79</v>
      </c>
      <c r="F372" s="994" t="s">
        <v>1154</v>
      </c>
      <c r="G372" s="994" t="s">
        <v>1194</v>
      </c>
      <c r="H372" s="971"/>
      <c r="I372" s="974"/>
      <c r="J372" s="974"/>
      <c r="K372" s="974"/>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994" t="s">
        <v>1195</v>
      </c>
      <c r="B373" s="994" t="s">
        <v>2487</v>
      </c>
      <c r="C373" s="996">
        <v>1179.08</v>
      </c>
      <c r="D373" s="996">
        <v>118.7</v>
      </c>
      <c r="E373" s="996">
        <v>1297.78</v>
      </c>
      <c r="F373" s="994" t="s">
        <v>1154</v>
      </c>
      <c r="G373" s="994" t="s">
        <v>1196</v>
      </c>
      <c r="H373" s="971"/>
      <c r="I373" s="974"/>
      <c r="J373" s="974"/>
      <c r="K373" s="974"/>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994" t="s">
        <v>1197</v>
      </c>
      <c r="B374" s="994" t="s">
        <v>2490</v>
      </c>
      <c r="C374" s="996">
        <v>47346.34</v>
      </c>
      <c r="D374" s="996">
        <v>3672.37</v>
      </c>
      <c r="E374" s="996">
        <v>51018.71</v>
      </c>
      <c r="F374" s="994" t="s">
        <v>1154</v>
      </c>
      <c r="G374" s="994" t="s">
        <v>1198</v>
      </c>
      <c r="H374" s="971"/>
      <c r="I374" s="974"/>
      <c r="J374" s="974"/>
      <c r="K374" s="974"/>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994" t="s">
        <v>1199</v>
      </c>
      <c r="B375" s="994" t="s">
        <v>2493</v>
      </c>
      <c r="C375" s="996">
        <v>8002.42</v>
      </c>
      <c r="D375" s="996">
        <v>706.52</v>
      </c>
      <c r="E375" s="996">
        <v>8708.94</v>
      </c>
      <c r="F375" s="994" t="s">
        <v>1154</v>
      </c>
      <c r="G375" s="994" t="s">
        <v>1200</v>
      </c>
      <c r="H375" s="971"/>
      <c r="I375" s="974"/>
      <c r="J375" s="974"/>
      <c r="K375" s="974"/>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994" t="s">
        <v>1201</v>
      </c>
      <c r="B376" s="994" t="s">
        <v>2496</v>
      </c>
      <c r="C376" s="996">
        <v>2872.32</v>
      </c>
      <c r="D376" s="996">
        <v>183.61</v>
      </c>
      <c r="E376" s="996">
        <v>3055.93</v>
      </c>
      <c r="F376" s="994" t="s">
        <v>1154</v>
      </c>
      <c r="G376" s="994" t="s">
        <v>1202</v>
      </c>
      <c r="H376" s="971"/>
      <c r="I376" s="974"/>
      <c r="J376" s="974"/>
      <c r="K376" s="974"/>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994" t="s">
        <v>1203</v>
      </c>
      <c r="B377" s="994" t="s">
        <v>2499</v>
      </c>
      <c r="C377" s="996">
        <v>2198.48</v>
      </c>
      <c r="D377" s="996">
        <v>198.38</v>
      </c>
      <c r="E377" s="996">
        <v>2396.86</v>
      </c>
      <c r="F377" s="994" t="s">
        <v>1154</v>
      </c>
      <c r="G377" s="994" t="s">
        <v>1204</v>
      </c>
      <c r="H377" s="971"/>
      <c r="I377" s="974"/>
      <c r="J377" s="974"/>
      <c r="K377" s="974"/>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994" t="s">
        <v>1251</v>
      </c>
      <c r="B378" s="994" t="s">
        <v>2502</v>
      </c>
      <c r="C378" s="996">
        <v>12345.83</v>
      </c>
      <c r="D378" s="996">
        <v>961.16</v>
      </c>
      <c r="E378" s="996">
        <v>13306.99</v>
      </c>
      <c r="F378" s="994" t="s">
        <v>1154</v>
      </c>
      <c r="G378" s="994" t="s">
        <v>1206</v>
      </c>
      <c r="H378" s="971"/>
      <c r="I378" s="974"/>
      <c r="J378" s="974"/>
      <c r="K378" s="974"/>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994" t="s">
        <v>1252</v>
      </c>
      <c r="B379" s="994" t="s">
        <v>3393</v>
      </c>
      <c r="C379" s="996">
        <v>20065.53</v>
      </c>
      <c r="D379" s="996">
        <v>1834.29</v>
      </c>
      <c r="E379" s="996">
        <v>21899.82</v>
      </c>
      <c r="F379" s="994" t="s">
        <v>1154</v>
      </c>
      <c r="G379" s="994" t="s">
        <v>1253</v>
      </c>
      <c r="H379" s="971"/>
      <c r="I379" s="974"/>
      <c r="J379" s="974"/>
      <c r="K379" s="974"/>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994" t="s">
        <v>1209</v>
      </c>
      <c r="B380" s="994" t="s">
        <v>2505</v>
      </c>
      <c r="C380" s="996">
        <v>24793.53</v>
      </c>
      <c r="D380" s="996">
        <v>2398.16</v>
      </c>
      <c r="E380" s="996">
        <v>27191.69</v>
      </c>
      <c r="F380" s="994" t="s">
        <v>1154</v>
      </c>
      <c r="G380" s="994" t="s">
        <v>1210</v>
      </c>
      <c r="H380" s="971"/>
      <c r="I380" s="974"/>
      <c r="J380" s="974"/>
      <c r="K380" s="974"/>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994" t="s">
        <v>1211</v>
      </c>
      <c r="B381" s="994" t="s">
        <v>2508</v>
      </c>
      <c r="C381" s="996">
        <v>11390.28</v>
      </c>
      <c r="D381" s="996">
        <v>1035.48</v>
      </c>
      <c r="E381" s="996">
        <v>12425.76</v>
      </c>
      <c r="F381" s="994" t="s">
        <v>1154</v>
      </c>
      <c r="G381" s="994" t="s">
        <v>1212</v>
      </c>
      <c r="H381" s="971"/>
      <c r="I381" s="974"/>
      <c r="J381" s="974"/>
      <c r="K381" s="974"/>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994" t="s">
        <v>1254</v>
      </c>
      <c r="B382" s="994" t="s">
        <v>2514</v>
      </c>
      <c r="C382" s="996">
        <v>17496.59</v>
      </c>
      <c r="D382" s="996">
        <v>1186.6300000000001</v>
      </c>
      <c r="E382" s="996">
        <v>18683.22</v>
      </c>
      <c r="F382" s="994" t="s">
        <v>1154</v>
      </c>
      <c r="G382" s="994" t="s">
        <v>1255</v>
      </c>
      <c r="H382" s="971"/>
      <c r="I382" s="974"/>
      <c r="J382" s="974"/>
      <c r="K382" s="974"/>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994" t="s">
        <v>1256</v>
      </c>
      <c r="B383" s="994" t="s">
        <v>2517</v>
      </c>
      <c r="C383" s="996">
        <v>6679.89</v>
      </c>
      <c r="D383" s="996">
        <v>223.4</v>
      </c>
      <c r="E383" s="996">
        <v>6903.29</v>
      </c>
      <c r="F383" s="994" t="s">
        <v>1154</v>
      </c>
      <c r="G383" s="994" t="s">
        <v>1214</v>
      </c>
      <c r="H383" s="971"/>
      <c r="I383" s="974"/>
      <c r="J383" s="974"/>
      <c r="K383" s="974"/>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994" t="s">
        <v>1257</v>
      </c>
      <c r="B384" s="994" t="s">
        <v>2520</v>
      </c>
      <c r="C384" s="996">
        <v>68640</v>
      </c>
      <c r="D384" s="996">
        <v>6240</v>
      </c>
      <c r="E384" s="996">
        <v>74880</v>
      </c>
      <c r="F384" s="994" t="s">
        <v>1154</v>
      </c>
      <c r="G384" s="994" t="s">
        <v>1216</v>
      </c>
      <c r="H384" s="971"/>
      <c r="I384" s="974"/>
      <c r="J384" s="974"/>
      <c r="K384" s="974"/>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994" t="s">
        <v>1258</v>
      </c>
      <c r="B385" s="994" t="s">
        <v>2523</v>
      </c>
      <c r="C385" s="996">
        <v>11275.44</v>
      </c>
      <c r="D385" s="996">
        <v>1025.04</v>
      </c>
      <c r="E385" s="996">
        <v>12300.48</v>
      </c>
      <c r="F385" s="994" t="s">
        <v>1154</v>
      </c>
      <c r="G385" s="994" t="s">
        <v>1218</v>
      </c>
      <c r="H385" s="971"/>
      <c r="I385" s="974"/>
      <c r="J385" s="974"/>
      <c r="K385" s="974"/>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994" t="s">
        <v>1259</v>
      </c>
      <c r="B386" s="994" t="s">
        <v>2526</v>
      </c>
      <c r="C386" s="996">
        <v>13015.2</v>
      </c>
      <c r="D386" s="996">
        <v>397.45</v>
      </c>
      <c r="E386" s="996">
        <v>13412.65</v>
      </c>
      <c r="F386" s="994" t="s">
        <v>1154</v>
      </c>
      <c r="G386" s="994" t="s">
        <v>1220</v>
      </c>
      <c r="H386" s="971"/>
      <c r="I386" s="974"/>
      <c r="J386" s="974"/>
      <c r="K386" s="974"/>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994" t="s">
        <v>1260</v>
      </c>
      <c r="B387" s="994" t="s">
        <v>2529</v>
      </c>
      <c r="C387" s="996">
        <v>8659.2000000000007</v>
      </c>
      <c r="D387" s="996">
        <v>787.2</v>
      </c>
      <c r="E387" s="996">
        <v>9446.4</v>
      </c>
      <c r="F387" s="994" t="s">
        <v>1154</v>
      </c>
      <c r="G387" s="994" t="s">
        <v>1222</v>
      </c>
      <c r="H387" s="971"/>
      <c r="I387" s="974"/>
      <c r="J387" s="974"/>
      <c r="K387" s="974"/>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994" t="s">
        <v>1261</v>
      </c>
      <c r="B388" s="994" t="s">
        <v>2532</v>
      </c>
      <c r="C388" s="996">
        <v>16409.599999999999</v>
      </c>
      <c r="D388" s="996">
        <v>1469.6</v>
      </c>
      <c r="E388" s="996">
        <v>17879.2</v>
      </c>
      <c r="F388" s="994" t="s">
        <v>1154</v>
      </c>
      <c r="G388" s="994" t="s">
        <v>1224</v>
      </c>
      <c r="H388" s="971"/>
      <c r="I388" s="974"/>
      <c r="J388" s="974"/>
      <c r="K388" s="974"/>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994" t="s">
        <v>1262</v>
      </c>
      <c r="B389" s="994" t="s">
        <v>3395</v>
      </c>
      <c r="C389" s="996">
        <v>326.92</v>
      </c>
      <c r="D389" s="996">
        <v>0</v>
      </c>
      <c r="E389" s="996">
        <v>326.92</v>
      </c>
      <c r="F389" s="994" t="s">
        <v>1154</v>
      </c>
      <c r="G389" s="994" t="s">
        <v>1263</v>
      </c>
      <c r="H389" s="971"/>
      <c r="I389" s="974"/>
      <c r="J389" s="974"/>
      <c r="K389" s="974"/>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994" t="s">
        <v>1158</v>
      </c>
      <c r="B390" s="994" t="s">
        <v>2535</v>
      </c>
      <c r="C390" s="996">
        <v>4867.87</v>
      </c>
      <c r="D390" s="996">
        <v>1987.13</v>
      </c>
      <c r="E390" s="996">
        <v>6855</v>
      </c>
      <c r="F390" s="994" t="s">
        <v>1154</v>
      </c>
      <c r="G390" s="994" t="s">
        <v>1242</v>
      </c>
      <c r="H390" s="971"/>
      <c r="I390" s="974"/>
      <c r="J390" s="974"/>
      <c r="K390" s="974"/>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994" t="s">
        <v>1166</v>
      </c>
      <c r="B391" s="994" t="s">
        <v>2541</v>
      </c>
      <c r="C391" s="996">
        <v>264.8</v>
      </c>
      <c r="D391" s="996">
        <v>0.09</v>
      </c>
      <c r="E391" s="996">
        <v>264.89</v>
      </c>
      <c r="F391" s="994" t="s">
        <v>1154</v>
      </c>
      <c r="G391" s="994" t="s">
        <v>1167</v>
      </c>
      <c r="H391" s="971"/>
      <c r="I391" s="974"/>
      <c r="J391" s="974"/>
      <c r="K391" s="974"/>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994" t="s">
        <v>1169</v>
      </c>
      <c r="B392" s="994" t="s">
        <v>2547</v>
      </c>
      <c r="C392" s="996">
        <v>4449.6899999999996</v>
      </c>
      <c r="D392" s="996">
        <v>464.99</v>
      </c>
      <c r="E392" s="996">
        <v>4914.68</v>
      </c>
      <c r="F392" s="994" t="s">
        <v>1154</v>
      </c>
      <c r="G392" s="994" t="s">
        <v>1170</v>
      </c>
      <c r="H392" s="971"/>
      <c r="I392" s="974"/>
      <c r="J392" s="974"/>
      <c r="K392" s="974"/>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994" t="s">
        <v>1171</v>
      </c>
      <c r="B393" s="994" t="s">
        <v>2550</v>
      </c>
      <c r="C393" s="996">
        <v>10420.68</v>
      </c>
      <c r="D393" s="996">
        <v>901.88</v>
      </c>
      <c r="E393" s="996">
        <v>11322.56</v>
      </c>
      <c r="F393" s="994" t="s">
        <v>1154</v>
      </c>
      <c r="G393" s="994" t="s">
        <v>1172</v>
      </c>
      <c r="H393" s="971"/>
      <c r="I393" s="974"/>
      <c r="J393" s="974"/>
      <c r="K393" s="974"/>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994" t="s">
        <v>1244</v>
      </c>
      <c r="B394" s="994" t="s">
        <v>2553</v>
      </c>
      <c r="C394" s="996">
        <v>4751.8599999999997</v>
      </c>
      <c r="D394" s="996">
        <v>1093.06</v>
      </c>
      <c r="E394" s="996">
        <v>5844.92</v>
      </c>
      <c r="F394" s="994" t="s">
        <v>1154</v>
      </c>
      <c r="G394" s="994" t="s">
        <v>1174</v>
      </c>
      <c r="H394" s="971"/>
      <c r="I394" s="974"/>
      <c r="J394" s="974"/>
      <c r="K394" s="974"/>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994" t="s">
        <v>1175</v>
      </c>
      <c r="B395" s="994" t="s">
        <v>2556</v>
      </c>
      <c r="C395" s="996">
        <v>4798.2</v>
      </c>
      <c r="D395" s="996">
        <v>0.83</v>
      </c>
      <c r="E395" s="996">
        <v>4799.03</v>
      </c>
      <c r="F395" s="994" t="s">
        <v>1154</v>
      </c>
      <c r="G395" s="994" t="s">
        <v>1176</v>
      </c>
      <c r="H395" s="971"/>
      <c r="I395" s="974"/>
      <c r="J395" s="974"/>
      <c r="K395" s="974"/>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994" t="s">
        <v>1245</v>
      </c>
      <c r="B396" s="994" t="s">
        <v>2559</v>
      </c>
      <c r="C396" s="996">
        <v>43101.17</v>
      </c>
      <c r="D396" s="996">
        <v>1713.86</v>
      </c>
      <c r="E396" s="996">
        <v>44815.03</v>
      </c>
      <c r="F396" s="994" t="s">
        <v>1154</v>
      </c>
      <c r="G396" s="994" t="s">
        <v>1246</v>
      </c>
      <c r="H396" s="971"/>
      <c r="I396" s="974"/>
      <c r="J396" s="974"/>
      <c r="K396" s="974"/>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994" t="s">
        <v>1229</v>
      </c>
      <c r="B397" s="994" t="s">
        <v>2562</v>
      </c>
      <c r="C397" s="996">
        <v>7570.51</v>
      </c>
      <c r="D397" s="996">
        <v>1911.82</v>
      </c>
      <c r="E397" s="996">
        <v>9482.33</v>
      </c>
      <c r="F397" s="994" t="s">
        <v>1154</v>
      </c>
      <c r="G397" s="994" t="s">
        <v>1178</v>
      </c>
      <c r="H397" s="971"/>
      <c r="I397" s="974"/>
      <c r="J397" s="974"/>
      <c r="K397" s="974"/>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994" t="s">
        <v>1179</v>
      </c>
      <c r="B398" s="994" t="s">
        <v>2565</v>
      </c>
      <c r="C398" s="996">
        <v>3076.99</v>
      </c>
      <c r="D398" s="996">
        <v>792.61</v>
      </c>
      <c r="E398" s="996">
        <v>3869.6</v>
      </c>
      <c r="F398" s="994" t="s">
        <v>1154</v>
      </c>
      <c r="G398" s="994" t="s">
        <v>1180</v>
      </c>
      <c r="H398" s="971"/>
      <c r="I398" s="974"/>
      <c r="J398" s="974"/>
      <c r="K398" s="974"/>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994" t="s">
        <v>1181</v>
      </c>
      <c r="B399" s="994" t="s">
        <v>2568</v>
      </c>
      <c r="C399" s="996">
        <v>17061.650000000001</v>
      </c>
      <c r="D399" s="996">
        <v>3312.66</v>
      </c>
      <c r="E399" s="996">
        <v>20374.310000000001</v>
      </c>
      <c r="F399" s="994" t="s">
        <v>1154</v>
      </c>
      <c r="G399" s="994" t="s">
        <v>1182</v>
      </c>
      <c r="H399" s="971"/>
      <c r="I399" s="974"/>
      <c r="J399" s="974"/>
      <c r="K399" s="974"/>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994" t="s">
        <v>1264</v>
      </c>
      <c r="B400" s="994" t="s">
        <v>3396</v>
      </c>
      <c r="C400" s="996">
        <v>0</v>
      </c>
      <c r="D400" s="996">
        <v>69.39</v>
      </c>
      <c r="E400" s="996">
        <v>69.39</v>
      </c>
      <c r="F400" s="994" t="s">
        <v>1154</v>
      </c>
      <c r="G400" s="994" t="s">
        <v>1184</v>
      </c>
      <c r="H400" s="971"/>
      <c r="I400" s="974"/>
      <c r="J400" s="974"/>
      <c r="K400" s="974"/>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994" t="s">
        <v>1231</v>
      </c>
      <c r="B401" s="994" t="s">
        <v>2571</v>
      </c>
      <c r="C401" s="996">
        <v>13891.64</v>
      </c>
      <c r="D401" s="996">
        <v>967.02</v>
      </c>
      <c r="E401" s="996">
        <v>14858.66</v>
      </c>
      <c r="F401" s="994" t="s">
        <v>1154</v>
      </c>
      <c r="G401" s="994" t="s">
        <v>1186</v>
      </c>
      <c r="H401" s="971"/>
      <c r="I401" s="974"/>
      <c r="J401" s="974"/>
      <c r="K401" s="974"/>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994" t="s">
        <v>1187</v>
      </c>
      <c r="B402" s="994" t="s">
        <v>2577</v>
      </c>
      <c r="C402" s="996">
        <v>71.010000000000005</v>
      </c>
      <c r="D402" s="996">
        <v>0</v>
      </c>
      <c r="E402" s="996">
        <v>71.010000000000005</v>
      </c>
      <c r="F402" s="994" t="s">
        <v>1154</v>
      </c>
      <c r="G402" s="994" t="s">
        <v>1188</v>
      </c>
      <c r="H402" s="971"/>
      <c r="I402" s="974"/>
      <c r="J402" s="974"/>
      <c r="K402" s="974"/>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994" t="s">
        <v>1191</v>
      </c>
      <c r="B403" s="994" t="s">
        <v>2583</v>
      </c>
      <c r="C403" s="996">
        <v>645.66999999999996</v>
      </c>
      <c r="D403" s="996">
        <v>151.47</v>
      </c>
      <c r="E403" s="996">
        <v>797.14</v>
      </c>
      <c r="F403" s="994" t="s">
        <v>1154</v>
      </c>
      <c r="G403" s="994" t="s">
        <v>1192</v>
      </c>
      <c r="H403" s="971"/>
      <c r="I403" s="974"/>
      <c r="J403" s="974"/>
      <c r="K403" s="974"/>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994" t="s">
        <v>1193</v>
      </c>
      <c r="B404" s="994" t="s">
        <v>2586</v>
      </c>
      <c r="C404" s="996">
        <v>5989.78</v>
      </c>
      <c r="D404" s="996">
        <v>1413.08</v>
      </c>
      <c r="E404" s="996">
        <v>7402.86</v>
      </c>
      <c r="F404" s="994" t="s">
        <v>1154</v>
      </c>
      <c r="G404" s="994" t="s">
        <v>1194</v>
      </c>
      <c r="H404" s="971"/>
      <c r="I404" s="974"/>
      <c r="J404" s="974"/>
      <c r="K404" s="974"/>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994" t="s">
        <v>1195</v>
      </c>
      <c r="B405" s="994" t="s">
        <v>2589</v>
      </c>
      <c r="C405" s="996">
        <v>343.91</v>
      </c>
      <c r="D405" s="996">
        <v>34.619999999999997</v>
      </c>
      <c r="E405" s="996">
        <v>378.53</v>
      </c>
      <c r="F405" s="994" t="s">
        <v>1154</v>
      </c>
      <c r="G405" s="994" t="s">
        <v>1196</v>
      </c>
      <c r="H405" s="971"/>
      <c r="I405" s="974"/>
      <c r="J405" s="974"/>
      <c r="K405" s="974"/>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994" t="s">
        <v>1197</v>
      </c>
      <c r="B406" s="994" t="s">
        <v>2594</v>
      </c>
      <c r="C406" s="996">
        <v>15576.16</v>
      </c>
      <c r="D406" s="996">
        <v>1539.65</v>
      </c>
      <c r="E406" s="996">
        <v>17115.810000000001</v>
      </c>
      <c r="F406" s="994" t="s">
        <v>1154</v>
      </c>
      <c r="G406" s="994" t="s">
        <v>1198</v>
      </c>
      <c r="H406" s="971"/>
      <c r="I406" s="974"/>
      <c r="J406" s="974"/>
      <c r="K406" s="974"/>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994" t="s">
        <v>1199</v>
      </c>
      <c r="B407" s="994" t="s">
        <v>2597</v>
      </c>
      <c r="C407" s="996">
        <v>1673.49</v>
      </c>
      <c r="D407" s="996">
        <v>206.08</v>
      </c>
      <c r="E407" s="996">
        <v>1879.57</v>
      </c>
      <c r="F407" s="994" t="s">
        <v>1154</v>
      </c>
      <c r="G407" s="994" t="s">
        <v>1200</v>
      </c>
      <c r="H407" s="971"/>
      <c r="I407" s="974"/>
      <c r="J407" s="974"/>
      <c r="K407" s="974"/>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994" t="s">
        <v>1201</v>
      </c>
      <c r="B408" s="994" t="s">
        <v>2600</v>
      </c>
      <c r="C408" s="996">
        <v>532.5</v>
      </c>
      <c r="D408" s="996">
        <v>22.77</v>
      </c>
      <c r="E408" s="996">
        <v>555.27</v>
      </c>
      <c r="F408" s="994" t="s">
        <v>1154</v>
      </c>
      <c r="G408" s="994" t="s">
        <v>1202</v>
      </c>
      <c r="H408" s="971"/>
      <c r="I408" s="974"/>
      <c r="J408" s="974"/>
      <c r="K408" s="974"/>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994" t="s">
        <v>1203</v>
      </c>
      <c r="B409" s="994" t="s">
        <v>2603</v>
      </c>
      <c r="C409" s="996">
        <v>641.25</v>
      </c>
      <c r="D409" s="996">
        <v>-0.82</v>
      </c>
      <c r="E409" s="996">
        <v>640.42999999999995</v>
      </c>
      <c r="F409" s="994" t="s">
        <v>1154</v>
      </c>
      <c r="G409" s="994" t="s">
        <v>1204</v>
      </c>
      <c r="H409" s="971"/>
      <c r="I409" s="974"/>
      <c r="J409" s="974"/>
      <c r="K409" s="974"/>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994" t="s">
        <v>1265</v>
      </c>
      <c r="B410" s="994" t="s">
        <v>2606</v>
      </c>
      <c r="C410" s="996">
        <v>2093.86</v>
      </c>
      <c r="D410" s="996">
        <v>163.26</v>
      </c>
      <c r="E410" s="996">
        <v>2257.12</v>
      </c>
      <c r="F410" s="994" t="s">
        <v>1154</v>
      </c>
      <c r="G410" s="994" t="s">
        <v>1206</v>
      </c>
      <c r="H410" s="971"/>
      <c r="I410" s="974"/>
      <c r="J410" s="974"/>
      <c r="K410" s="974"/>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994" t="s">
        <v>1266</v>
      </c>
      <c r="B411" s="994" t="s">
        <v>3397</v>
      </c>
      <c r="C411" s="996">
        <v>2205.9699999999998</v>
      </c>
      <c r="D411" s="996">
        <v>203.8</v>
      </c>
      <c r="E411" s="996">
        <v>2409.77</v>
      </c>
      <c r="F411" s="994" t="s">
        <v>1154</v>
      </c>
      <c r="G411" s="994" t="s">
        <v>1267</v>
      </c>
      <c r="H411" s="971"/>
      <c r="I411" s="974"/>
      <c r="J411" s="974"/>
      <c r="K411" s="974"/>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994" t="s">
        <v>1209</v>
      </c>
      <c r="B412" s="994" t="s">
        <v>2609</v>
      </c>
      <c r="C412" s="996">
        <v>6593.62</v>
      </c>
      <c r="D412" s="996">
        <v>538.54999999999995</v>
      </c>
      <c r="E412" s="996">
        <v>7132.17</v>
      </c>
      <c r="F412" s="994" t="s">
        <v>1154</v>
      </c>
      <c r="G412" s="994" t="s">
        <v>1210</v>
      </c>
      <c r="H412" s="971"/>
      <c r="I412" s="974"/>
      <c r="J412" s="974"/>
      <c r="K412" s="974"/>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994" t="s">
        <v>1211</v>
      </c>
      <c r="B413" s="994" t="s">
        <v>2611</v>
      </c>
      <c r="C413" s="996">
        <v>3322.22</v>
      </c>
      <c r="D413" s="996">
        <v>302.02</v>
      </c>
      <c r="E413" s="996">
        <v>3624.24</v>
      </c>
      <c r="F413" s="994" t="s">
        <v>1154</v>
      </c>
      <c r="G413" s="994" t="s">
        <v>1212</v>
      </c>
      <c r="H413" s="971"/>
      <c r="I413" s="974"/>
      <c r="J413" s="974"/>
      <c r="K413" s="974"/>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994" t="s">
        <v>1268</v>
      </c>
      <c r="B414" s="994" t="s">
        <v>2620</v>
      </c>
      <c r="C414" s="996">
        <v>1948.32</v>
      </c>
      <c r="D414" s="996">
        <v>65.17</v>
      </c>
      <c r="E414" s="996">
        <v>2013.49</v>
      </c>
      <c r="F414" s="994" t="s">
        <v>1154</v>
      </c>
      <c r="G414" s="994" t="s">
        <v>1214</v>
      </c>
      <c r="H414" s="971"/>
      <c r="I414" s="974"/>
      <c r="J414" s="974"/>
      <c r="K414" s="974"/>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994" t="s">
        <v>1269</v>
      </c>
      <c r="B415" s="994" t="s">
        <v>2623</v>
      </c>
      <c r="C415" s="996">
        <v>20020</v>
      </c>
      <c r="D415" s="996">
        <v>1820</v>
      </c>
      <c r="E415" s="996">
        <v>21840</v>
      </c>
      <c r="F415" s="994" t="s">
        <v>1154</v>
      </c>
      <c r="G415" s="994" t="s">
        <v>1216</v>
      </c>
      <c r="H415" s="971"/>
      <c r="I415" s="974"/>
      <c r="J415" s="974"/>
      <c r="K415" s="974"/>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994" t="s">
        <v>1270</v>
      </c>
      <c r="B416" s="994" t="s">
        <v>2625</v>
      </c>
      <c r="C416" s="996">
        <v>3288.67</v>
      </c>
      <c r="D416" s="996">
        <v>298.97000000000003</v>
      </c>
      <c r="E416" s="996">
        <v>3587.64</v>
      </c>
      <c r="F416" s="994" t="s">
        <v>1154</v>
      </c>
      <c r="G416" s="994" t="s">
        <v>1218</v>
      </c>
      <c r="H416" s="971"/>
      <c r="I416" s="974"/>
      <c r="J416" s="974"/>
      <c r="K416" s="974"/>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994" t="s">
        <v>1271</v>
      </c>
      <c r="B417" s="994" t="s">
        <v>2627</v>
      </c>
      <c r="C417" s="996">
        <v>3796.1</v>
      </c>
      <c r="D417" s="996">
        <v>115.92</v>
      </c>
      <c r="E417" s="996">
        <v>3912.02</v>
      </c>
      <c r="F417" s="994" t="s">
        <v>1154</v>
      </c>
      <c r="G417" s="994" t="s">
        <v>1220</v>
      </c>
      <c r="H417" s="969"/>
      <c r="I417" s="969"/>
      <c r="J417" s="969"/>
      <c r="K417" s="969"/>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994" t="s">
        <v>1272</v>
      </c>
      <c r="B418" s="994" t="s">
        <v>2630</v>
      </c>
      <c r="C418" s="996">
        <v>2525.6</v>
      </c>
      <c r="D418" s="996">
        <v>229.6</v>
      </c>
      <c r="E418" s="996">
        <v>2755.2</v>
      </c>
      <c r="F418" s="994" t="s">
        <v>1154</v>
      </c>
      <c r="G418" s="994" t="s">
        <v>1222</v>
      </c>
      <c r="H418" s="969"/>
      <c r="I418" s="969"/>
      <c r="J418" s="969"/>
      <c r="K418" s="969"/>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994" t="s">
        <v>1273</v>
      </c>
      <c r="B419" s="994" t="s">
        <v>2632</v>
      </c>
      <c r="C419" s="996">
        <v>4714.93</v>
      </c>
      <c r="D419" s="996">
        <v>428.63</v>
      </c>
      <c r="E419" s="996">
        <v>5143.5600000000004</v>
      </c>
      <c r="F419" s="994" t="s">
        <v>1154</v>
      </c>
      <c r="G419" s="994" t="s">
        <v>1224</v>
      </c>
      <c r="H419" s="969"/>
      <c r="I419" s="969"/>
      <c r="J419" s="969"/>
      <c r="K419" s="969"/>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994" t="s">
        <v>1158</v>
      </c>
      <c r="B420" s="994" t="s">
        <v>2647</v>
      </c>
      <c r="C420" s="996">
        <v>15698.2</v>
      </c>
      <c r="D420" s="996">
        <v>1541.8</v>
      </c>
      <c r="E420" s="996">
        <v>17240</v>
      </c>
      <c r="F420" s="994" t="s">
        <v>1154</v>
      </c>
      <c r="G420" s="994" t="s">
        <v>1242</v>
      </c>
      <c r="H420" s="969"/>
      <c r="I420" s="969"/>
      <c r="J420" s="969"/>
      <c r="K420" s="969"/>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994" t="s">
        <v>1166</v>
      </c>
      <c r="B421" s="994" t="s">
        <v>2653</v>
      </c>
      <c r="C421" s="996">
        <v>40647.550000000003</v>
      </c>
      <c r="D421" s="996">
        <v>3055.88</v>
      </c>
      <c r="E421" s="996">
        <v>43703.43</v>
      </c>
      <c r="F421" s="994" t="s">
        <v>1154</v>
      </c>
      <c r="G421" s="994" t="s">
        <v>1167</v>
      </c>
      <c r="H421" s="969"/>
      <c r="I421" s="969"/>
      <c r="J421" s="969"/>
      <c r="K421" s="969"/>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994" t="s">
        <v>1274</v>
      </c>
      <c r="B422" s="994" t="s">
        <v>2656</v>
      </c>
      <c r="C422" s="996">
        <v>35596.42</v>
      </c>
      <c r="D422" s="996">
        <v>3719.89</v>
      </c>
      <c r="E422" s="996">
        <v>39316.31</v>
      </c>
      <c r="F422" s="994" t="s">
        <v>1154</v>
      </c>
      <c r="G422" s="994" t="s">
        <v>1170</v>
      </c>
      <c r="H422" s="969"/>
      <c r="I422" s="969"/>
      <c r="J422" s="969"/>
      <c r="K422" s="969"/>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994" t="s">
        <v>1171</v>
      </c>
      <c r="B423" s="994" t="s">
        <v>2659</v>
      </c>
      <c r="C423" s="996">
        <v>49956</v>
      </c>
      <c r="D423" s="996">
        <v>5362.67</v>
      </c>
      <c r="E423" s="996">
        <v>55318.67</v>
      </c>
      <c r="F423" s="994" t="s">
        <v>1154</v>
      </c>
      <c r="G423" s="994" t="s">
        <v>1172</v>
      </c>
      <c r="H423" s="969"/>
      <c r="I423" s="969"/>
      <c r="J423" s="969"/>
      <c r="K423" s="969"/>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994" t="s">
        <v>1173</v>
      </c>
      <c r="B424" s="994" t="s">
        <v>2662</v>
      </c>
      <c r="C424" s="996">
        <v>38014.53</v>
      </c>
      <c r="D424" s="996">
        <v>10289.719999999999</v>
      </c>
      <c r="E424" s="996">
        <v>48304.25</v>
      </c>
      <c r="F424" s="994" t="s">
        <v>1154</v>
      </c>
      <c r="G424" s="994" t="s">
        <v>1174</v>
      </c>
      <c r="H424" s="969"/>
      <c r="I424" s="969"/>
      <c r="J424" s="969"/>
      <c r="K424" s="969"/>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994" t="s">
        <v>1175</v>
      </c>
      <c r="B425" s="994" t="s">
        <v>2665</v>
      </c>
      <c r="C425" s="996">
        <v>249777.5</v>
      </c>
      <c r="D425" s="996">
        <v>17362.310000000001</v>
      </c>
      <c r="E425" s="996">
        <v>267139.81</v>
      </c>
      <c r="F425" s="994" t="s">
        <v>1154</v>
      </c>
      <c r="G425" s="994" t="s">
        <v>1176</v>
      </c>
      <c r="H425" s="969"/>
      <c r="I425" s="970"/>
      <c r="J425" s="970"/>
      <c r="K425" s="970"/>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994" t="s">
        <v>1275</v>
      </c>
      <c r="B426" s="994" t="s">
        <v>2668</v>
      </c>
      <c r="C426" s="996">
        <v>34926.6</v>
      </c>
      <c r="D426" s="996">
        <v>7703.06</v>
      </c>
      <c r="E426" s="996">
        <v>42629.66</v>
      </c>
      <c r="F426" s="994" t="s">
        <v>1154</v>
      </c>
      <c r="G426" s="994" t="s">
        <v>1178</v>
      </c>
      <c r="H426" s="969"/>
      <c r="I426" s="970"/>
      <c r="J426" s="970"/>
      <c r="K426" s="970"/>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994" t="s">
        <v>1179</v>
      </c>
      <c r="B427" s="994" t="s">
        <v>2671</v>
      </c>
      <c r="C427" s="996">
        <v>-820.61</v>
      </c>
      <c r="D427" s="996">
        <v>-1941.53</v>
      </c>
      <c r="E427" s="996">
        <v>-2762.14</v>
      </c>
      <c r="F427" s="994" t="s">
        <v>1154</v>
      </c>
      <c r="G427" s="994" t="s">
        <v>1180</v>
      </c>
      <c r="H427" s="969"/>
      <c r="I427" s="970"/>
      <c r="J427" s="970"/>
      <c r="K427" s="970"/>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994" t="s">
        <v>1181</v>
      </c>
      <c r="B428" s="994" t="s">
        <v>2674</v>
      </c>
      <c r="C428" s="996">
        <v>71294.55</v>
      </c>
      <c r="D428" s="996">
        <v>12117.09</v>
      </c>
      <c r="E428" s="996">
        <v>83411.64</v>
      </c>
      <c r="F428" s="994" t="s">
        <v>1154</v>
      </c>
      <c r="G428" s="994" t="s">
        <v>1182</v>
      </c>
      <c r="H428" s="969"/>
      <c r="I428" s="970"/>
      <c r="J428" s="970"/>
      <c r="K428" s="970"/>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994" t="s">
        <v>1276</v>
      </c>
      <c r="B429" s="994" t="s">
        <v>2677</v>
      </c>
      <c r="C429" s="996">
        <v>564.07000000000005</v>
      </c>
      <c r="D429" s="996">
        <v>448.95</v>
      </c>
      <c r="E429" s="996">
        <v>1013.02</v>
      </c>
      <c r="F429" s="994" t="s">
        <v>1154</v>
      </c>
      <c r="G429" s="994" t="s">
        <v>1184</v>
      </c>
      <c r="H429" s="969"/>
      <c r="I429" s="970"/>
      <c r="J429" s="970"/>
      <c r="K429" s="970"/>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994" t="s">
        <v>1231</v>
      </c>
      <c r="B430" s="994" t="s">
        <v>2680</v>
      </c>
      <c r="C430" s="996">
        <v>49809.11</v>
      </c>
      <c r="D430" s="996">
        <v>3733.42</v>
      </c>
      <c r="E430" s="996">
        <v>53542.53</v>
      </c>
      <c r="F430" s="994" t="s">
        <v>1154</v>
      </c>
      <c r="G430" s="994" t="s">
        <v>1186</v>
      </c>
      <c r="H430" s="969"/>
      <c r="I430" s="970"/>
      <c r="J430" s="970"/>
      <c r="K430" s="970"/>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994" t="s">
        <v>1187</v>
      </c>
      <c r="B431" s="994" t="s">
        <v>2684</v>
      </c>
      <c r="C431" s="996">
        <v>758.35</v>
      </c>
      <c r="D431" s="996">
        <v>0</v>
      </c>
      <c r="E431" s="996">
        <v>758.35</v>
      </c>
      <c r="F431" s="994" t="s">
        <v>1154</v>
      </c>
      <c r="G431" s="994" t="s">
        <v>1188</v>
      </c>
      <c r="H431" s="969"/>
      <c r="I431" s="970"/>
      <c r="J431" s="970"/>
      <c r="K431" s="970"/>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994" t="s">
        <v>1191</v>
      </c>
      <c r="B432" s="994" t="s">
        <v>2690</v>
      </c>
      <c r="C432" s="996">
        <v>2305.92</v>
      </c>
      <c r="D432" s="996">
        <v>540.99</v>
      </c>
      <c r="E432" s="996">
        <v>2846.91</v>
      </c>
      <c r="F432" s="994" t="s">
        <v>1154</v>
      </c>
      <c r="G432" s="994" t="s">
        <v>1192</v>
      </c>
      <c r="H432" s="969"/>
      <c r="I432" s="970"/>
      <c r="J432" s="970"/>
      <c r="K432" s="970"/>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994" t="s">
        <v>1193</v>
      </c>
      <c r="B433" s="994" t="s">
        <v>2693</v>
      </c>
      <c r="C433" s="996">
        <v>4664.04</v>
      </c>
      <c r="D433" s="996">
        <v>3404.66</v>
      </c>
      <c r="E433" s="996">
        <v>8068.7</v>
      </c>
      <c r="F433" s="994" t="s">
        <v>1154</v>
      </c>
      <c r="G433" s="994" t="s">
        <v>1194</v>
      </c>
      <c r="H433" s="984"/>
      <c r="I433" s="984"/>
      <c r="J433" s="984"/>
      <c r="K433" s="984"/>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994" t="s">
        <v>1195</v>
      </c>
      <c r="B434" s="994" t="s">
        <v>2696</v>
      </c>
      <c r="C434" s="996">
        <v>-39.020000000000003</v>
      </c>
      <c r="D434" s="996">
        <v>-234.31</v>
      </c>
      <c r="E434" s="996">
        <v>-273.33</v>
      </c>
      <c r="F434" s="994" t="s">
        <v>1154</v>
      </c>
      <c r="G434" s="994" t="s">
        <v>1196</v>
      </c>
      <c r="H434" s="984"/>
      <c r="I434" s="984"/>
      <c r="J434" s="984"/>
      <c r="K434" s="984"/>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994" t="s">
        <v>1197</v>
      </c>
      <c r="B435" s="994" t="s">
        <v>2698</v>
      </c>
      <c r="C435" s="996">
        <v>42316.63</v>
      </c>
      <c r="D435" s="996">
        <v>3747.75</v>
      </c>
      <c r="E435" s="996">
        <v>46064.38</v>
      </c>
      <c r="F435" s="994" t="s">
        <v>1154</v>
      </c>
      <c r="G435" s="994" t="s">
        <v>1198</v>
      </c>
      <c r="H435" s="984"/>
      <c r="I435" s="984"/>
      <c r="J435" s="984"/>
      <c r="K435" s="984"/>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994" t="s">
        <v>1199</v>
      </c>
      <c r="B436" s="994" t="s">
        <v>2701</v>
      </c>
      <c r="C436" s="996">
        <v>7184.77</v>
      </c>
      <c r="D436" s="996">
        <v>735.94</v>
      </c>
      <c r="E436" s="996">
        <v>7920.71</v>
      </c>
      <c r="F436" s="994" t="s">
        <v>1154</v>
      </c>
      <c r="G436" s="994" t="s">
        <v>1200</v>
      </c>
      <c r="H436" s="984"/>
      <c r="I436" s="984"/>
      <c r="J436" s="984"/>
      <c r="K436" s="984"/>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994" t="s">
        <v>1201</v>
      </c>
      <c r="B437" s="994" t="s">
        <v>2704</v>
      </c>
      <c r="C437" s="996">
        <v>1024.3499999999999</v>
      </c>
      <c r="D437" s="996">
        <v>81.28</v>
      </c>
      <c r="E437" s="996">
        <v>1105.6300000000001</v>
      </c>
      <c r="F437" s="994" t="s">
        <v>1154</v>
      </c>
      <c r="G437" s="994" t="s">
        <v>1202</v>
      </c>
      <c r="H437" s="984"/>
      <c r="I437" s="984"/>
      <c r="J437" s="984"/>
      <c r="K437" s="984"/>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994" t="s">
        <v>1203</v>
      </c>
      <c r="B438" s="994" t="s">
        <v>2707</v>
      </c>
      <c r="C438" s="996">
        <v>2290.08</v>
      </c>
      <c r="D438" s="996">
        <v>-2.94</v>
      </c>
      <c r="E438" s="996">
        <v>2287.14</v>
      </c>
      <c r="F438" s="994" t="s">
        <v>1154</v>
      </c>
      <c r="G438" s="994" t="s">
        <v>1204</v>
      </c>
      <c r="H438" s="984"/>
      <c r="I438" s="984"/>
      <c r="J438" s="984"/>
      <c r="K438" s="984"/>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994" t="s">
        <v>1277</v>
      </c>
      <c r="B439" s="994" t="s">
        <v>2710</v>
      </c>
      <c r="C439" s="996">
        <v>8090.64</v>
      </c>
      <c r="D439" s="996">
        <v>746.87</v>
      </c>
      <c r="E439" s="996">
        <v>8837.51</v>
      </c>
      <c r="F439" s="994" t="s">
        <v>1154</v>
      </c>
      <c r="G439" s="994" t="s">
        <v>1206</v>
      </c>
      <c r="H439" s="984"/>
      <c r="I439" s="984"/>
      <c r="J439" s="984"/>
      <c r="K439" s="984"/>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994" t="s">
        <v>1278</v>
      </c>
      <c r="B440" s="994" t="s">
        <v>3400</v>
      </c>
      <c r="C440" s="996">
        <v>17649.330000000002</v>
      </c>
      <c r="D440" s="996">
        <v>1630.49</v>
      </c>
      <c r="E440" s="996">
        <v>19279.82</v>
      </c>
      <c r="F440" s="994" t="s">
        <v>1154</v>
      </c>
      <c r="G440" s="994" t="s">
        <v>3338</v>
      </c>
      <c r="H440" s="984"/>
      <c r="I440" s="984"/>
      <c r="J440" s="984"/>
      <c r="K440" s="984"/>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994" t="s">
        <v>1209</v>
      </c>
      <c r="B441" s="994" t="s">
        <v>2713</v>
      </c>
      <c r="C441" s="996">
        <v>102477.14</v>
      </c>
      <c r="D441" s="996">
        <v>9918.16</v>
      </c>
      <c r="E441" s="996">
        <v>112395.3</v>
      </c>
      <c r="F441" s="994" t="s">
        <v>1154</v>
      </c>
      <c r="G441" s="994" t="s">
        <v>1210</v>
      </c>
      <c r="H441" s="984"/>
      <c r="I441" s="984"/>
      <c r="J441" s="984"/>
      <c r="K441" s="984"/>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994" t="s">
        <v>1211</v>
      </c>
      <c r="B442" s="994" t="s">
        <v>2716</v>
      </c>
      <c r="C442" s="996">
        <v>11864.82</v>
      </c>
      <c r="D442" s="996">
        <v>1078.6199999999999</v>
      </c>
      <c r="E442" s="996">
        <v>12943.44</v>
      </c>
      <c r="F442" s="994" t="s">
        <v>1154</v>
      </c>
      <c r="G442" s="994" t="s">
        <v>1212</v>
      </c>
      <c r="H442" s="984"/>
      <c r="I442" s="984"/>
      <c r="J442" s="984"/>
      <c r="K442" s="984"/>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994" t="s">
        <v>1279</v>
      </c>
      <c r="B443" s="994" t="s">
        <v>2725</v>
      </c>
      <c r="C443" s="996">
        <v>6958.19</v>
      </c>
      <c r="D443" s="996">
        <v>232.71</v>
      </c>
      <c r="E443" s="996">
        <v>7190.9</v>
      </c>
      <c r="F443" s="994" t="s">
        <v>1154</v>
      </c>
      <c r="G443" s="994" t="s">
        <v>1214</v>
      </c>
      <c r="H443" s="984"/>
      <c r="I443" s="984"/>
      <c r="J443" s="984"/>
      <c r="K443" s="984"/>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994" t="s">
        <v>1280</v>
      </c>
      <c r="B444" s="994" t="s">
        <v>2728</v>
      </c>
      <c r="C444" s="996">
        <v>71500</v>
      </c>
      <c r="D444" s="996">
        <v>6500</v>
      </c>
      <c r="E444" s="996">
        <v>78000</v>
      </c>
      <c r="F444" s="994" t="s">
        <v>1154</v>
      </c>
      <c r="G444" s="994" t="s">
        <v>1216</v>
      </c>
      <c r="H444" s="984"/>
      <c r="I444" s="984"/>
      <c r="J444" s="984"/>
      <c r="K444" s="984"/>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994" t="s">
        <v>1281</v>
      </c>
      <c r="B445" s="994" t="s">
        <v>2731</v>
      </c>
      <c r="C445" s="996">
        <v>11745.25</v>
      </c>
      <c r="D445" s="996">
        <v>1067.75</v>
      </c>
      <c r="E445" s="996">
        <v>12813</v>
      </c>
      <c r="F445" s="994" t="s">
        <v>1154</v>
      </c>
      <c r="G445" s="994" t="s">
        <v>1218</v>
      </c>
      <c r="H445" s="984"/>
      <c r="I445" s="984"/>
      <c r="J445" s="984"/>
      <c r="K445" s="984"/>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994" t="s">
        <v>1282</v>
      </c>
      <c r="B446" s="994" t="s">
        <v>2734</v>
      </c>
      <c r="C446" s="996">
        <v>13557.5</v>
      </c>
      <c r="D446" s="996">
        <v>414.01</v>
      </c>
      <c r="E446" s="996">
        <v>13971.51</v>
      </c>
      <c r="F446" s="994" t="s">
        <v>1154</v>
      </c>
      <c r="G446" s="994" t="s">
        <v>1220</v>
      </c>
      <c r="H446" s="984"/>
      <c r="I446" s="984"/>
      <c r="J446" s="984"/>
      <c r="K446" s="984"/>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994" t="s">
        <v>1283</v>
      </c>
      <c r="B447" s="994" t="s">
        <v>2737</v>
      </c>
      <c r="C447" s="996">
        <v>9020</v>
      </c>
      <c r="D447" s="996">
        <v>820</v>
      </c>
      <c r="E447" s="996">
        <v>9840</v>
      </c>
      <c r="F447" s="994" t="s">
        <v>1154</v>
      </c>
      <c r="G447" s="994" t="s">
        <v>1222</v>
      </c>
      <c r="H447" s="984"/>
      <c r="I447" s="985"/>
      <c r="J447" s="985"/>
      <c r="K447" s="985"/>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994" t="s">
        <v>1284</v>
      </c>
      <c r="B448" s="994" t="s">
        <v>2740</v>
      </c>
      <c r="C448" s="996">
        <v>16839.13</v>
      </c>
      <c r="D448" s="996">
        <v>1530.83</v>
      </c>
      <c r="E448" s="996">
        <v>18369.96</v>
      </c>
      <c r="F448" s="994" t="s">
        <v>1154</v>
      </c>
      <c r="G448" s="994" t="s">
        <v>1224</v>
      </c>
      <c r="H448" s="984"/>
      <c r="I448" s="985"/>
      <c r="J448" s="985"/>
      <c r="K448" s="985"/>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994" t="s">
        <v>3681</v>
      </c>
      <c r="B449" s="994" t="s">
        <v>3402</v>
      </c>
      <c r="C449" s="996">
        <v>0</v>
      </c>
      <c r="D449" s="996">
        <v>450</v>
      </c>
      <c r="E449" s="996">
        <v>450</v>
      </c>
      <c r="F449" s="994" t="s">
        <v>1285</v>
      </c>
      <c r="G449" s="994" t="s">
        <v>1286</v>
      </c>
      <c r="H449" s="986"/>
      <c r="I449" s="986"/>
      <c r="J449" s="986"/>
      <c r="K449" s="986"/>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994" t="s">
        <v>1287</v>
      </c>
      <c r="B450" s="994" t="s">
        <v>2751</v>
      </c>
      <c r="C450" s="996">
        <v>-648421.92000000004</v>
      </c>
      <c r="D450" s="996">
        <v>-45541</v>
      </c>
      <c r="E450" s="996">
        <v>-693962.92</v>
      </c>
      <c r="F450" s="994" t="s">
        <v>1285</v>
      </c>
      <c r="G450" s="994" t="s">
        <v>1286</v>
      </c>
      <c r="H450" s="986"/>
      <c r="I450" s="986"/>
      <c r="J450" s="986"/>
      <c r="K450" s="986"/>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994" t="s">
        <v>1288</v>
      </c>
      <c r="B451" s="994" t="s">
        <v>1289</v>
      </c>
      <c r="C451" s="996">
        <v>-69988.2</v>
      </c>
      <c r="D451" s="996">
        <v>-10129.6</v>
      </c>
      <c r="E451" s="996">
        <v>-80117.8</v>
      </c>
      <c r="F451" s="994" t="s">
        <v>1285</v>
      </c>
      <c r="G451" s="994" t="s">
        <v>1289</v>
      </c>
      <c r="H451" s="986"/>
      <c r="I451" s="987"/>
      <c r="J451" s="987"/>
      <c r="K451" s="987"/>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994" t="s">
        <v>3414</v>
      </c>
      <c r="B452" s="994" t="s">
        <v>2756</v>
      </c>
      <c r="C452" s="996">
        <v>-22000</v>
      </c>
      <c r="D452" s="996">
        <v>-21300</v>
      </c>
      <c r="E452" s="996">
        <v>-43300</v>
      </c>
      <c r="F452" s="994" t="s">
        <v>1285</v>
      </c>
      <c r="G452" s="994" t="s">
        <v>3415</v>
      </c>
      <c r="H452" s="986"/>
      <c r="I452" s="987"/>
      <c r="J452" s="987"/>
      <c r="K452" s="987"/>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994" t="s">
        <v>1290</v>
      </c>
      <c r="B453" s="994" t="s">
        <v>1291</v>
      </c>
      <c r="C453" s="996">
        <v>-107648.72</v>
      </c>
      <c r="D453" s="996">
        <v>-12066.34</v>
      </c>
      <c r="E453" s="996">
        <v>-119715.06</v>
      </c>
      <c r="F453" s="994" t="s">
        <v>1285</v>
      </c>
      <c r="G453" s="994" t="s">
        <v>1291</v>
      </c>
      <c r="H453" s="986"/>
      <c r="I453" s="987"/>
      <c r="J453" s="987"/>
      <c r="K453" s="987"/>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994" t="s">
        <v>1294</v>
      </c>
      <c r="B454" s="994" t="s">
        <v>1295</v>
      </c>
      <c r="C454" s="996">
        <v>-368418.67</v>
      </c>
      <c r="D454" s="996">
        <v>-16637.84</v>
      </c>
      <c r="E454" s="996">
        <v>-385056.51</v>
      </c>
      <c r="F454" s="994" t="s">
        <v>1285</v>
      </c>
      <c r="G454" s="994" t="s">
        <v>1295</v>
      </c>
      <c r="H454" s="986"/>
      <c r="I454" s="987"/>
      <c r="J454" s="987"/>
      <c r="K454" s="987"/>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994" t="s">
        <v>1297</v>
      </c>
      <c r="B455" s="994" t="s">
        <v>2763</v>
      </c>
      <c r="C455" s="996">
        <v>-8390.2000000000007</v>
      </c>
      <c r="D455" s="996">
        <v>0</v>
      </c>
      <c r="E455" s="996">
        <v>-8390.2000000000007</v>
      </c>
      <c r="F455" s="994" t="s">
        <v>1285</v>
      </c>
      <c r="G455" s="994" t="s">
        <v>1291</v>
      </c>
      <c r="H455" s="986"/>
      <c r="I455" s="987"/>
      <c r="J455" s="987"/>
      <c r="K455" s="987"/>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994" t="s">
        <v>1298</v>
      </c>
      <c r="B456" s="994" t="s">
        <v>2766</v>
      </c>
      <c r="C456" s="996">
        <v>-18601.68</v>
      </c>
      <c r="D456" s="996">
        <v>-714.39</v>
      </c>
      <c r="E456" s="996">
        <v>-19316.07</v>
      </c>
      <c r="F456" s="994" t="s">
        <v>1285</v>
      </c>
      <c r="G456" s="994" t="s">
        <v>1295</v>
      </c>
      <c r="H456" s="986"/>
      <c r="I456" s="987"/>
      <c r="J456" s="987"/>
      <c r="K456" s="987"/>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994" t="s">
        <v>1301</v>
      </c>
      <c r="B457" s="994" t="s">
        <v>2769</v>
      </c>
      <c r="C457" s="996">
        <v>-76480</v>
      </c>
      <c r="D457" s="996">
        <v>-4668.92</v>
      </c>
      <c r="E457" s="996">
        <v>-81148.92</v>
      </c>
      <c r="F457" s="994" t="s">
        <v>1285</v>
      </c>
      <c r="G457" s="994" t="s">
        <v>1291</v>
      </c>
      <c r="H457" s="986"/>
      <c r="I457" s="987"/>
      <c r="J457" s="987"/>
      <c r="K457" s="987"/>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994" t="s">
        <v>1302</v>
      </c>
      <c r="B458" s="994" t="s">
        <v>2772</v>
      </c>
      <c r="C458" s="996">
        <v>-381089.17</v>
      </c>
      <c r="D458" s="996">
        <v>-27825.1</v>
      </c>
      <c r="E458" s="996">
        <v>-408914.27</v>
      </c>
      <c r="F458" s="994" t="s">
        <v>1285</v>
      </c>
      <c r="G458" s="994" t="s">
        <v>1291</v>
      </c>
      <c r="H458" s="986"/>
      <c r="I458" s="987"/>
      <c r="J458" s="987"/>
      <c r="K458" s="987"/>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994" t="s">
        <v>1303</v>
      </c>
      <c r="B459" s="994" t="s">
        <v>2775</v>
      </c>
      <c r="C459" s="996">
        <v>-266443.45</v>
      </c>
      <c r="D459" s="996">
        <v>-15093</v>
      </c>
      <c r="E459" s="996">
        <v>-281536.45</v>
      </c>
      <c r="F459" s="994" t="s">
        <v>1285</v>
      </c>
      <c r="G459" s="994" t="s">
        <v>1295</v>
      </c>
      <c r="H459" s="986"/>
      <c r="I459" s="987"/>
      <c r="J459" s="987"/>
      <c r="K459" s="987"/>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994" t="s">
        <v>1306</v>
      </c>
      <c r="B460" s="994" t="s">
        <v>2778</v>
      </c>
      <c r="C460" s="996">
        <v>-177166.6</v>
      </c>
      <c r="D460" s="996">
        <v>-14368.87</v>
      </c>
      <c r="E460" s="996">
        <v>-191535.47</v>
      </c>
      <c r="F460" s="994" t="s">
        <v>1285</v>
      </c>
      <c r="G460" s="994" t="s">
        <v>1295</v>
      </c>
      <c r="H460" s="986"/>
      <c r="I460" s="987"/>
      <c r="J460" s="987"/>
      <c r="K460" s="987"/>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994" t="s">
        <v>1309</v>
      </c>
      <c r="B461" s="994" t="s">
        <v>2781</v>
      </c>
      <c r="C461" s="996">
        <v>-188181</v>
      </c>
      <c r="D461" s="996">
        <v>-14304</v>
      </c>
      <c r="E461" s="996">
        <v>-202485</v>
      </c>
      <c r="F461" s="994" t="s">
        <v>1285</v>
      </c>
      <c r="G461" s="994" t="s">
        <v>1310</v>
      </c>
      <c r="H461" s="986"/>
      <c r="I461" s="987"/>
      <c r="J461" s="987"/>
      <c r="K461" s="987"/>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994" t="s">
        <v>1311</v>
      </c>
      <c r="B462" s="994" t="s">
        <v>3403</v>
      </c>
      <c r="C462" s="996">
        <v>-119413.49</v>
      </c>
      <c r="D462" s="996">
        <v>-9570</v>
      </c>
      <c r="E462" s="996">
        <v>-128983.49</v>
      </c>
      <c r="F462" s="994" t="s">
        <v>1285</v>
      </c>
      <c r="G462" s="994" t="s">
        <v>1310</v>
      </c>
      <c r="H462" s="986"/>
      <c r="I462" s="987"/>
      <c r="J462" s="987"/>
      <c r="K462" s="987"/>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994" t="s">
        <v>1312</v>
      </c>
      <c r="B463" s="994" t="s">
        <v>1310</v>
      </c>
      <c r="C463" s="996">
        <v>-274209.42</v>
      </c>
      <c r="D463" s="996">
        <v>-1498.69</v>
      </c>
      <c r="E463" s="996">
        <v>-275708.11</v>
      </c>
      <c r="F463" s="994" t="s">
        <v>1285</v>
      </c>
      <c r="G463" s="994" t="s">
        <v>1310</v>
      </c>
      <c r="H463" s="986"/>
      <c r="I463" s="987"/>
      <c r="J463" s="987"/>
      <c r="K463" s="987"/>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994" t="s">
        <v>1313</v>
      </c>
      <c r="B464" s="994" t="s">
        <v>1315</v>
      </c>
      <c r="C464" s="996">
        <v>3300</v>
      </c>
      <c r="D464" s="996">
        <v>300</v>
      </c>
      <c r="E464" s="996">
        <v>3600</v>
      </c>
      <c r="F464" s="994" t="s">
        <v>1314</v>
      </c>
      <c r="G464" s="994" t="s">
        <v>1315</v>
      </c>
      <c r="H464" s="986"/>
      <c r="I464" s="987"/>
      <c r="J464" s="987"/>
      <c r="K464" s="987"/>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994" t="s">
        <v>1316</v>
      </c>
      <c r="B465" s="994" t="s">
        <v>2791</v>
      </c>
      <c r="C465" s="996">
        <v>1394.69</v>
      </c>
      <c r="D465" s="996">
        <v>126.79</v>
      </c>
      <c r="E465" s="996">
        <v>1521.48</v>
      </c>
      <c r="F465" s="994" t="s">
        <v>1314</v>
      </c>
      <c r="G465" s="994" t="s">
        <v>1315</v>
      </c>
      <c r="H465" s="995"/>
      <c r="I465" s="995"/>
      <c r="J465" s="995"/>
      <c r="K465" s="995"/>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994" t="s">
        <v>1299</v>
      </c>
      <c r="B466" s="994" t="s">
        <v>1300</v>
      </c>
      <c r="C466" s="995"/>
      <c r="D466" s="995"/>
      <c r="E466" s="995"/>
      <c r="F466" s="994" t="s">
        <v>7</v>
      </c>
      <c r="G466" s="994" t="s">
        <v>1295</v>
      </c>
      <c r="H466" s="995"/>
      <c r="I466" s="996">
        <v>-32</v>
      </c>
      <c r="J466" s="996">
        <v>-2</v>
      </c>
      <c r="K466" s="996">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994" t="s">
        <v>1304</v>
      </c>
      <c r="B467" s="994" t="s">
        <v>1305</v>
      </c>
      <c r="C467" s="995"/>
      <c r="D467" s="995"/>
      <c r="E467" s="995"/>
      <c r="F467" s="994" t="s">
        <v>7</v>
      </c>
      <c r="G467" s="994" t="s">
        <v>1295</v>
      </c>
      <c r="H467" s="995"/>
      <c r="I467" s="996">
        <v>-192</v>
      </c>
      <c r="J467" s="996">
        <v>-12</v>
      </c>
      <c r="K467" s="996">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994" t="s">
        <v>842</v>
      </c>
      <c r="B468" s="994" t="s">
        <v>843</v>
      </c>
      <c r="C468" s="995"/>
      <c r="D468" s="995"/>
      <c r="E468" s="995"/>
      <c r="F468" s="994" t="s">
        <v>7</v>
      </c>
      <c r="G468" s="994" t="s">
        <v>841</v>
      </c>
      <c r="H468" s="995"/>
      <c r="I468" s="996">
        <v>63</v>
      </c>
      <c r="J468" s="996">
        <v>-12</v>
      </c>
      <c r="K468" s="996">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994" t="s">
        <v>849</v>
      </c>
      <c r="B469" s="994" t="s">
        <v>850</v>
      </c>
      <c r="C469" s="995"/>
      <c r="D469" s="995"/>
      <c r="E469" s="995"/>
      <c r="F469" s="994" t="s">
        <v>7</v>
      </c>
      <c r="G469" s="994" t="s">
        <v>848</v>
      </c>
      <c r="H469" s="995"/>
      <c r="I469" s="996">
        <v>111</v>
      </c>
      <c r="J469" s="996">
        <v>-16</v>
      </c>
      <c r="K469" s="996">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994" t="s">
        <v>965</v>
      </c>
      <c r="B470" s="994" t="s">
        <v>966</v>
      </c>
      <c r="C470" s="995"/>
      <c r="D470" s="995"/>
      <c r="E470" s="995"/>
      <c r="F470" s="994" t="s">
        <v>7</v>
      </c>
      <c r="G470" s="994" t="s">
        <v>964</v>
      </c>
      <c r="H470" s="995"/>
      <c r="I470" s="996">
        <v>-239</v>
      </c>
      <c r="J470" s="996">
        <v>-10</v>
      </c>
      <c r="K470" s="996">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994" t="s">
        <v>969</v>
      </c>
      <c r="B471" s="994" t="s">
        <v>970</v>
      </c>
      <c r="C471" s="995"/>
      <c r="D471" s="995"/>
      <c r="E471" s="995"/>
      <c r="F471" s="994" t="s">
        <v>7</v>
      </c>
      <c r="G471" s="994" t="s">
        <v>968</v>
      </c>
      <c r="H471" s="995"/>
      <c r="I471" s="996">
        <v>-7</v>
      </c>
      <c r="J471" s="996">
        <v>0</v>
      </c>
      <c r="K471" s="996">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994" t="s">
        <v>971</v>
      </c>
      <c r="B472" s="994" t="s">
        <v>973</v>
      </c>
      <c r="C472" s="995"/>
      <c r="D472" s="995"/>
      <c r="E472" s="995"/>
      <c r="F472" s="994" t="s">
        <v>7</v>
      </c>
      <c r="G472" s="994" t="s">
        <v>972</v>
      </c>
      <c r="H472" s="995"/>
      <c r="I472" s="996">
        <v>-53</v>
      </c>
      <c r="J472" s="996">
        <v>-7</v>
      </c>
      <c r="K472" s="996">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994" t="s">
        <v>976</v>
      </c>
      <c r="B473" s="994" t="s">
        <v>977</v>
      </c>
      <c r="C473" s="995"/>
      <c r="D473" s="995"/>
      <c r="E473" s="995"/>
      <c r="F473" s="994" t="s">
        <v>7</v>
      </c>
      <c r="G473" s="994" t="s">
        <v>978</v>
      </c>
      <c r="H473" s="995"/>
      <c r="I473" s="996">
        <v>-109</v>
      </c>
      <c r="J473" s="996">
        <v>-2</v>
      </c>
      <c r="K473" s="996">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994" t="s">
        <v>981</v>
      </c>
      <c r="B474" s="994" t="s">
        <v>982</v>
      </c>
      <c r="C474" s="995"/>
      <c r="D474" s="995"/>
      <c r="E474" s="995"/>
      <c r="F474" s="994" t="s">
        <v>7</v>
      </c>
      <c r="G474" s="994" t="s">
        <v>980</v>
      </c>
      <c r="H474" s="995"/>
      <c r="I474" s="996">
        <v>-69</v>
      </c>
      <c r="J474" s="996">
        <v>-2</v>
      </c>
      <c r="K474" s="996">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994" t="s">
        <v>984</v>
      </c>
      <c r="B475" s="994" t="s">
        <v>985</v>
      </c>
      <c r="C475" s="995"/>
      <c r="D475" s="995"/>
      <c r="E475" s="995"/>
      <c r="F475" s="994" t="s">
        <v>7</v>
      </c>
      <c r="G475" s="994" t="s">
        <v>3348</v>
      </c>
      <c r="H475" s="995"/>
      <c r="I475" s="996">
        <v>-3</v>
      </c>
      <c r="J475" s="996">
        <v>0</v>
      </c>
      <c r="K475" s="996">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994" t="s">
        <v>988</v>
      </c>
      <c r="B476" s="994" t="s">
        <v>989</v>
      </c>
      <c r="C476" s="995"/>
      <c r="D476" s="995"/>
      <c r="E476" s="995"/>
      <c r="F476" s="994" t="s">
        <v>7</v>
      </c>
      <c r="G476" s="994" t="s">
        <v>987</v>
      </c>
      <c r="H476" s="995"/>
      <c r="I476" s="996">
        <v>-19</v>
      </c>
      <c r="J476" s="996">
        <v>0</v>
      </c>
      <c r="K476" s="996">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994" t="s">
        <v>992</v>
      </c>
      <c r="B477" s="994" t="s">
        <v>993</v>
      </c>
      <c r="C477" s="995"/>
      <c r="D477" s="995"/>
      <c r="E477" s="995"/>
      <c r="F477" s="994" t="s">
        <v>7</v>
      </c>
      <c r="G477" s="994" t="s">
        <v>991</v>
      </c>
      <c r="H477" s="995"/>
      <c r="I477" s="996">
        <v>-180</v>
      </c>
      <c r="J477" s="996">
        <v>-24</v>
      </c>
      <c r="K477" s="996">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994" t="s">
        <v>996</v>
      </c>
      <c r="B478" s="994" t="s">
        <v>997</v>
      </c>
      <c r="C478" s="995"/>
      <c r="D478" s="995"/>
      <c r="E478" s="995"/>
      <c r="F478" s="994" t="s">
        <v>7</v>
      </c>
      <c r="G478" s="994" t="s">
        <v>995</v>
      </c>
      <c r="H478" s="995"/>
      <c r="I478" s="996">
        <v>-17</v>
      </c>
      <c r="J478" s="996">
        <v>0</v>
      </c>
      <c r="K478" s="996">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994" t="s">
        <v>1000</v>
      </c>
      <c r="B479" s="994" t="s">
        <v>1001</v>
      </c>
      <c r="C479" s="995"/>
      <c r="D479" s="995"/>
      <c r="E479" s="995"/>
      <c r="F479" s="994" t="s">
        <v>7</v>
      </c>
      <c r="G479" s="994" t="s">
        <v>999</v>
      </c>
      <c r="H479" s="995"/>
      <c r="I479" s="996">
        <v>-40</v>
      </c>
      <c r="J479" s="996">
        <v>-2</v>
      </c>
      <c r="K479" s="996">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994" t="s">
        <v>1004</v>
      </c>
      <c r="B480" s="994" t="s">
        <v>1005</v>
      </c>
      <c r="C480" s="995"/>
      <c r="D480" s="995"/>
      <c r="E480" s="995"/>
      <c r="F480" s="994" t="s">
        <v>7</v>
      </c>
      <c r="G480" s="994" t="s">
        <v>1003</v>
      </c>
      <c r="H480" s="995"/>
      <c r="I480" s="996">
        <v>-20</v>
      </c>
      <c r="J480" s="996">
        <v>0</v>
      </c>
      <c r="K480" s="996">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994" t="s">
        <v>1008</v>
      </c>
      <c r="B481" s="994" t="s">
        <v>1009</v>
      </c>
      <c r="C481" s="995"/>
      <c r="D481" s="995"/>
      <c r="E481" s="995"/>
      <c r="F481" s="994" t="s">
        <v>7</v>
      </c>
      <c r="G481" s="994" t="s">
        <v>1007</v>
      </c>
      <c r="H481" s="995"/>
      <c r="I481" s="996">
        <v>-346</v>
      </c>
      <c r="J481" s="996">
        <v>-24</v>
      </c>
      <c r="K481" s="996">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994" t="s">
        <v>1012</v>
      </c>
      <c r="B482" s="994" t="s">
        <v>1013</v>
      </c>
      <c r="C482" s="995"/>
      <c r="D482" s="995"/>
      <c r="E482" s="995"/>
      <c r="F482" s="994" t="s">
        <v>7</v>
      </c>
      <c r="G482" s="994" t="s">
        <v>1011</v>
      </c>
      <c r="H482" s="995"/>
      <c r="I482" s="996">
        <v>0</v>
      </c>
      <c r="J482" s="996">
        <v>-1</v>
      </c>
      <c r="K482" s="996">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994" t="s">
        <v>1016</v>
      </c>
      <c r="B483" s="994" t="s">
        <v>1017</v>
      </c>
      <c r="C483" s="995"/>
      <c r="D483" s="995"/>
      <c r="E483" s="995"/>
      <c r="F483" s="994" t="s">
        <v>7</v>
      </c>
      <c r="G483" s="994" t="s">
        <v>1015</v>
      </c>
      <c r="H483" s="995"/>
      <c r="I483" s="996">
        <v>-10</v>
      </c>
      <c r="J483" s="996">
        <v>0</v>
      </c>
      <c r="K483" s="996">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994" t="s">
        <v>1020</v>
      </c>
      <c r="B484" s="994" t="s">
        <v>1021</v>
      </c>
      <c r="C484" s="995"/>
      <c r="D484" s="995"/>
      <c r="E484" s="995"/>
      <c r="F484" s="994" t="s">
        <v>7</v>
      </c>
      <c r="G484" s="994" t="s">
        <v>1019</v>
      </c>
      <c r="H484" s="995"/>
      <c r="I484" s="996">
        <v>-324</v>
      </c>
      <c r="J484" s="996">
        <v>-31</v>
      </c>
      <c r="K484" s="996">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994" t="s">
        <v>3670</v>
      </c>
      <c r="B485" s="994" t="s">
        <v>1024</v>
      </c>
      <c r="C485" s="995"/>
      <c r="D485" s="995"/>
      <c r="E485" s="995"/>
      <c r="F485" s="994" t="s">
        <v>7</v>
      </c>
      <c r="G485" s="994" t="s">
        <v>1023</v>
      </c>
      <c r="H485" s="995"/>
      <c r="I485" s="996">
        <v>-5411</v>
      </c>
      <c r="J485" s="996">
        <v>-370</v>
      </c>
      <c r="K485" s="996">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994" t="s">
        <v>3671</v>
      </c>
      <c r="B486" s="994" t="s">
        <v>1029</v>
      </c>
      <c r="C486" s="995"/>
      <c r="D486" s="995"/>
      <c r="E486" s="995"/>
      <c r="F486" s="994" t="s">
        <v>7</v>
      </c>
      <c r="G486" s="994" t="s">
        <v>1028</v>
      </c>
      <c r="H486" s="995"/>
      <c r="I486" s="996">
        <v>-2534</v>
      </c>
      <c r="J486" s="996">
        <v>-144</v>
      </c>
      <c r="K486" s="996">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994" t="s">
        <v>3672</v>
      </c>
      <c r="B487" s="994" t="s">
        <v>1032</v>
      </c>
      <c r="C487" s="995"/>
      <c r="D487" s="995"/>
      <c r="E487" s="995"/>
      <c r="F487" s="994" t="s">
        <v>7</v>
      </c>
      <c r="G487" s="994" t="s">
        <v>1031</v>
      </c>
      <c r="H487" s="995"/>
      <c r="I487" s="996">
        <v>-2104</v>
      </c>
      <c r="J487" s="996">
        <v>-196</v>
      </c>
      <c r="K487" s="996">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994" t="s">
        <v>1033</v>
      </c>
      <c r="B488" s="994" t="s">
        <v>1035</v>
      </c>
      <c r="C488" s="995"/>
      <c r="D488" s="995"/>
      <c r="E488" s="995"/>
      <c r="F488" s="994" t="s">
        <v>7</v>
      </c>
      <c r="G488" s="994" t="s">
        <v>1034</v>
      </c>
      <c r="H488" s="995"/>
      <c r="I488" s="996">
        <v>-4088</v>
      </c>
      <c r="J488" s="996">
        <v>-291</v>
      </c>
      <c r="K488" s="996">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994" t="s">
        <v>1036</v>
      </c>
      <c r="B489" s="994" t="s">
        <v>1038</v>
      </c>
      <c r="C489" s="995"/>
      <c r="D489" s="995"/>
      <c r="E489" s="995"/>
      <c r="F489" s="994" t="s">
        <v>7</v>
      </c>
      <c r="G489" s="994" t="s">
        <v>1037</v>
      </c>
      <c r="H489" s="995"/>
      <c r="I489" s="996">
        <v>-110</v>
      </c>
      <c r="J489" s="996">
        <v>-8</v>
      </c>
      <c r="K489" s="996">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994" t="s">
        <v>1041</v>
      </c>
      <c r="B490" s="994" t="s">
        <v>1042</v>
      </c>
      <c r="C490" s="995"/>
      <c r="D490" s="995"/>
      <c r="E490" s="995"/>
      <c r="F490" s="994" t="s">
        <v>7</v>
      </c>
      <c r="G490" s="994" t="s">
        <v>1040</v>
      </c>
      <c r="H490" s="995"/>
      <c r="I490" s="996">
        <v>-30</v>
      </c>
      <c r="J490" s="996">
        <v>-4</v>
      </c>
      <c r="K490" s="996">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994" t="s">
        <v>1045</v>
      </c>
      <c r="B491" s="994" t="s">
        <v>1046</v>
      </c>
      <c r="C491" s="995"/>
      <c r="D491" s="995"/>
      <c r="E491" s="995"/>
      <c r="F491" s="994" t="s">
        <v>7</v>
      </c>
      <c r="G491" s="994" t="s">
        <v>1044</v>
      </c>
      <c r="H491" s="995"/>
      <c r="I491" s="996">
        <v>-1020</v>
      </c>
      <c r="J491" s="996">
        <v>-51</v>
      </c>
      <c r="K491" s="996">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994" t="s">
        <v>1048</v>
      </c>
      <c r="B492" s="994" t="s">
        <v>1049</v>
      </c>
      <c r="C492" s="995"/>
      <c r="D492" s="995"/>
      <c r="E492" s="995"/>
      <c r="F492" s="994" t="s">
        <v>7</v>
      </c>
      <c r="G492" s="994" t="s">
        <v>3333</v>
      </c>
      <c r="H492" s="995"/>
      <c r="I492" s="996">
        <v>-100</v>
      </c>
      <c r="J492" s="996">
        <v>0</v>
      </c>
      <c r="K492" s="996">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994" t="s">
        <v>1052</v>
      </c>
      <c r="B493" s="994" t="s">
        <v>1053</v>
      </c>
      <c r="C493" s="995"/>
      <c r="D493" s="995"/>
      <c r="E493" s="995"/>
      <c r="F493" s="994" t="s">
        <v>7</v>
      </c>
      <c r="G493" s="994" t="s">
        <v>1051</v>
      </c>
      <c r="H493" s="995"/>
      <c r="I493" s="996">
        <v>-239</v>
      </c>
      <c r="J493" s="996">
        <v>-16</v>
      </c>
      <c r="K493" s="996">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994" t="s">
        <v>1056</v>
      </c>
      <c r="B494" s="994" t="s">
        <v>1057</v>
      </c>
      <c r="C494" s="995"/>
      <c r="D494" s="995"/>
      <c r="E494" s="995"/>
      <c r="F494" s="994" t="s">
        <v>7</v>
      </c>
      <c r="G494" s="994" t="s">
        <v>1055</v>
      </c>
      <c r="H494" s="995"/>
      <c r="I494" s="996">
        <v>-277</v>
      </c>
      <c r="J494" s="996">
        <v>-17</v>
      </c>
      <c r="K494" s="996">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994" t="s">
        <v>1060</v>
      </c>
      <c r="B495" s="994" t="s">
        <v>1061</v>
      </c>
      <c r="C495" s="995"/>
      <c r="D495" s="995"/>
      <c r="E495" s="995"/>
      <c r="F495" s="994" t="s">
        <v>7</v>
      </c>
      <c r="G495" s="994" t="s">
        <v>1059</v>
      </c>
      <c r="H495" s="995"/>
      <c r="I495" s="996">
        <v>-147</v>
      </c>
      <c r="J495" s="996">
        <v>-8</v>
      </c>
      <c r="K495" s="996">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994" t="s">
        <v>3673</v>
      </c>
      <c r="B496" s="994" t="s">
        <v>1065</v>
      </c>
      <c r="C496" s="995"/>
      <c r="D496" s="995"/>
      <c r="E496" s="995"/>
      <c r="F496" s="994" t="s">
        <v>7</v>
      </c>
      <c r="G496" s="994" t="s">
        <v>1063</v>
      </c>
      <c r="H496" s="995"/>
      <c r="I496" s="996">
        <v>-5061</v>
      </c>
      <c r="J496" s="996">
        <v>-333</v>
      </c>
      <c r="K496" s="996">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994" t="s">
        <v>3674</v>
      </c>
      <c r="B497" s="994" t="s">
        <v>1071</v>
      </c>
      <c r="C497" s="995"/>
      <c r="D497" s="995"/>
      <c r="E497" s="995"/>
      <c r="F497" s="994" t="s">
        <v>7</v>
      </c>
      <c r="G497" s="994" t="s">
        <v>1069</v>
      </c>
      <c r="H497" s="995"/>
      <c r="I497" s="996">
        <v>-1417</v>
      </c>
      <c r="J497" s="996">
        <v>-99</v>
      </c>
      <c r="K497" s="996">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994" t="s">
        <v>3675</v>
      </c>
      <c r="B498" s="994" t="s">
        <v>1075</v>
      </c>
      <c r="C498" s="995"/>
      <c r="D498" s="995"/>
      <c r="E498" s="995"/>
      <c r="F498" s="994" t="s">
        <v>7</v>
      </c>
      <c r="G498" s="994" t="s">
        <v>1073</v>
      </c>
      <c r="H498" s="995"/>
      <c r="I498" s="996">
        <v>-2298</v>
      </c>
      <c r="J498" s="996">
        <v>-218</v>
      </c>
      <c r="K498" s="996">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994" t="s">
        <v>1079</v>
      </c>
      <c r="B499" s="994" t="s">
        <v>1080</v>
      </c>
      <c r="C499" s="995"/>
      <c r="D499" s="995"/>
      <c r="E499" s="995"/>
      <c r="F499" s="994" t="s">
        <v>7</v>
      </c>
      <c r="G499" s="994" t="s">
        <v>1078</v>
      </c>
      <c r="H499" s="995"/>
      <c r="I499" s="996">
        <v>-1724</v>
      </c>
      <c r="J499" s="996">
        <v>-135</v>
      </c>
      <c r="K499" s="996">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994" t="s">
        <v>1082</v>
      </c>
      <c r="B500" s="994" t="s">
        <v>1083</v>
      </c>
      <c r="C500" s="995"/>
      <c r="D500" s="995"/>
      <c r="E500" s="995"/>
      <c r="F500" s="994" t="s">
        <v>7</v>
      </c>
      <c r="G500" s="994" t="s">
        <v>1084</v>
      </c>
      <c r="H500" s="995"/>
      <c r="I500" s="996">
        <v>-2</v>
      </c>
      <c r="J500" s="996">
        <v>0</v>
      </c>
      <c r="K500" s="996">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994" t="s">
        <v>1087</v>
      </c>
      <c r="B501" s="994" t="s">
        <v>1088</v>
      </c>
      <c r="C501" s="995"/>
      <c r="D501" s="995"/>
      <c r="E501" s="995"/>
      <c r="F501" s="994" t="s">
        <v>7</v>
      </c>
      <c r="G501" s="994" t="s">
        <v>1086</v>
      </c>
      <c r="H501" s="995"/>
      <c r="I501" s="996">
        <v>-100</v>
      </c>
      <c r="J501" s="996">
        <v>-8</v>
      </c>
      <c r="K501" s="996">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994" t="s">
        <v>1091</v>
      </c>
      <c r="B502" s="994" t="s">
        <v>1092</v>
      </c>
      <c r="C502" s="995"/>
      <c r="D502" s="995"/>
      <c r="E502" s="995"/>
      <c r="F502" s="994" t="s">
        <v>7</v>
      </c>
      <c r="G502" s="994" t="s">
        <v>1090</v>
      </c>
      <c r="H502" s="995"/>
      <c r="I502" s="996">
        <v>-227</v>
      </c>
      <c r="J502" s="996">
        <v>-15</v>
      </c>
      <c r="K502" s="996">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994" t="s">
        <v>1095</v>
      </c>
      <c r="B503" s="994" t="s">
        <v>1096</v>
      </c>
      <c r="C503" s="995"/>
      <c r="D503" s="995"/>
      <c r="E503" s="995"/>
      <c r="F503" s="994" t="s">
        <v>7</v>
      </c>
      <c r="G503" s="994" t="s">
        <v>1094</v>
      </c>
      <c r="H503" s="995"/>
      <c r="I503" s="996">
        <v>-53</v>
      </c>
      <c r="J503" s="996">
        <v>-2</v>
      </c>
      <c r="K503" s="996">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994" t="s">
        <v>1099</v>
      </c>
      <c r="B504" s="994" t="s">
        <v>1100</v>
      </c>
      <c r="C504" s="995"/>
      <c r="D504" s="995"/>
      <c r="E504" s="995"/>
      <c r="F504" s="994" t="s">
        <v>7</v>
      </c>
      <c r="G504" s="994" t="s">
        <v>1098</v>
      </c>
      <c r="H504" s="995"/>
      <c r="I504" s="996">
        <v>-1831</v>
      </c>
      <c r="J504" s="996">
        <v>-153</v>
      </c>
      <c r="K504" s="996">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994" t="s">
        <v>1103</v>
      </c>
      <c r="B505" s="994" t="s">
        <v>1104</v>
      </c>
      <c r="C505" s="995"/>
      <c r="D505" s="995"/>
      <c r="E505" s="995"/>
      <c r="F505" s="994" t="s">
        <v>7</v>
      </c>
      <c r="G505" s="994" t="s">
        <v>1102</v>
      </c>
      <c r="H505" s="995"/>
      <c r="I505" s="996">
        <v>-3151</v>
      </c>
      <c r="J505" s="996">
        <v>-267</v>
      </c>
      <c r="K505" s="996">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994" t="s">
        <v>1105</v>
      </c>
      <c r="B506" s="994" t="s">
        <v>1107</v>
      </c>
      <c r="C506" s="995"/>
      <c r="D506" s="995"/>
      <c r="E506" s="995"/>
      <c r="F506" s="994" t="s">
        <v>7</v>
      </c>
      <c r="G506" s="994" t="s">
        <v>1106</v>
      </c>
      <c r="H506" s="995"/>
      <c r="I506" s="996">
        <v>-521</v>
      </c>
      <c r="J506" s="996">
        <v>-46</v>
      </c>
      <c r="K506" s="996">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994" t="s">
        <v>1292</v>
      </c>
      <c r="B507" s="994" t="s">
        <v>1293</v>
      </c>
      <c r="C507" s="995"/>
      <c r="D507" s="995"/>
      <c r="E507" s="995"/>
      <c r="F507" s="994" t="s">
        <v>7</v>
      </c>
      <c r="G507" s="994" t="s">
        <v>1291</v>
      </c>
      <c r="H507" s="995"/>
      <c r="I507" s="996">
        <v>-50</v>
      </c>
      <c r="J507" s="996">
        <v>0</v>
      </c>
      <c r="K507" s="996">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994" t="s">
        <v>1294</v>
      </c>
      <c r="B508" s="994" t="s">
        <v>1296</v>
      </c>
      <c r="C508" s="995"/>
      <c r="D508" s="995"/>
      <c r="E508" s="995"/>
      <c r="F508" s="994" t="s">
        <v>7</v>
      </c>
      <c r="G508" s="994" t="s">
        <v>1295</v>
      </c>
      <c r="H508" s="995"/>
      <c r="I508" s="996">
        <v>-233</v>
      </c>
      <c r="J508" s="996">
        <v>-11</v>
      </c>
      <c r="K508" s="996">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994" t="s">
        <v>1307</v>
      </c>
      <c r="B509" s="994" t="s">
        <v>1308</v>
      </c>
      <c r="C509" s="995"/>
      <c r="D509" s="995"/>
      <c r="E509" s="995"/>
      <c r="F509" s="994" t="s">
        <v>7</v>
      </c>
      <c r="G509" s="994" t="s">
        <v>1295</v>
      </c>
      <c r="H509" s="995"/>
      <c r="I509" s="996">
        <v>-335</v>
      </c>
      <c r="J509" s="996">
        <v>-25</v>
      </c>
      <c r="K509" s="996">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baseColWidth="10" defaultColWidth="12.59765625" defaultRowHeight="15" customHeight="1"/>
  <cols>
    <col min="1" max="1" width="19.19921875" customWidth="1"/>
    <col min="2" max="2" width="42.5" customWidth="1"/>
    <col min="3" max="3" width="13.09765625" customWidth="1"/>
    <col min="4" max="4" width="33.3984375" customWidth="1"/>
    <col min="5" max="6" width="10.59765625" customWidth="1"/>
    <col min="7" max="7" width="43.8984375" customWidth="1"/>
    <col min="8" max="26" width="10.59765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2pager</vt:lpstr>
      <vt:lpstr>Print_Mois</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2026-03-12T20:56:39Z</cp:lastPrinted>
  <dcterms:created xsi:type="dcterms:W3CDTF">2023-01-24T17:19:21Z</dcterms:created>
  <dcterms:modified xsi:type="dcterms:W3CDTF">2026-04-15T17:11:04Z</dcterms:modified>
</cp:coreProperties>
</file>