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561D4D80-1020-40D9-877D-48DE24F901BE}"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<sst xmlns="http://schemas.openxmlformats.org/spreadsheetml/2006/main" count="25035" uniqueCount="3446">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</sst>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17">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7" xfId="0" applyFont="1" applyBorder="1" applyAlignment="1">
      <alignment horizontal="center"/>
    </xf>
    <xf numFmtId="0" fontId="130" fillId="0" borderId="17" xfId="0" applyFont="1" applyBorder="1"/>
    <xf numFmtId="0" fontId="130" fillId="0" borderId="4" xfId="0" applyFont="1" applyBorder="1"/>
    <xf numFmtId="0" fontId="126" fillId="0" borderId="16" xfId="0" applyFont="1" applyBorder="1" applyAlignment="1">
      <alignment horizontal="center"/>
    </xf>
    <xf numFmtId="0" fontId="130" fillId="0" borderId="18" xfId="0" applyFont="1" applyBorder="1"/>
    <xf numFmtId="0" fontId="126" fillId="0" borderId="3"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 fontId="126" fillId="0" borderId="6" xfId="0" applyNumberFormat="1" applyFont="1" applyFill="1" applyBorder="1"/>
    <xf numFmtId="37" fontId="126" fillId="0" borderId="90" xfId="0" applyNumberFormat="1" applyFont="1" applyFill="1" applyBorder="1"/>
    <xf numFmtId="37" fontId="126" fillId="0" borderId="7" xfId="0" applyNumberFormat="1" applyFont="1" applyFill="1" applyBorder="1"/>
    <xf numFmtId="0" fontId="126" fillId="0" borderId="8" xfId="0" applyFont="1" applyFill="1" applyBorder="1"/>
    <xf numFmtId="37" fontId="126" fillId="0" borderId="0" xfId="0" applyNumberFormat="1" applyFont="1" applyFill="1"/>
    <xf numFmtId="37" fontId="126" fillId="0" borderId="9" xfId="0" applyNumberFormat="1" applyFont="1" applyFill="1" applyBorder="1"/>
    <xf numFmtId="3" fontId="133" fillId="0" borderId="91" xfId="0" applyNumberFormat="1" applyFont="1" applyFill="1" applyBorder="1"/>
    <xf numFmtId="37" fontId="133" fillId="0" borderId="14" xfId="0" applyNumberFormat="1" applyFont="1" applyFill="1" applyBorder="1"/>
    <xf numFmtId="0" fontId="133" fillId="0" borderId="8" xfId="0" applyFont="1" applyFill="1" applyBorder="1"/>
    <xf numFmtId="37" fontId="133" fillId="0" borderId="0" xfId="0" applyNumberFormat="1" applyFont="1" applyFill="1"/>
    <xf numFmtId="37" fontId="133" fillId="0" borderId="9" xfId="0" applyNumberFormat="1" applyFont="1" applyFill="1" applyBorder="1"/>
    <xf numFmtId="3" fontId="133" fillId="0" borderId="8" xfId="0" applyNumberFormat="1" applyFont="1" applyFill="1" applyBorder="1"/>
    <xf numFmtId="37" fontId="133" fillId="0" borderId="90" xfId="0" applyNumberFormat="1" applyFont="1" applyFill="1" applyBorder="1"/>
    <xf numFmtId="37" fontId="133" fillId="0" borderId="7" xfId="0" applyNumberFormat="1" applyFont="1" applyFill="1" applyBorder="1"/>
    <xf numFmtId="37" fontId="133" fillId="0" borderId="5" xfId="0" applyNumberFormat="1" applyFont="1" applyFill="1" applyBorder="1"/>
    <xf numFmtId="0" fontId="133" fillId="0" borderId="91" xfId="0" applyFont="1" applyFill="1" applyBorder="1"/>
    <xf numFmtId="0" fontId="133" fillId="0" borderId="20" xfId="0" applyFont="1" applyFill="1" applyBorder="1"/>
    <xf numFmtId="37" fontId="133" fillId="0" borderId="1" xfId="0" applyNumberFormat="1" applyFont="1" applyFill="1" applyBorder="1"/>
    <xf numFmtId="37" fontId="133" fillId="0" borderId="21" xfId="0" applyNumberFormat="1" applyFont="1" applyFill="1" applyBorder="1"/>
    <xf numFmtId="3" fontId="133" fillId="0" borderId="203" xfId="0" applyNumberFormat="1" applyFont="1" applyFill="1" applyBorder="1"/>
    <xf numFmtId="37" fontId="133" fillId="0" borderId="132" xfId="0" applyNumberFormat="1" applyFont="1" applyFill="1" applyBorder="1"/>
    <xf numFmtId="37" fontId="133" fillId="0" borderId="204"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9"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778458.81</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506847.22</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1220833.02</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ht="14.4">
      <c r="A16" s="15" t="s">
        <v>40</v>
      </c>
      <c r="B16" s="16">
        <f>+SUM(B8:B15)</f>
        <v>16828019.350000001</v>
      </c>
      <c r="C16" s="17"/>
      <c r="D16" s="15" t="s">
        <v>41</v>
      </c>
      <c r="E16" s="16">
        <f>+SUM(E10:E15)</f>
        <v>7909377.7800000003</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-3645794.1</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-2985257.24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862627.72</v>
      </c>
      <c r="C30" s="17"/>
      <c r="D30" s="21" t="s">
        <v>59</v>
      </c>
      <c r="E30" s="22">
        <f>+E5+E7+E16+E20+E28</f>
        <v>28433058.520000003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43228020.819999993</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33295311.520000003</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10536279.410000002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10536515.410000002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43831826.919999994</v>
      </c>
      <c r="C56" s="17"/>
      <c r="D56" s="21" t="s">
        <v>87</v>
      </c>
      <c r="E56" s="22">
        <f>+E53+E45</f>
        <v>43831826.930000007</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-1.0000012814998627E-2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1" t="str">
        <f>Parametres!$B$1&amp;" "&amp;"2 pager"&amp;" "&amp;Parametres!$B$3&amp;" "&amp;Parametres!$B$4</f>
        <v>Ste-Marie Auto 2 pager Aout 2026</v>
      </c>
      <c r="C1" s="1272"/>
      <c r="D1" s="1272"/>
      <c r="E1" s="1272"/>
      <c r="F1" s="1272"/>
      <c r="G1" s="1272"/>
      <c r="H1" s="1272"/>
      <c r="I1" s="1272"/>
      <c r="J1" s="1272"/>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8"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9"/>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9"/>
      <c r="K6" s="3"/>
      <c r="L6" s="3"/>
      <c r="M6" s="3"/>
      <c r="N6" s="3"/>
      <c r="O6" s="3"/>
      <c r="P6" s="3"/>
      <c r="Q6" s="3"/>
      <c r="R6" s="3"/>
      <c r="S6" s="3"/>
      <c r="T6" s="3"/>
      <c r="U6" s="3"/>
      <c r="V6" s="3"/>
      <c r="W6" s="3"/>
    </row>
    <row r="7" spans="1:23" ht="14.4">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69"/>
      <c r="K7" s="3"/>
      <c r="L7" s="3"/>
      <c r="M7" s="3"/>
      <c r="N7" s="3"/>
      <c r="O7" s="3"/>
      <c r="P7" s="3"/>
      <c r="Q7" s="3"/>
      <c r="R7" s="3"/>
      <c r="S7" s="3"/>
      <c r="T7" s="3"/>
      <c r="U7" s="3"/>
      <c r="V7" s="3"/>
      <c r="W7" s="3"/>
    </row>
    <row r="8" spans="1:23" ht="14.4">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69"/>
      <c r="K8" s="3"/>
      <c r="L8" s="3"/>
      <c r="M8" s="3"/>
      <c r="N8" s="3"/>
      <c r="O8" s="3"/>
      <c r="P8" s="3"/>
      <c r="Q8" s="3"/>
      <c r="R8" s="3"/>
      <c r="S8" s="3"/>
      <c r="T8" s="3"/>
      <c r="U8" s="3"/>
      <c r="V8" s="3"/>
      <c r="W8" s="3"/>
    </row>
    <row r="9" spans="1:23" ht="14.4">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9"/>
      <c r="K9" s="3"/>
      <c r="L9" s="3"/>
      <c r="M9" s="3"/>
      <c r="N9" s="3"/>
      <c r="O9" s="3"/>
      <c r="P9" s="3"/>
      <c r="Q9" s="3"/>
      <c r="R9" s="3"/>
      <c r="S9" s="3"/>
      <c r="T9" s="3"/>
      <c r="U9" s="3"/>
      <c r="V9" s="3"/>
      <c r="W9" s="3"/>
    </row>
    <row r="10" spans="1:23" ht="14.4">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9"/>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9"/>
      <c r="K11" s="3"/>
      <c r="L11" s="3"/>
      <c r="M11" s="3"/>
      <c r="N11" s="3"/>
      <c r="O11" s="3"/>
      <c r="P11" s="3"/>
      <c r="Q11" s="3"/>
      <c r="R11" s="3"/>
      <c r="S11" s="3"/>
      <c r="T11" s="3"/>
      <c r="U11" s="3"/>
      <c r="V11" s="3"/>
      <c r="W11" s="3"/>
    </row>
    <row r="12" spans="1:23" ht="14.4">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9"/>
      <c r="K12" s="3"/>
      <c r="L12" s="3"/>
      <c r="M12" s="3"/>
      <c r="N12" s="3"/>
      <c r="O12" s="3"/>
      <c r="P12" s="3"/>
      <c r="Q12" s="3"/>
      <c r="R12" s="3"/>
      <c r="S12" s="3"/>
      <c r="T12" s="3"/>
      <c r="U12" s="3"/>
      <c r="V12" s="3"/>
      <c r="W12" s="3"/>
    </row>
    <row r="13" spans="1:23" ht="14.4">
      <c r="A13" s="3"/>
      <c r="B13" s="160" t="s">
        <v>295</v>
      </c>
      <c r="C13" s="161">
        <f>+Print_Mois!$L$41-C7-C11</f>
        <v>-38227.819999999949</v>
      </c>
      <c r="D13" s="161" t="e">
        <f>+Print_Mois!$F$41-D7-D11</f>
        <v>#N/A</v>
      </c>
      <c r="E13" s="161">
        <f>+Print_Mois!$Q$41-E7-E11</f>
        <v>-25794.989999999845</v>
      </c>
      <c r="F13" s="162" t="str">
        <f t="shared" si="0"/>
        <v/>
      </c>
      <c r="G13" s="163">
        <f t="shared" si="1"/>
        <v>-12432.830000000104</v>
      </c>
      <c r="H13" s="165" t="str">
        <f t="shared" si="2"/>
        <v/>
      </c>
      <c r="I13" s="166">
        <f t="shared" si="3"/>
        <v>-0.48198623065952645</v>
      </c>
      <c r="J13" s="1269"/>
      <c r="K13" s="3"/>
      <c r="L13" s="3"/>
      <c r="M13" s="3"/>
      <c r="N13" s="3"/>
      <c r="O13" s="3"/>
      <c r="P13" s="3"/>
      <c r="Q13" s="3"/>
      <c r="R13" s="3"/>
      <c r="S13" s="3"/>
      <c r="T13" s="3"/>
      <c r="U13" s="3"/>
      <c r="V13" s="3"/>
      <c r="W13" s="3"/>
    </row>
    <row r="14" spans="1:23" ht="14.4">
      <c r="A14" s="3"/>
      <c r="B14" s="160" t="s">
        <v>296</v>
      </c>
      <c r="C14" s="161">
        <f t="shared" ref="C14:E14" si="8">+C13/C4</f>
        <v>-721.27962264150847</v>
      </c>
      <c r="D14" s="161" t="e">
        <f t="shared" si="8"/>
        <v>#N/A</v>
      </c>
      <c r="E14" s="161">
        <f t="shared" si="8"/>
        <v>-322.43737499999804</v>
      </c>
      <c r="F14" s="162" t="str">
        <f t="shared" si="0"/>
        <v/>
      </c>
      <c r="G14" s="163">
        <f t="shared" si="1"/>
        <v>-398.84224764151043</v>
      </c>
      <c r="H14" s="165" t="str">
        <f t="shared" si="2"/>
        <v/>
      </c>
      <c r="I14" s="166">
        <f t="shared" si="3"/>
        <v>-1.2369603481653231</v>
      </c>
      <c r="J14" s="1269"/>
      <c r="K14" s="3"/>
      <c r="L14" s="3"/>
      <c r="M14" s="3"/>
      <c r="N14" s="3"/>
      <c r="O14" s="3"/>
      <c r="P14" s="3"/>
      <c r="Q14" s="3"/>
      <c r="R14" s="3"/>
      <c r="S14" s="3"/>
      <c r="T14" s="3"/>
      <c r="U14" s="3"/>
      <c r="V14" s="3"/>
      <c r="W14" s="3"/>
    </row>
    <row r="15" spans="1:23" ht="14.4">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8"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9"/>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9"/>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9"/>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9"/>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9"/>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9"/>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9"/>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9"/>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9"/>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9"/>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8"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9"/>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9"/>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9"/>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9"/>
      <c r="K42" s="3"/>
      <c r="L42" s="3"/>
      <c r="M42" s="3"/>
      <c r="N42" s="3"/>
      <c r="O42" s="3"/>
      <c r="P42" s="3"/>
      <c r="Q42" s="3"/>
      <c r="R42" s="3"/>
      <c r="S42" s="3"/>
      <c r="T42" s="3"/>
      <c r="U42" s="3"/>
      <c r="V42" s="3"/>
      <c r="W42" s="3"/>
    </row>
    <row r="43" spans="1:23" ht="15.75" customHeight="1">
      <c r="A43" s="3"/>
      <c r="B43" s="160" t="s">
        <v>306</v>
      </c>
      <c r="C43" s="161">
        <f>+Print_Mois!$L$284</f>
        <v>64671.220000000008</v>
      </c>
      <c r="D43" s="161" t="e">
        <f>+Print_Mois!$F$284</f>
        <v>#N/A</v>
      </c>
      <c r="E43" s="161">
        <f>+Print_Mois!$Q$284</f>
        <v>100507.83999999998</v>
      </c>
      <c r="F43" s="162" t="str">
        <f t="shared" si="22"/>
        <v/>
      </c>
      <c r="G43" s="163">
        <f t="shared" si="23"/>
        <v>-35836.619999999974</v>
      </c>
      <c r="H43" s="165" t="str">
        <f t="shared" si="24"/>
        <v/>
      </c>
      <c r="I43" s="166">
        <f t="shared" si="25"/>
        <v>-0.35655546870771454</v>
      </c>
      <c r="J43" s="1269"/>
      <c r="K43" s="3"/>
      <c r="L43" s="3"/>
      <c r="M43" s="3"/>
      <c r="N43" s="3"/>
      <c r="O43" s="3"/>
      <c r="P43" s="3"/>
      <c r="Q43" s="3"/>
      <c r="R43" s="3"/>
      <c r="S43" s="3"/>
      <c r="T43" s="3"/>
      <c r="U43" s="3"/>
      <c r="V43" s="3"/>
      <c r="W43" s="3"/>
    </row>
    <row r="44" spans="1:23" ht="15.75" customHeight="1">
      <c r="A44" s="3"/>
      <c r="B44" s="176" t="s">
        <v>307</v>
      </c>
      <c r="C44" s="161">
        <f>+SUM(Print_Mois!$L$272:$L$278)</f>
        <v>29610.119999999995</v>
      </c>
      <c r="D44" s="161" t="e">
        <f>+SUM(Print_Mois!$F$272:$F$278)</f>
        <v>#N/A</v>
      </c>
      <c r="E44" s="161">
        <f>+SUM(Print_Mois!$Q$272:$Q$278)</f>
        <v>67019.72</v>
      </c>
      <c r="F44" s="162" t="str">
        <f t="shared" si="22"/>
        <v/>
      </c>
      <c r="G44" s="163">
        <f t="shared" si="23"/>
        <v>-37409.600000000006</v>
      </c>
      <c r="H44" s="165" t="str">
        <f t="shared" si="24"/>
        <v/>
      </c>
      <c r="I44" s="166">
        <f t="shared" si="25"/>
        <v>-0.55818794826358575</v>
      </c>
      <c r="J44" s="1269"/>
      <c r="K44" s="3"/>
      <c r="L44" s="3"/>
      <c r="M44" s="3"/>
      <c r="N44" s="3"/>
      <c r="O44" s="3"/>
      <c r="P44" s="3"/>
      <c r="Q44" s="3"/>
      <c r="R44" s="3"/>
      <c r="S44" s="3"/>
      <c r="T44" s="3"/>
      <c r="U44" s="3"/>
      <c r="V44" s="3"/>
      <c r="W44" s="3"/>
    </row>
    <row r="45" spans="1:23" ht="14.4">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69"/>
      <c r="K45" s="3"/>
      <c r="L45" s="3"/>
      <c r="M45" s="3"/>
      <c r="N45" s="3"/>
      <c r="O45" s="3"/>
      <c r="P45" s="3"/>
      <c r="Q45" s="3"/>
      <c r="R45" s="3"/>
      <c r="S45" s="3"/>
      <c r="T45" s="3"/>
      <c r="U45" s="3"/>
      <c r="V45" s="3"/>
      <c r="W45" s="3"/>
    </row>
    <row r="46" spans="1:23" ht="14.4">
      <c r="A46" s="3"/>
      <c r="B46" s="160" t="s">
        <v>309</v>
      </c>
      <c r="C46" s="164">
        <f t="shared" ref="C46:E46" si="26">+C43/C38</f>
        <v>0.34601629172555681</v>
      </c>
      <c r="D46" s="164" t="e">
        <f t="shared" si="26"/>
        <v>#N/A</v>
      </c>
      <c r="E46" s="164">
        <f t="shared" si="26"/>
        <v>0.46715055971194164</v>
      </c>
      <c r="F46" s="167" t="str">
        <f t="shared" si="22"/>
        <v/>
      </c>
      <c r="G46" s="168">
        <f t="shared" si="23"/>
        <v>-0.12113426798638482</v>
      </c>
      <c r="H46" s="165" t="str">
        <f t="shared" si="24"/>
        <v/>
      </c>
      <c r="I46" s="166">
        <f t="shared" si="25"/>
        <v>-0.2593045549620655</v>
      </c>
      <c r="J46" s="1269"/>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8"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9"/>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9"/>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9"/>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9"/>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9"/>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9"/>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9"/>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9"/>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0.44932212702338847</v>
      </c>
      <c r="D62" s="164" t="e">
        <f>+Print_Mois!$Z$520/Print_Mois!$Z$494</f>
        <v>#N/A</v>
      </c>
      <c r="E62" s="164">
        <f>+Print_Mois!$AL$520/Print_Mois!$AL$494</f>
        <v>0.41600824761487926</v>
      </c>
      <c r="F62" s="167" t="str">
        <f t="shared" ref="F62:G67" si="32">+IFERROR($C62-D62,"")</f>
        <v/>
      </c>
      <c r="G62" s="168">
        <f t="shared" si="32"/>
        <v>3.3313879408509217E-2</v>
      </c>
      <c r="H62" s="165" t="str">
        <f t="shared" ref="H62:H67" si="33">+IFERROR(F62/ABS($D62),"")</f>
        <v/>
      </c>
      <c r="I62" s="166">
        <f t="shared" ref="I62:I67" si="34">+IFERROR(G62/ABS($E62),"")</f>
        <v>8.0079853222885217E-2</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69"/>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69"/>
      <c r="K65" s="3"/>
      <c r="L65" s="3"/>
      <c r="M65" s="3"/>
      <c r="N65" s="3"/>
      <c r="O65" s="3"/>
      <c r="P65" s="3"/>
      <c r="Q65" s="3"/>
      <c r="R65" s="3"/>
      <c r="S65" s="3"/>
      <c r="T65" s="3"/>
      <c r="U65" s="3"/>
      <c r="V65" s="3"/>
      <c r="W65" s="3"/>
    </row>
    <row r="66" spans="1:23" ht="15.75" customHeight="1">
      <c r="A66" s="3"/>
      <c r="B66" s="176" t="s">
        <v>321</v>
      </c>
      <c r="C66" s="161">
        <f>+Print_Mois!$AF$502</f>
        <v>44368.650000000052</v>
      </c>
      <c r="D66" s="161" t="e">
        <f>+Print_Mois!$Z$502</f>
        <v>#N/A</v>
      </c>
      <c r="E66" s="161">
        <f>+Print_Mois!$AL$502</f>
        <v>97213.13</v>
      </c>
      <c r="F66" s="162" t="str">
        <f t="shared" si="32"/>
        <v/>
      </c>
      <c r="G66" s="163">
        <f t="shared" si="32"/>
        <v>-52844.479999999952</v>
      </c>
      <c r="H66" s="165" t="str">
        <f t="shared" si="33"/>
        <v/>
      </c>
      <c r="I66" s="166">
        <f t="shared" si="34"/>
        <v>-0.54359405977361241</v>
      </c>
      <c r="J66" s="1269"/>
      <c r="K66" s="3"/>
      <c r="L66" s="3"/>
      <c r="M66" s="3"/>
      <c r="N66" s="3"/>
      <c r="O66" s="3"/>
      <c r="P66" s="3"/>
      <c r="Q66" s="3"/>
      <c r="R66" s="3"/>
      <c r="S66" s="3"/>
      <c r="T66" s="3"/>
      <c r="U66" s="3"/>
      <c r="V66" s="3"/>
      <c r="W66" s="3"/>
    </row>
    <row r="67" spans="1:23" ht="14.4">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35176.830000000031</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13937.279999999861</v>
      </c>
      <c r="H70" s="165" t="str">
        <f t="shared" ref="H70:H77" si="36">+IFERROR(F70/ABS($D70),"")</f>
        <v/>
      </c>
      <c r="I70" s="166">
        <f t="shared" ref="I70:I77" si="37">+IFERROR(G70/ABS($E70),"")</f>
        <v>0.65619469339038483</v>
      </c>
      <c r="J70" s="1268" t="s">
        <v>1092</v>
      </c>
      <c r="K70" s="3"/>
      <c r="L70" s="3"/>
      <c r="M70" s="3"/>
      <c r="N70" s="3"/>
      <c r="O70" s="3"/>
      <c r="P70" s="3"/>
      <c r="Q70" s="3"/>
      <c r="R70" s="3"/>
      <c r="S70" s="3"/>
      <c r="T70" s="3"/>
      <c r="U70" s="3"/>
      <c r="V70" s="3"/>
      <c r="W70" s="3"/>
    </row>
    <row r="71" spans="1:23" ht="15.75" customHeight="1">
      <c r="A71" s="3"/>
      <c r="B71" s="176" t="s">
        <v>325</v>
      </c>
      <c r="C71" s="164">
        <f>+C70/Print_Mois!$AF$494</f>
        <v>7.4675397045466912E-2</v>
      </c>
      <c r="D71" s="164" t="e">
        <f>+D70/Print_Mois!$Z$494</f>
        <v>#N/A</v>
      </c>
      <c r="E71" s="164">
        <f>+E70/Print_Mois!$AL$494</f>
        <v>2.6914321346648406E-2</v>
      </c>
      <c r="F71" s="167" t="str">
        <f t="shared" si="35"/>
        <v/>
      </c>
      <c r="G71" s="168">
        <f t="shared" si="35"/>
        <v>4.7761075698818503E-2</v>
      </c>
      <c r="H71" s="165" t="str">
        <f t="shared" si="36"/>
        <v/>
      </c>
      <c r="I71" s="166">
        <f t="shared" si="37"/>
        <v>1.774559911196353</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405314.98000000004</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-203165.58999999991</v>
      </c>
      <c r="H72" s="165" t="str">
        <f t="shared" si="36"/>
        <v/>
      </c>
      <c r="I72" s="166">
        <f t="shared" si="37"/>
        <v>-0.33389002051454153</v>
      </c>
      <c r="J72" s="1269"/>
      <c r="K72" s="3"/>
      <c r="L72" s="3"/>
      <c r="M72" s="3"/>
      <c r="N72" s="3"/>
      <c r="O72" s="3"/>
      <c r="P72" s="3"/>
      <c r="Q72" s="3"/>
      <c r="R72" s="3"/>
      <c r="S72" s="3"/>
      <c r="T72" s="3"/>
      <c r="U72" s="3"/>
      <c r="V72" s="3"/>
      <c r="W72" s="3"/>
    </row>
    <row r="73" spans="1:23" ht="15.75" customHeight="1">
      <c r="A73" s="3"/>
      <c r="B73" s="176" t="s">
        <v>327</v>
      </c>
      <c r="C73" s="164">
        <f>+C72/Print_Mois!$AF$494</f>
        <v>0.86042594116568938</v>
      </c>
      <c r="D73" s="164" t="e">
        <f>+D72/Print_Mois!$Z$494</f>
        <v>#N/A</v>
      </c>
      <c r="E73" s="164">
        <f>+E72/Print_Mois!$AL$494</f>
        <v>0.77105407573002527</v>
      </c>
      <c r="F73" s="167" t="str">
        <f t="shared" si="35"/>
        <v/>
      </c>
      <c r="G73" s="168">
        <f t="shared" si="35"/>
        <v>8.9371865435664111E-2</v>
      </c>
      <c r="H73" s="165" t="str">
        <f t="shared" si="36"/>
        <v/>
      </c>
      <c r="I73" s="166">
        <f t="shared" si="37"/>
        <v>0.11590868688560894</v>
      </c>
      <c r="J73" s="1269"/>
      <c r="K73" s="3"/>
      <c r="L73" s="3"/>
      <c r="M73" s="3"/>
      <c r="N73" s="3"/>
      <c r="O73" s="3"/>
      <c r="P73" s="3"/>
      <c r="Q73" s="3"/>
      <c r="R73" s="3"/>
      <c r="S73" s="3"/>
      <c r="T73" s="3"/>
      <c r="U73" s="3"/>
      <c r="V73" s="3"/>
      <c r="W73" s="3"/>
    </row>
    <row r="74" spans="1:23" ht="15.75" customHeight="1">
      <c r="A74" s="1"/>
      <c r="B74" s="206" t="s">
        <v>328</v>
      </c>
      <c r="C74" s="195">
        <f>+Print_Mois!$AF$570+Print_Mois!$AF$502</f>
        <v>86356.179999997054</v>
      </c>
      <c r="D74" s="195" t="e">
        <f>+Print_Mois!$Z$570+Print_Mois!$Z$502</f>
        <v>#N/A</v>
      </c>
      <c r="E74" s="195">
        <f>+Print_Mois!$AL$570+Print_Mois!$AL$502</f>
        <v>165698.41999998913</v>
      </c>
      <c r="F74" s="196" t="str">
        <f t="shared" si="35"/>
        <v/>
      </c>
      <c r="G74" s="197">
        <f t="shared" si="35"/>
        <v>-79342.239999992074</v>
      </c>
      <c r="H74" s="198" t="str">
        <f t="shared" si="36"/>
        <v/>
      </c>
      <c r="I74" s="199">
        <f t="shared" si="37"/>
        <v>-0.47883522365510356</v>
      </c>
      <c r="J74" s="1269"/>
      <c r="K74" s="1"/>
      <c r="L74" s="1"/>
      <c r="M74" s="1"/>
      <c r="N74" s="1"/>
      <c r="O74" s="1"/>
      <c r="P74" s="1"/>
      <c r="Q74" s="1"/>
      <c r="R74" s="1"/>
      <c r="S74" s="1"/>
      <c r="T74" s="1"/>
      <c r="U74" s="1"/>
      <c r="V74" s="1"/>
      <c r="W74" s="1"/>
    </row>
    <row r="75" spans="1:23" ht="15.75" customHeight="1">
      <c r="A75" s="3"/>
      <c r="B75" s="160" t="s">
        <v>329</v>
      </c>
      <c r="C75" s="222">
        <f>+C74/Print_Mois!$AF$493</f>
        <v>6.2686101061588239E-3</v>
      </c>
      <c r="D75" s="222" t="e">
        <f>+D74/Print_Mois!$Z$493</f>
        <v>#N/A</v>
      </c>
      <c r="E75" s="222">
        <f>+E74/Print_Mois!$AL$493</f>
        <v>8.8212394626782011E-3</v>
      </c>
      <c r="F75" s="167" t="str">
        <f t="shared" si="35"/>
        <v/>
      </c>
      <c r="G75" s="168">
        <f t="shared" si="35"/>
        <v>-2.5526293565193772E-3</v>
      </c>
      <c r="H75" s="165" t="str">
        <f t="shared" si="36"/>
        <v/>
      </c>
      <c r="I75" s="166">
        <f t="shared" si="37"/>
        <v>-0.28937309403279454</v>
      </c>
      <c r="J75" s="1269"/>
      <c r="K75" s="3"/>
      <c r="L75" s="3"/>
      <c r="M75" s="3"/>
      <c r="N75" s="3"/>
      <c r="O75" s="3"/>
      <c r="P75" s="3"/>
      <c r="Q75" s="3"/>
      <c r="R75" s="3"/>
      <c r="S75" s="3"/>
      <c r="T75" s="3"/>
      <c r="U75" s="3"/>
      <c r="V75" s="3"/>
      <c r="W75" s="3"/>
    </row>
    <row r="76" spans="1:23" ht="15.75" customHeight="1">
      <c r="A76" s="1"/>
      <c r="B76" s="206" t="s">
        <v>330</v>
      </c>
      <c r="C76" s="195">
        <f>N9+Print_Mois!$AF$585</f>
        <v>22969.329999996982</v>
      </c>
      <c r="D76" s="195" t="e">
        <f>+Print_Mois!$Z$585</f>
        <v>#N/A</v>
      </c>
      <c r="E76" s="195">
        <f>+Print_Mois!$AL$585</f>
        <v>57695.159999989126</v>
      </c>
      <c r="F76" s="196" t="str">
        <f t="shared" si="35"/>
        <v/>
      </c>
      <c r="G76" s="197">
        <f t="shared" si="35"/>
        <v>-34725.829999992144</v>
      </c>
      <c r="H76" s="198" t="str">
        <f t="shared" si="36"/>
        <v/>
      </c>
      <c r="I76" s="199">
        <f t="shared" si="37"/>
        <v>-0.60188462949056187</v>
      </c>
      <c r="J76" s="1269"/>
      <c r="K76" s="1"/>
      <c r="L76" s="1"/>
      <c r="M76" s="1"/>
      <c r="N76" s="1"/>
      <c r="O76" s="1"/>
      <c r="P76" s="1"/>
      <c r="Q76" s="1"/>
      <c r="R76" s="1"/>
      <c r="S76" s="1"/>
      <c r="T76" s="1"/>
      <c r="U76" s="1"/>
      <c r="V76" s="1"/>
      <c r="W76" s="1"/>
    </row>
    <row r="77" spans="1:23" ht="15.75" customHeight="1">
      <c r="A77" s="3"/>
      <c r="B77" s="178" t="s">
        <v>331</v>
      </c>
      <c r="C77" s="223">
        <f>+C76/Print_Mois!$AF$493</f>
        <v>1.6673476544432958E-3</v>
      </c>
      <c r="D77" s="223" t="e">
        <f>+D76/Print_Mois!$Z$493</f>
        <v>#N/A</v>
      </c>
      <c r="E77" s="223">
        <f>+E76/Print_Mois!$AL$493</f>
        <v>3.0715007553932636E-3</v>
      </c>
      <c r="F77" s="224" t="str">
        <f t="shared" si="35"/>
        <v/>
      </c>
      <c r="G77" s="225">
        <f t="shared" si="35"/>
        <v>-1.4041531009499678E-3</v>
      </c>
      <c r="H77" s="182" t="str">
        <f t="shared" si="36"/>
        <v/>
      </c>
      <c r="I77" s="183">
        <f t="shared" si="37"/>
        <v>-0.45715538193647137</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26831.179999997054</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46491.329999996982</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22969.329999996982</v>
      </c>
      <c r="D87" s="662">
        <f>+Print_AAD!AF585</f>
        <v>1884331.4100000018</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B44" zoomScale="80" zoomScaleNormal="80" workbookViewId="0">
      <selection activeCell="L292" sqref="L292"/>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6"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1295">
        <f>+SUM(J6:J12)</f>
        <v>53</v>
      </c>
      <c r="K13" s="1296">
        <f>IF(J13&lt;=0,0,L13/J13)</f>
        <v>1851.7266037735944</v>
      </c>
      <c r="L13" s="1297">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1298"/>
      <c r="K14" s="1299"/>
      <c r="L14" s="1300"/>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1301">
        <f>SUMIFS(BV_Data_An_Cour!$AW:$AW,BV_Data_An_Cour!$AP:$AP,$B15,BV_Data_An_Cour!$AQ:$AQ,$C15,BV_Data_An_Cour!$AY:$AY,J$2)</f>
        <v>0</v>
      </c>
      <c r="K15" s="1302">
        <f>IF(J15=0,0,L15/J15)</f>
        <v>0</v>
      </c>
      <c r="L15" s="1302">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1303"/>
      <c r="K16" s="1304"/>
      <c r="L16" s="1305"/>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301">
        <f>SUMIFS(BV_Data_An_Cour!$AW:$AW,BV_Data_An_Cour!$AP:$AP,$B17,BV_Data_An_Cour!$AQ:$AQ,$C17,BV_Data_An_Cour!$AY:$AY,J$2)</f>
        <v>34</v>
      </c>
      <c r="K17" s="1304">
        <f>IF(J17=0,0,L17/J17)</f>
        <v>596.08735294114138</v>
      </c>
      <c r="L17" s="1305">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1306"/>
      <c r="K18" s="1307"/>
      <c r="L18" s="1308"/>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1301"/>
      <c r="K19" s="1304"/>
      <c r="L19" s="1305"/>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1306"/>
      <c r="K20" s="1307"/>
      <c r="L20" s="1308"/>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1306"/>
      <c r="K21" s="1304">
        <f>IF(J13=0,0,L21/(J13+J15))</f>
        <v>0</v>
      </c>
      <c r="L21" s="1305">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1306"/>
      <c r="K22" s="1304">
        <f>IF(J13=0,0,L22/(J13+J15))</f>
        <v>538.27320754717005</v>
      </c>
      <c r="L22" s="1305">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1306"/>
      <c r="K23" s="1304">
        <f>IF(J13=0,0,L23/(J13+J15))</f>
        <v>-21.713396226415103</v>
      </c>
      <c r="L23" s="1305">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1295">
        <f>+J15+J13</f>
        <v>53</v>
      </c>
      <c r="K24" s="1296">
        <f>IF(J24&lt;=0,0,L24/J24)</f>
        <v>516.55981132075487</v>
      </c>
      <c r="L24" s="1297">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144337</v>
      </c>
      <c r="V27" s="1239">
        <f>L27-U27</f>
        <v>1449.1499999993248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-74.957735849056235</v>
      </c>
      <c r="L33" s="952">
        <f>SUMIFS(BV_Data_An_Cour!$AM:$AM,BV_Data_An_Cour!$AP:$AP,$B33,BV_Data_An_Cour!$AQ:$AQ,$C33,BV_Data_An_Cour!$AR:$AR,L$2)</f>
        <v>-3972.7599999999802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5155.9800000000214</v>
      </c>
      <c r="T33" s="35">
        <f>-3973+600</f>
        <v>-3373</v>
      </c>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t="s">
        <v>3420</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7.4119317918746638E-2</v>
      </c>
      <c r="L41" s="294">
        <f>SUM(L31:L40)</f>
        <v>10805.570000000036</v>
      </c>
      <c r="M41" s="296"/>
      <c r="N41" s="294" t="e">
        <f t="shared" si="10"/>
        <v>#N/A</v>
      </c>
      <c r="O41" s="295" t="s">
        <v>115</v>
      </c>
      <c r="P41" s="293">
        <f>Q41/Q$27</f>
        <v>0.14542895544912843</v>
      </c>
      <c r="Q41" s="294">
        <f>SUM(Q31:Q40)</f>
        <v>44538.480000000156</v>
      </c>
      <c r="R41" s="297"/>
      <c r="S41" s="294">
        <f t="shared" si="16"/>
        <v>-33732.91000000012</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4987.5800000000017</v>
      </c>
      <c r="M44" s="233"/>
      <c r="N44" s="303" t="e">
        <f t="shared" si="10"/>
        <v>#N/A</v>
      </c>
      <c r="O44" s="233"/>
      <c r="P44" s="301"/>
      <c r="Q44" s="281">
        <f>SUMIFS(BV_Data_An_Prec!$AM:$AM,BV_Data_An_Prec!$AP:$AP,$B44,BV_Data_An_Prec!$AQ:$AQ,$C44,BV_Data_An_Prec!$AR:$AR,Q$2)</f>
        <v>5112.2000000000007</v>
      </c>
      <c r="R44" s="233"/>
      <c r="S44" s="303">
        <f t="shared" si="16"/>
        <v>-124.61999999999898</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0.25584700604275618</v>
      </c>
      <c r="L54" s="294">
        <f>+SUM(L42:L53)</f>
        <v>37298.949999999983</v>
      </c>
      <c r="M54" s="296"/>
      <c r="N54" s="294" t="e">
        <f>+SUM(N42:N53)</f>
        <v>#N/A</v>
      </c>
      <c r="O54" s="295" t="s">
        <v>115</v>
      </c>
      <c r="P54" s="293">
        <f>Q54/Q$27</f>
        <v>0.23029683049729666</v>
      </c>
      <c r="Q54" s="294">
        <f>+SUM(Q42:Q53)</f>
        <v>70529.76999999999</v>
      </c>
      <c r="R54" s="297"/>
      <c r="S54" s="294">
        <f>+SUM(S42:S53)</f>
        <v>-33230.820000000014</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57"/>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0.14792077299524067</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0.47788709695674347</v>
      </c>
      <c r="L74" s="294">
        <f>L41+L54+L72</f>
        <v>69669.320000000022</v>
      </c>
      <c r="M74" s="296"/>
      <c r="N74" s="294" t="e">
        <f t="shared" ref="N74:N82" si="19">L74-F74</f>
        <v>#N/A</v>
      </c>
      <c r="O74" s="295" t="s">
        <v>115</v>
      </c>
      <c r="P74" s="293">
        <f>Q74/Q$27</f>
        <v>0.47825340067702271</v>
      </c>
      <c r="Q74" s="294">
        <f>Q41+Q54+Q72</f>
        <v>146467.94000000015</v>
      </c>
      <c r="R74" s="297"/>
      <c r="S74" s="294">
        <f>L74-Q74</f>
        <v>-76798.620000000126</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f>16786+600</f>
        <v>17386</v>
      </c>
      <c r="U82" s="35" t="s">
        <v>3445</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128144.26999999931</v>
      </c>
      <c r="M85" s="958"/>
      <c r="N85" s="956" t="e">
        <f>N27-N41-N54-N72+N83</f>
        <v>#N/A</v>
      </c>
      <c r="O85" s="957"/>
      <c r="P85" s="955"/>
      <c r="Q85" s="956">
        <f>Q27-Q74+Q83</f>
        <v>185234.56999999136</v>
      </c>
      <c r="R85" s="959"/>
      <c r="S85" s="956">
        <f>S27-S41-S54-S72+S83</f>
        <v>-57090.299999992058</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95">
        <f>+J94+J95+J96</f>
        <v>24</v>
      </c>
      <c r="K97" s="1299">
        <f>IF(J97&lt;=0,0,L97/J97)</f>
        <v>575.65166666666244</v>
      </c>
      <c r="L97" s="1297">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1298"/>
      <c r="K98" s="1299"/>
      <c r="L98" s="1300"/>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1306"/>
      <c r="K99" s="1304">
        <f>IF(J99=0,0,L99/J99)</f>
        <v>0</v>
      </c>
      <c r="L99" s="1305">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1306"/>
      <c r="K100" s="1304"/>
      <c r="L100" s="1305"/>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306">
        <f>SUMIFS(BV_Data_An_Cour!$AW:$AW,BV_Data_An_Cour!$AP:$AP,$B101,BV_Data_An_Cour!$AQ:$AQ,$C101,BV_Data_An_Cour!$AY:$AY,J$2)</f>
        <v>35</v>
      </c>
      <c r="K101" s="1304">
        <f>IF(J101=0,0,L101/J101)</f>
        <v>-476.81885714287802</v>
      </c>
      <c r="L101" s="1305">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1301"/>
      <c r="K102" s="1302"/>
      <c r="L102" s="1309"/>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1306"/>
      <c r="K103" s="1304">
        <f>IF(J97=0,0,L103/J97)</f>
        <v>639.08749999999998</v>
      </c>
      <c r="L103" s="1305">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1306"/>
      <c r="K104" s="1304">
        <f>IF(J97=0,0,L104/J97)</f>
        <v>484.48208333333332</v>
      </c>
      <c r="L104" s="1305">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1306"/>
      <c r="K105" s="1302">
        <f>IF(J97=0,0,L105/J97)</f>
        <v>0</v>
      </c>
      <c r="L105" s="1305">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1295">
        <f>J97</f>
        <v>24</v>
      </c>
      <c r="K106" s="1296">
        <f>IF(J106&lt;=0,0,L106/J106)</f>
        <v>1123.5695833333332</v>
      </c>
      <c r="L106" s="1297">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263.58416666666625</v>
      </c>
      <c r="L119" s="658">
        <f>SUMIFS(BV_Data_An_Cour!$AM:$AM,BV_Data_An_Cour!$AP:$AP,$B119,BV_Data_An_Cour!$AQ:$AQ,$C119,BV_Data_An_Cour!$AR:$AR,$L$2)</f>
        <v>6326.0199999999895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-9174.3600000000151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0.97020668129080079</v>
      </c>
      <c r="L136" s="294">
        <f>SUM(L124:L135)</f>
        <v>23374.850000000002</v>
      </c>
      <c r="M136" s="296"/>
      <c r="N136" s="294" t="e">
        <f t="shared" si="32"/>
        <v>#N/A</v>
      </c>
      <c r="O136" s="295" t="s">
        <v>115</v>
      </c>
      <c r="P136" s="293">
        <f>Q136/Q$109</f>
        <v>0.98951740281926137</v>
      </c>
      <c r="Q136" s="294">
        <f>SUM(Q124:Q135)</f>
        <v>33140.619999999995</v>
      </c>
      <c r="R136" s="297"/>
      <c r="S136" s="294">
        <f t="shared" si="33"/>
        <v>-9765.7699999999932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58"/>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7"/>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2.1967890622244477</v>
      </c>
      <c r="L156" s="294">
        <f>L123+L136+L154</f>
        <v>52926.47</v>
      </c>
      <c r="M156" s="296"/>
      <c r="N156" s="294" t="e">
        <f t="shared" ref="N156:N163" si="34">L156-F156</f>
        <v>#N/A</v>
      </c>
      <c r="O156" s="295" t="s">
        <v>115</v>
      </c>
      <c r="P156" s="293">
        <f>Q156/Q$109</f>
        <v>3.464627952597406</v>
      </c>
      <c r="Q156" s="294">
        <f>Q123+Q136+Q154</f>
        <v>116036.28000000003</v>
      </c>
      <c r="R156" s="297"/>
      <c r="S156" s="294">
        <f t="shared" si="33"/>
        <v>-63109.810000000027</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7"/>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7"/>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7"/>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7">
        <f>14*500</f>
        <v>7000</v>
      </c>
      <c r="U160" s="35" t="s">
        <v>3444</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7"/>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7"/>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7"/>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9"/>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-21709.48000000084</v>
      </c>
      <c r="M166" s="958"/>
      <c r="N166" s="956" t="e">
        <f>L166-F166</f>
        <v>#N/A</v>
      </c>
      <c r="O166" s="957"/>
      <c r="P166" s="955"/>
      <c r="Q166" s="956">
        <f>Q109-Q156+Q164</f>
        <v>-82544.580000001908</v>
      </c>
      <c r="R166" s="959"/>
      <c r="S166" s="956">
        <f t="shared" si="33"/>
        <v>60835.100000001068</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1310"/>
      <c r="K173" s="1302"/>
      <c r="L173" s="1309">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1311"/>
      <c r="K174" s="1312"/>
      <c r="L174" s="1313"/>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306">
        <f>SUMIFS(BV_Data_An_Cour!$AW:$AW,BV_Data_An_Cour!$AP:$AP,$B175,BV_Data_An_Cour!$AQ:$AQ,$C175,BV_Data_An_Cour!$AY:$AY,J$2)</f>
        <v>77</v>
      </c>
      <c r="K175" s="1304">
        <f t="shared" ref="K175:K179" si="35">IF(J175=0,0,L175/J175)</f>
        <v>-783.68155844156422</v>
      </c>
      <c r="L175" s="1305">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1314"/>
      <c r="K176" s="1315"/>
      <c r="L176" s="1316"/>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306">
        <f>SUMIFS(BV_Data_An_Cour!$AW:$AW,BV_Data_An_Cour!$AP:$AP,$B177,BV_Data_An_Cour!$AQ:$AQ,$C177,BV_Data_An_Cour!$AY:$AY,J$2)</f>
        <v>27</v>
      </c>
      <c r="K177" s="1304">
        <f t="shared" si="35"/>
        <v>844.68703703699566</v>
      </c>
      <c r="L177" s="1305">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1314"/>
      <c r="K178" s="1315"/>
      <c r="L178" s="1316"/>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306">
        <f>SUMIFS(BV_Data_An_Cour!$AW:$AW,BV_Data_An_Cour!$AP:$AP,$B179,BV_Data_An_Cour!$AQ:$AQ,$C179,BV_Data_An_Cour!$AY:$AY,J$2)</f>
        <v>8</v>
      </c>
      <c r="K179" s="1304">
        <f t="shared" si="35"/>
        <v>2704.375</v>
      </c>
      <c r="L179" s="1305">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8"/>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7"/>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0.64581480243977152</v>
      </c>
      <c r="L229" s="294">
        <f>L196+L209+L227</f>
        <v>15559.390000000021</v>
      </c>
      <c r="M229" s="296"/>
      <c r="N229" s="294" t="e">
        <f t="shared" ref="N229:N236" si="42">L229-F229</f>
        <v>#N/A</v>
      </c>
      <c r="O229" s="295" t="s">
        <v>115</v>
      </c>
      <c r="P229" s="293">
        <f>Q229/Q$109</f>
        <v>1.778395244194932</v>
      </c>
      <c r="Q229" s="294">
        <f>Q196+Q209+Q227</f>
        <v>59561.480000000061</v>
      </c>
      <c r="R229" s="297"/>
      <c r="S229" s="294">
        <f t="shared" ref="S229:S236" si="43">L229-Q229</f>
        <v>-44002.09000000004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7"/>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7"/>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7"/>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7"/>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7"/>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7"/>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7"/>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9"/>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-31461.320000001586</v>
      </c>
      <c r="M239" s="958"/>
      <c r="N239" s="956" t="e">
        <f>L239-F239</f>
        <v>#REF!</v>
      </c>
      <c r="O239" s="957"/>
      <c r="P239" s="955"/>
      <c r="Q239" s="956">
        <f>Q182-Q229+Q237</f>
        <v>10748.989999999678</v>
      </c>
      <c r="R239" s="959"/>
      <c r="S239" s="956">
        <f>L239-Q239</f>
        <v>-42210.310000001264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6"/>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1260"/>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7"/>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7"/>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7"/>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7"/>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7"/>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7"/>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7"/>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7"/>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7"/>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7"/>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7"/>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8348.7700000000041</v>
      </c>
      <c r="M274" s="233"/>
      <c r="N274" s="303" t="e">
        <f t="shared" si="49"/>
        <v>#N/A</v>
      </c>
      <c r="O274" s="233"/>
      <c r="P274" s="301"/>
      <c r="Q274" s="303">
        <f>SUMIFS(BV_Data_An_Prec!$AM:$AM,BV_Data_An_Prec!$AP:$AP,$B274,BV_Data_An_Prec!$AQ:$AQ,$C274,BV_Data_An_Prec!$AR:$AR,$L$2)</f>
        <v>27417.919999999984</v>
      </c>
      <c r="R274" s="233"/>
      <c r="S274" s="303">
        <f t="shared" si="50"/>
        <v>-19069.14999999998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0.57588994556264139</v>
      </c>
      <c r="L284" s="294">
        <f>+SUM(L272:L283)</f>
        <v>64671.220000000008</v>
      </c>
      <c r="M284" s="296"/>
      <c r="N284" s="294" t="e">
        <f t="shared" si="49"/>
        <v>#N/A</v>
      </c>
      <c r="O284" s="295" t="s">
        <v>171</v>
      </c>
      <c r="P284" s="293">
        <f>Q284/Q$268</f>
        <v>0.6962947814248307</v>
      </c>
      <c r="Q284" s="294">
        <f>+SUM(Q272:Q283)</f>
        <v>100507.83999999998</v>
      </c>
      <c r="R284" s="297"/>
      <c r="S284" s="294">
        <f t="shared" si="50"/>
        <v>-35836.619999999974</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0.31947735789847509</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0.89536730346111648</v>
      </c>
      <c r="L305" s="294">
        <f>L284+L303</f>
        <v>100547.85</v>
      </c>
      <c r="M305" s="296"/>
      <c r="N305" s="294" t="e">
        <f>L305-F305</f>
        <v>#N/A</v>
      </c>
      <c r="O305" s="295" t="s">
        <v>115</v>
      </c>
      <c r="P305" s="293">
        <f>Q305/Q$268</f>
        <v>0.79213418694492999</v>
      </c>
      <c r="Q305" s="294">
        <f>Q284+Q303</f>
        <v>114341.93999999997</v>
      </c>
      <c r="R305" s="297"/>
      <c r="S305" s="294">
        <f>L305-Q305</f>
        <v>-13794.089999999967</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11750.029999999955</v>
      </c>
      <c r="M307" s="958"/>
      <c r="N307" s="956" t="e">
        <f>L307-F307</f>
        <v>#N/A</v>
      </c>
      <c r="O307" s="957"/>
      <c r="P307" s="955"/>
      <c r="Q307" s="956">
        <f>Q268-Q305</f>
        <v>30004.74000000002</v>
      </c>
      <c r="R307" s="959"/>
      <c r="S307" s="956">
        <f>L307-Q307</f>
        <v>-18254.710000000065</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6"/>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1260"/>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8"/>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8"/>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8"/>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8"/>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8"/>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8"/>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8"/>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8"/>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0.53094469585151316</v>
      </c>
      <c r="L342" s="294">
        <f>+SUM(L330:L341)</f>
        <v>33389.019999999997</v>
      </c>
      <c r="M342" s="296"/>
      <c r="N342" s="294" t="e">
        <f t="shared" si="53"/>
        <v>#N/A</v>
      </c>
      <c r="O342" s="295" t="s">
        <v>115</v>
      </c>
      <c r="P342" s="293">
        <f>IF(Q326=0,0,Q342/Q$326)</f>
        <v>0.30809381281947879</v>
      </c>
      <c r="Q342" s="294">
        <f>+SUM(Q330:Q341)</f>
        <v>27409.64</v>
      </c>
      <c r="R342" s="297"/>
      <c r="S342" s="294">
        <f t="shared" si="54"/>
        <v>5979.3799999999974</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0.33678751697912085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0.86773221283063395</v>
      </c>
      <c r="L363" s="294">
        <f>L342+L361</f>
        <v>54568.26</v>
      </c>
      <c r="M363" s="296"/>
      <c r="N363" s="294" t="e">
        <f>L363-F363</f>
        <v>#N/A</v>
      </c>
      <c r="O363" s="295" t="s">
        <v>115</v>
      </c>
      <c r="P363" s="293">
        <f>Q363/Q$326</f>
        <v>0.4311540102628848</v>
      </c>
      <c r="Q363" s="294">
        <f>Q342+Q361</f>
        <v>38357.72</v>
      </c>
      <c r="R363" s="297"/>
      <c r="S363" s="294">
        <f>L363-Q363</f>
        <v>16210.54</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8317.7999999999811</v>
      </c>
      <c r="M365" s="958"/>
      <c r="N365" s="956" t="e">
        <f>L365-F365</f>
        <v>#N/A</v>
      </c>
      <c r="O365" s="957"/>
      <c r="P365" s="955"/>
      <c r="Q365" s="956">
        <f>Q326-Q363</f>
        <v>50607.519999999975</v>
      </c>
      <c r="R365" s="959"/>
      <c r="S365" s="956">
        <f>L365-Q365</f>
        <v>-42289.719999999994</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0.32300577118066348</v>
      </c>
      <c r="L406" s="294">
        <f>+SUM(L394:L405)</f>
        <v>29820.710000000003</v>
      </c>
      <c r="M406" s="296"/>
      <c r="N406" s="294" t="e">
        <f t="shared" si="71"/>
        <v>#N/A</v>
      </c>
      <c r="O406" s="295" t="s">
        <v>115</v>
      </c>
      <c r="P406" s="293">
        <f>Q406/Q$390</f>
        <v>0.31030138196214518</v>
      </c>
      <c r="Q406" s="294">
        <f>+SUM(Q394:Q405)</f>
        <v>30298.099999999973</v>
      </c>
      <c r="R406" s="297"/>
      <c r="S406" s="294">
        <f t="shared" si="72"/>
        <v>-477.38999999997031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0.41910809853239422</v>
      </c>
      <c r="L427" s="294">
        <f>L406+L425</f>
        <v>38693.120000000003</v>
      </c>
      <c r="M427" s="296"/>
      <c r="N427" s="294" t="e">
        <f>L427-F427</f>
        <v>#N/A</v>
      </c>
      <c r="O427" s="295" t="s">
        <v>115</v>
      </c>
      <c r="P427" s="293">
        <f>Q427/Q$390</f>
        <v>0.43884876908114701</v>
      </c>
      <c r="Q427" s="294">
        <f>Q406+Q425</f>
        <v>42849.579999999973</v>
      </c>
      <c r="R427" s="297"/>
      <c r="S427" s="294">
        <f>L427-Q427</f>
        <v>-4156.45999999997</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53629.410000000185</v>
      </c>
      <c r="M429" s="958"/>
      <c r="N429" s="956" t="e">
        <f>L429-F429</f>
        <v>#N/A</v>
      </c>
      <c r="O429" s="957"/>
      <c r="P429" s="955"/>
      <c r="Q429" s="956">
        <f>Q390-Q427</f>
        <v>54791.3</v>
      </c>
      <c r="R429" s="959"/>
      <c r="S429" s="956">
        <f>L429-Q429</f>
        <v>-1161.8899999998175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0.29459373003220662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0.29459373003220662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34973.930000000008</v>
      </c>
      <c r="M486" s="958"/>
      <c r="N486" s="956"/>
      <c r="O486" s="957"/>
      <c r="P486" s="955"/>
      <c r="Q486" s="956">
        <f>Q448-Q484</f>
        <v>48143.309999999983</v>
      </c>
      <c r="R486" s="959"/>
      <c r="S486" s="956">
        <f>L486-Q486</f>
        <v>-13169.379999999976</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3.4194558059277236E-2</v>
      </c>
      <c r="AE494" s="393"/>
      <c r="AF494" s="391">
        <f>L27+L109+L182+L268+L326+L390+L448</f>
        <v>471063.17999999708</v>
      </c>
      <c r="AG494" s="392"/>
      <c r="AH494" s="393" t="e">
        <f>AF494-Z494</f>
        <v>#N/A</v>
      </c>
      <c r="AI494" s="394" t="e">
        <f>AH494/Z494</f>
        <v>#N/A</v>
      </c>
      <c r="AJ494" s="754">
        <f>AL494/AL493</f>
        <v>4.2011977298220475E-2</v>
      </c>
      <c r="AK494" s="393"/>
      <c r="AL494" s="391">
        <f>Q27+Q109+Q182+Q268+Q326+Q390+Q448</f>
        <v>789154.20999998925</v>
      </c>
      <c r="AM494" s="395"/>
      <c r="AN494" s="393">
        <f>AF494-AL494</f>
        <v>-318091.02999999217</v>
      </c>
      <c r="AO494" s="396">
        <f>IF(AL494=0,0,AN494/AL494)</f>
        <v>-0.40307841733492938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-41.317402597402342</v>
      </c>
      <c r="AF498" s="399">
        <f t="shared" si="76"/>
        <v>-3181.4399999999805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197.81145156926434</v>
      </c>
      <c r="AN498" s="401">
        <f t="shared" si="83"/>
        <v>19774.930000000022</v>
      </c>
      <c r="AO498" s="408">
        <f t="shared" si="84"/>
        <v>-0.86141362941963473</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576.2162337662345</v>
      </c>
      <c r="AF502" s="399">
        <f t="shared" si="76"/>
        <v>44368.650000000052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-436.42053706709885</v>
      </c>
      <c r="AN502" s="401">
        <f t="shared" si="83"/>
        <v>-52844.479999999952</v>
      </c>
      <c r="AO502" s="408">
        <f t="shared" si="84"/>
        <v>-0.54359405977361241</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0.10634450351224732</v>
      </c>
      <c r="AE506" s="419"/>
      <c r="AF506" s="416">
        <f>SUM(AF496:AF505)</f>
        <v>50094.980000000083</v>
      </c>
      <c r="AG506" s="418"/>
      <c r="AH506" s="419" t="e">
        <f t="shared" ref="AH506:AH538" si="88">AF506-Z506</f>
        <v>#N/A</v>
      </c>
      <c r="AI506" s="415" t="e">
        <f>AH506/Z506</f>
        <v>#N/A</v>
      </c>
      <c r="AJ506" s="417">
        <f>AL506/AL494</f>
        <v>0.14553349465119336</v>
      </c>
      <c r="AK506" s="419"/>
      <c r="AL506" s="416">
        <f>SUM(AL496:AL505)</f>
        <v>114848.37000000017</v>
      </c>
      <c r="AM506" s="423"/>
      <c r="AN506" s="419">
        <f t="shared" si="86"/>
        <v>-64753.390000000087</v>
      </c>
      <c r="AO506" s="396">
        <f t="shared" si="87"/>
        <v>-0.56381636065013363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29211.570000000011</v>
      </c>
      <c r="AG510" s="400"/>
      <c r="AH510" s="401" t="e">
        <f t="shared" si="88"/>
        <v>#N/A</v>
      </c>
      <c r="AI510" s="402" t="e">
        <f t="shared" si="89"/>
        <v>#N/A</v>
      </c>
      <c r="AJ510" s="407"/>
      <c r="AK510" s="406"/>
      <c r="AL510" s="399">
        <f>SUMIFS(BV_Data_An_Prec!$AM:$AM,BV_Data_An_Prec!$AQ:$AQ,$V510)</f>
        <v>90767.849999999962</v>
      </c>
      <c r="AM510" s="403"/>
      <c r="AN510" s="401">
        <f t="shared" si="86"/>
        <v>-61556.279999999955</v>
      </c>
      <c r="AO510" s="408">
        <f t="shared" si="87"/>
        <v>-0.67817272305116827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0.44932212702338847</v>
      </c>
      <c r="AE520" s="421"/>
      <c r="AF520" s="416">
        <f>SUM(AF507:AF519)</f>
        <v>211659.11</v>
      </c>
      <c r="AG520" s="418"/>
      <c r="AH520" s="419" t="e">
        <f t="shared" si="88"/>
        <v>#N/A</v>
      </c>
      <c r="AI520" s="415" t="e">
        <f>AH520/Z520</f>
        <v>#N/A</v>
      </c>
      <c r="AJ520" s="417">
        <f>AL520/AL494</f>
        <v>0.41600824761487926</v>
      </c>
      <c r="AK520" s="421"/>
      <c r="AL520" s="416">
        <f>SUM(AL507:AL519)</f>
        <v>328294.65999999997</v>
      </c>
      <c r="AM520" s="423"/>
      <c r="AN520" s="419">
        <f t="shared" si="86"/>
        <v>-116635.54999999999</v>
      </c>
      <c r="AO520" s="396">
        <f t="shared" si="87"/>
        <v>-0.35527702460953825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0.20883385536522003</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0.27191388637082775</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1.0364143722716836</v>
      </c>
      <c r="AE555" s="414"/>
      <c r="AF555" s="416">
        <f>AF506+AF520+AF539+AF553</f>
        <v>488216.65000000008</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-238716.60000000003</v>
      </c>
      <c r="AO555" s="396">
        <f t="shared" ref="AO555:AO568" si="98">IF(AL555=0,0,AN555/AL555)</f>
        <v>-0.32838861064616315</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0.12554791482535391</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3.047882095880537E-3</v>
      </c>
      <c r="AF570" s="468">
        <f>AF494-AF555+AF568</f>
        <v>41987.529999996994</v>
      </c>
      <c r="AG570" s="470"/>
      <c r="AH570" s="470" t="e">
        <f>AF570-Z570</f>
        <v>#N/A</v>
      </c>
      <c r="AI570" s="471" t="e">
        <f>AH570/Z570</f>
        <v>#N/A</v>
      </c>
      <c r="AJ570" s="466" t="s">
        <v>215</v>
      </c>
      <c r="AK570" s="467">
        <f>AL570/AL493</f>
        <v>3.6459318245816975E-3</v>
      </c>
      <c r="AL570" s="468">
        <f>AL494-AL555+AL568</f>
        <v>68485.289999989123</v>
      </c>
      <c r="AM570" s="472"/>
      <c r="AN570" s="469">
        <f>AF570-AL570</f>
        <v>-26497.759999992129</v>
      </c>
      <c r="AO570" s="473">
        <f>IF(AL570=0,0,AN570/AL570)</f>
        <v>-0.38691170030814409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6.2686101061588239E-3</v>
      </c>
      <c r="AF575" s="752">
        <f>AF576+AF502</f>
        <v>86356.179999997054</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-79342.239999992074</v>
      </c>
      <c r="AO575" s="753">
        <f t="shared" ref="AO575:AO585" si="104">IF(AL575=0,0,AN575/AL575)</f>
        <v>-0.47883522365510356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3.047882095880537E-3</v>
      </c>
      <c r="AF576" s="468">
        <f>AF570</f>
        <v>41987.529999996994</v>
      </c>
      <c r="AG576" s="469"/>
      <c r="AH576" s="470" t="e">
        <f>AF576-Z576</f>
        <v>#N/A</v>
      </c>
      <c r="AI576" s="471" t="e">
        <f>AH576/Z576</f>
        <v>#N/A</v>
      </c>
      <c r="AJ576" s="466" t="s">
        <v>215</v>
      </c>
      <c r="AK576" s="467">
        <f>IF($AL$493=0,0,AL576/$AL$493)</f>
        <v>3.6459318245816975E-3</v>
      </c>
      <c r="AL576" s="468">
        <f>AL570</f>
        <v>68485.289999989123</v>
      </c>
      <c r="AM576" s="474"/>
      <c r="AN576" s="475">
        <f t="shared" si="103"/>
        <v>-26497.759999992129</v>
      </c>
      <c r="AO576" s="476">
        <f t="shared" si="104"/>
        <v>-0.38691170030814409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8208.2000000000116</v>
      </c>
      <c r="AG580" s="35"/>
      <c r="AH580" s="401" t="e">
        <f t="shared" si="105"/>
        <v>#N/A</v>
      </c>
      <c r="AI580" s="420" t="e">
        <f t="shared" si="106"/>
        <v>#N/A</v>
      </c>
      <c r="AJ580" s="35"/>
      <c r="AK580" s="38"/>
      <c r="AL580" s="399">
        <f>SUMIFS(BV_Data_An_Prec!$AM:$AM,BV_Data_An_Prec!$AQ:$AQ,$V580)</f>
        <v>0</v>
      </c>
      <c r="AM580" s="480"/>
      <c r="AN580" s="401">
        <f t="shared" si="103"/>
        <v>8208.2000000000116</v>
      </c>
      <c r="AO580" s="408">
        <f t="shared" si="104"/>
        <v>0</v>
      </c>
      <c r="AP580" s="35"/>
      <c r="AQ580" s="35">
        <v>7941</v>
      </c>
      <c r="AR580" s="91">
        <f>AQ580-AF580</f>
        <v>-267.20000000001164</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1.6673476544432958E-3</v>
      </c>
      <c r="AF585" s="468">
        <f>AF576-AF578-AF579-AF580-AF584-AF583</f>
        <v>22969.329999996982</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-34725.829999992144</v>
      </c>
      <c r="AO585" s="482">
        <f t="shared" si="104"/>
        <v>-0.60188462949056187</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22969.33</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3.0195224098861217E-9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8" zoomScale="80" zoomScaleNormal="80" workbookViewId="0">
      <selection activeCell="AR578" sqref="AR578"/>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671.85825842696636</v>
      </c>
      <c r="L33" s="952">
        <f>SUMIFS(BV_Data_An_Cour!$AN:$AN,BV_Data_An_Cour!$AP:$AP,$B33,BV_Data_An_Cour!$AQ:$AQ,$C33,BV_Data_An_Cour!$AR:$AR,L$2)</f>
        <v>239181.54</v>
      </c>
      <c r="M33" s="243"/>
      <c r="N33" s="266" t="e">
        <f t="shared" si="15"/>
        <v>#N/A</v>
      </c>
      <c r="O33" s="243"/>
      <c r="P33" s="281">
        <f t="shared" si="16"/>
        <v>-62.653225806451616</v>
      </c>
      <c r="Q33" s="266">
        <f>SUMIFS(BV_Data_An_Prec!$AN:$AN,BV_Data_An_Prec!$AP:$AP,$B33,BV_Data_An_Prec!$AQ:$AQ,$C33,BV_Data_An_Prec!$AR:$AR,Q$2)</f>
        <v>-33018.25</v>
      </c>
      <c r="R33" s="243"/>
      <c r="S33" s="266">
        <f t="shared" si="18"/>
        <v>272199.79000000004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-0.31042293210842015</v>
      </c>
      <c r="L41" s="294">
        <f>SUM(L31:L40)</f>
        <v>-504119.91000000003</v>
      </c>
      <c r="M41" s="296"/>
      <c r="N41" s="294" t="e">
        <f t="shared" si="15"/>
        <v>#N/A</v>
      </c>
      <c r="O41" s="295" t="s">
        <v>115</v>
      </c>
      <c r="P41" s="293">
        <f>Q41/Q$27</f>
        <v>-0.35012653269640109</v>
      </c>
      <c r="Q41" s="294">
        <f>SUM(Q31:Q40)</f>
        <v>-877938.85999999987</v>
      </c>
      <c r="R41" s="297"/>
      <c r="S41" s="294">
        <f t="shared" si="20"/>
        <v>373818.94999999984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39957.29</v>
      </c>
      <c r="M44" s="233"/>
      <c r="N44" s="303" t="e">
        <f t="shared" si="15"/>
        <v>#N/A</v>
      </c>
      <c r="O44" s="233"/>
      <c r="P44" s="301"/>
      <c r="Q44" s="281">
        <f>SUMIFS(BV_Data_An_Prec!$AN:$AN,BV_Data_An_Prec!$AP:$AP,$B44,BV_Data_An_Prec!$AQ:$AQ,$C44,BV_Data_An_Prec!$AR:$AR,Q$2)</f>
        <v>26446.33</v>
      </c>
      <c r="R44" s="233"/>
      <c r="S44" s="303">
        <f t="shared" si="21"/>
        <v>13510.96</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0.30872803811397254</v>
      </c>
      <c r="L54" s="294">
        <f>+SUM(L42:L53)</f>
        <v>501367.44</v>
      </c>
      <c r="M54" s="296"/>
      <c r="N54" s="294" t="e">
        <f>+SUM(N42:N53)</f>
        <v>#N/A</v>
      </c>
      <c r="O54" s="295" t="s">
        <v>115</v>
      </c>
      <c r="P54" s="293">
        <f>Q54/Q$27</f>
        <v>0.2549221816908141</v>
      </c>
      <c r="Q54" s="294">
        <f>+SUM(Q42:Q53)</f>
        <v>639214.88000000012</v>
      </c>
      <c r="R54" s="297"/>
      <c r="S54" s="294">
        <f>+SUM(S42:S53)</f>
        <v>-96361.140000000014</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0.16860773707559673</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0.16691284308114912</v>
      </c>
      <c r="L74" s="294">
        <f>L41+L54+L72</f>
        <v>271062.73</v>
      </c>
      <c r="M74" s="296"/>
      <c r="N74" s="294" t="e">
        <f t="shared" ref="N74:N82" si="24">L74-F74</f>
        <v>#N/A</v>
      </c>
      <c r="O74" s="295" t="s">
        <v>115</v>
      </c>
      <c r="P74" s="293">
        <f>Q74/Q$27</f>
        <v>2.0635135236399444E-2</v>
      </c>
      <c r="Q74" s="294">
        <f>Q41+Q54+Q72</f>
        <v>51742.400000000256</v>
      </c>
      <c r="R74" s="297"/>
      <c r="S74" s="294">
        <f>L74-Q74</f>
        <v>219320.32999999973</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1698431.9999999991</v>
      </c>
      <c r="M85" s="958"/>
      <c r="N85" s="956" t="e">
        <f>N27-N41-N54-N72+N83</f>
        <v>#N/A</v>
      </c>
      <c r="O85" s="957"/>
      <c r="P85" s="955"/>
      <c r="Q85" s="956">
        <f>Q27-Q74+Q83</f>
        <v>2659477.8999999953</v>
      </c>
      <c r="R85" s="959"/>
      <c r="S85" s="956">
        <f>L85-Q85</f>
        <v>-961045.89999999618</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1259.4824561403509</v>
      </c>
      <c r="L119" s="658">
        <f>SUMIFS(BV_Data_An_Cour!$AN:$AN,BV_Data_An_Cour!$AP:$AP,$B119,BV_Data_An_Cour!$AQ:$AQ,$C119,BV_Data_An_Cour!$AR:$AR,$L$2)</f>
        <v>215371.5</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33054.160000000003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0.420859536383688</v>
      </c>
      <c r="L136" s="294">
        <f>SUM(L124:L135)</f>
        <v>203081.91</v>
      </c>
      <c r="M136" s="296"/>
      <c r="N136" s="294" t="e">
        <f t="shared" si="44"/>
        <v>#N/A</v>
      </c>
      <c r="O136" s="295" t="s">
        <v>115</v>
      </c>
      <c r="P136" s="293">
        <f>Q136/Q$109</f>
        <v>0.44185234882683061</v>
      </c>
      <c r="Q136" s="294">
        <f>SUM(Q124:Q135)</f>
        <v>205226.85999999996</v>
      </c>
      <c r="R136" s="297"/>
      <c r="S136" s="294">
        <f t="shared" si="45"/>
        <v>-2144.9499999999534</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1.4854700067556978</v>
      </c>
      <c r="L156" s="294">
        <f>L123+L136+L154</f>
        <v>716799.93</v>
      </c>
      <c r="M156" s="296"/>
      <c r="N156" s="294" t="e">
        <f t="shared" ref="N156:N163" si="48">L156-F156</f>
        <v>#N/A</v>
      </c>
      <c r="O156" s="295" t="s">
        <v>115</v>
      </c>
      <c r="P156" s="293">
        <f>Q156/Q$109</f>
        <v>1.3843443954489882</v>
      </c>
      <c r="Q156" s="294">
        <f>Q123+Q136+Q154</f>
        <v>642985.5</v>
      </c>
      <c r="R156" s="297"/>
      <c r="S156" s="294">
        <f t="shared" si="45"/>
        <v>73814.430000000051</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-173634.76000000004</v>
      </c>
      <c r="M166" s="958"/>
      <c r="N166" s="956" t="e">
        <f>L166-F166</f>
        <v>#N/A</v>
      </c>
      <c r="O166" s="957"/>
      <c r="P166" s="955"/>
      <c r="Q166" s="956">
        <f>Q109-Q156+Q164</f>
        <v>-178516.18000000191</v>
      </c>
      <c r="R166" s="959"/>
      <c r="S166" s="956">
        <f t="shared" si="45"/>
        <v>4881.4200000018755</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1.2509890613816037</v>
      </c>
      <c r="L229" s="294">
        <f>L196+L209+L227</f>
        <v>603653.30000000005</v>
      </c>
      <c r="M229" s="296"/>
      <c r="N229" s="294" t="e">
        <f t="shared" ref="N229:N236" si="62">L229-F229</f>
        <v>#N/A</v>
      </c>
      <c r="O229" s="295" t="s">
        <v>115</v>
      </c>
      <c r="P229" s="293">
        <f>Q229/Q$109</f>
        <v>2.0682351850494758</v>
      </c>
      <c r="Q229" s="294">
        <f>Q196+Q209+Q227</f>
        <v>960631.79000000015</v>
      </c>
      <c r="R229" s="297"/>
      <c r="S229" s="294">
        <f t="shared" ref="S229:S236" si="63">L229-Q229</f>
        <v>-356978.49000000011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542918.52000000211</v>
      </c>
      <c r="M239" s="958"/>
      <c r="N239" s="956" t="e">
        <f>L239-F239</f>
        <v>#REF!</v>
      </c>
      <c r="O239" s="957"/>
      <c r="P239" s="955"/>
      <c r="Q239" s="956">
        <f>Q182-Q229+Q237</f>
        <v>187462.42999999865</v>
      </c>
      <c r="R239" s="959"/>
      <c r="S239" s="956">
        <f>L239-Q239</f>
        <v>355456.09000000346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91231.08</v>
      </c>
      <c r="M274" s="233"/>
      <c r="N274" s="303" t="e">
        <f t="shared" si="73"/>
        <v>#N/A</v>
      </c>
      <c r="O274" s="233"/>
      <c r="P274" s="301"/>
      <c r="Q274" s="303">
        <f>SUMIFS(BV_Data_An_Prec!$AN:$AN,BV_Data_An_Prec!$AP:$AP,$B274,BV_Data_An_Prec!$AQ:$AQ,$C274,BV_Data_An_Prec!$AR:$AR,$L$2)</f>
        <v>224220.79999999999</v>
      </c>
      <c r="R274" s="233"/>
      <c r="S274" s="303">
        <f t="shared" si="74"/>
        <v>-132989.71999999997</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0.65901633824969075</v>
      </c>
      <c r="L284" s="294">
        <f>+SUM(L272:L283)</f>
        <v>715630.87000000011</v>
      </c>
      <c r="M284" s="296"/>
      <c r="N284" s="294" t="e">
        <f t="shared" si="73"/>
        <v>#N/A</v>
      </c>
      <c r="O284" s="295" t="s">
        <v>171</v>
      </c>
      <c r="P284" s="293">
        <f>Q284/Q$268</f>
        <v>0.6711981287372677</v>
      </c>
      <c r="Q284" s="294">
        <f>+SUM(Q272:Q283)</f>
        <v>864840.93</v>
      </c>
      <c r="R284" s="297"/>
      <c r="S284" s="294">
        <f t="shared" si="74"/>
        <v>-149210.05999999994</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0.30771919339032544</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0.96673553164001624</v>
      </c>
      <c r="L305" s="294">
        <f>L284+L303</f>
        <v>1049785.4900000002</v>
      </c>
      <c r="M305" s="296"/>
      <c r="N305" s="294" t="e">
        <f>L305-F305</f>
        <v>#N/A</v>
      </c>
      <c r="O305" s="295" t="s">
        <v>115</v>
      </c>
      <c r="P305" s="293">
        <f>Q305/Q$268</f>
        <v>0.8292452578250894</v>
      </c>
      <c r="Q305" s="294">
        <f>Q284+Q303</f>
        <v>1068485.1600000001</v>
      </c>
      <c r="R305" s="297"/>
      <c r="S305" s="294">
        <f>L305-Q305</f>
        <v>-18699.669999999925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36122.139999999898</v>
      </c>
      <c r="M307" s="958"/>
      <c r="N307" s="956" t="e">
        <f>L307-F307</f>
        <v>#N/A</v>
      </c>
      <c r="O307" s="957"/>
      <c r="P307" s="955"/>
      <c r="Q307" s="956">
        <f>Q268-Q305</f>
        <v>220018.0299999998</v>
      </c>
      <c r="R307" s="959"/>
      <c r="S307" s="956">
        <f>L307-Q307</f>
        <v>-183895.8899999999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11.347296835200794</v>
      </c>
      <c r="L342" s="294">
        <f>+SUM(L330:L341)</f>
        <v>233614.97</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0.45827024968249225</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21.200779882376491</v>
      </c>
      <c r="L363" s="294">
        <f>L342+L361</f>
        <v>436475.72000000003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112313.63999999996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0.32210394356201921</v>
      </c>
      <c r="L406" s="294">
        <f>+SUM(L394:L405)</f>
        <v>253275.9</v>
      </c>
      <c r="M406" s="296"/>
      <c r="N406" s="294" t="e">
        <f t="shared" si="103"/>
        <v>#N/A</v>
      </c>
      <c r="O406" s="295" t="s">
        <v>115</v>
      </c>
      <c r="P406" s="293">
        <f>Q406/Q$390</f>
        <v>0.30384264449491177</v>
      </c>
      <c r="Q406" s="294">
        <f>+SUM(Q394:Q405)</f>
        <v>235899.54</v>
      </c>
      <c r="R406" s="297"/>
      <c r="S406" s="294">
        <f t="shared" si="104"/>
        <v>17376.359999999986</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0.44850515750454867</v>
      </c>
      <c r="L427" s="294">
        <f>L406+L425</f>
        <v>352667.36</v>
      </c>
      <c r="M427" s="296"/>
      <c r="N427" s="294" t="e">
        <f>L427-F427</f>
        <v>#N/A</v>
      </c>
      <c r="O427" s="295" t="s">
        <v>115</v>
      </c>
      <c r="P427" s="293">
        <f>Q427/Q$390</f>
        <v>0.44052350425148684</v>
      </c>
      <c r="Q427" s="294">
        <f>Q406+Q425</f>
        <v>342016.81</v>
      </c>
      <c r="R427" s="297"/>
      <c r="S427" s="294">
        <f>L427-Q427</f>
        <v>10650.549999999988</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433649.93000000028</v>
      </c>
      <c r="M429" s="958"/>
      <c r="N429" s="956" t="e">
        <f>L429-F429</f>
        <v>#N/A</v>
      </c>
      <c r="O429" s="957"/>
      <c r="P429" s="955"/>
      <c r="Q429" s="956">
        <f>Q390-Q427</f>
        <v>434370.39000000007</v>
      </c>
      <c r="R429" s="959"/>
      <c r="S429" s="956">
        <f>L429-Q429</f>
        <v>-720.45999999978812</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0.12099144273077189</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4.2588686896147133E-3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0.12525031142038662</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479950.25</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3.7659275749821065E-2</v>
      </c>
      <c r="AE494" s="393"/>
      <c r="AF494" s="391">
        <f>L27+L109+L182+L268+L326+L390+L448</f>
        <v>6222776.1300000018</v>
      </c>
      <c r="AG494" s="392"/>
      <c r="AH494" s="393" t="e">
        <f>AF494-Z494</f>
        <v>#N/A</v>
      </c>
      <c r="AI494" s="394" t="e">
        <f>AH494/Z494</f>
        <v>#N/A</v>
      </c>
      <c r="AJ494" s="754">
        <f>+AL494/AL493</f>
        <v>4.0689101914544126E-2</v>
      </c>
      <c r="AK494" s="393"/>
      <c r="AL494" s="391">
        <f>Q27+Q109+Q182+Q268+Q326+Q390+Q448</f>
        <v>7214386.2599999923</v>
      </c>
      <c r="AM494" s="395"/>
      <c r="AN494" s="393">
        <f>AF494-AL494</f>
        <v>-991610.12999999058</v>
      </c>
      <c r="AO494" s="396">
        <f>IF(AL494=0,0,AN494/AL494)</f>
        <v>-0.13744899347820499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452.8609677419355</v>
      </c>
      <c r="AF498" s="399">
        <f t="shared" si="110"/>
        <v>238657.73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509.14430666811</v>
      </c>
      <c r="AN498" s="401">
        <f t="shared" si="117"/>
        <v>272202.60000000003</v>
      </c>
      <c r="AO498" s="408">
        <f t="shared" si="118"/>
        <v>-8.1145820508471189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4.4586405521228376E-2</v>
      </c>
      <c r="AE506" s="419"/>
      <c r="AF506" s="416">
        <f>SUM(AF496:AF505)</f>
        <v>277451.2200000002</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677862.44000000018</v>
      </c>
      <c r="AO506" s="396">
        <f t="shared" si="123"/>
        <v>-1.6929156980166546</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295685.60000000003</v>
      </c>
      <c r="AG510" s="400"/>
      <c r="AH510" s="401" t="e">
        <f t="shared" si="124"/>
        <v>#N/A</v>
      </c>
      <c r="AI510" s="402" t="e">
        <f t="shared" si="125"/>
        <v>#N/A</v>
      </c>
      <c r="AJ510" s="407"/>
      <c r="AK510" s="406"/>
      <c r="AL510" s="399">
        <f>SUMIFS(BV_Data_An_Prec!$AN:$AN,BV_Data_An_Prec!$AQ:$AQ,$V510)</f>
        <v>709053.80999999994</v>
      </c>
      <c r="AM510" s="403"/>
      <c r="AN510" s="401">
        <f t="shared" si="122"/>
        <v>-413368.2099999999</v>
      </c>
      <c r="AO510" s="408">
        <f t="shared" si="123"/>
        <v>-0.58298566931048568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0.3634701799886218</v>
      </c>
      <c r="AE520" s="421"/>
      <c r="AF520" s="416">
        <f>SUM(AF507:AF519)</f>
        <v>2261793.56</v>
      </c>
      <c r="AG520" s="418"/>
      <c r="AH520" s="419" t="e">
        <f t="shared" si="124"/>
        <v>#N/A</v>
      </c>
      <c r="AI520" s="415" t="e">
        <f>AH520/Z520</f>
        <v>#N/A</v>
      </c>
      <c r="AJ520" s="417">
        <f>IF($AL$494=0,0,AL520/$AL$494)</f>
        <v>0.44930602038488621</v>
      </c>
      <c r="AK520" s="421"/>
      <c r="AL520" s="416">
        <f>SUM(AL507:AL519)</f>
        <v>3241467.1799999997</v>
      </c>
      <c r="AM520" s="423"/>
      <c r="AN520" s="419">
        <f t="shared" si="122"/>
        <v>-979673.61999999965</v>
      </c>
      <c r="AO520" s="396">
        <f t="shared" si="123"/>
        <v>-0.3022315407185458</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0.17094300482251154</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0.16262872211023921</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0.74162831244260086</v>
      </c>
      <c r="AE555" s="414"/>
      <c r="AF555" s="416">
        <f>AF506+AF520+AF539+AF553</f>
        <v>4614986.96</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-388342.84999999963</v>
      </c>
      <c r="AO555" s="396">
        <f t="shared" ref="AO555:AO568" si="136">IF(AL555=0,0,AN555/AL555)</f>
        <v>-7.7616880107289926E-2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6.3886273858288364E-2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1.2136001431528572E-2</v>
      </c>
      <c r="AF570" s="468">
        <f>AF494-AF555+AF568</f>
        <v>2005339.1500000018</v>
      </c>
      <c r="AG570" s="470"/>
      <c r="AH570" s="470" t="e">
        <f>AF570-Z570</f>
        <v>#N/A</v>
      </c>
      <c r="AI570" s="471" t="e">
        <f>AH570/Z570</f>
        <v>#N/A</v>
      </c>
      <c r="AJ570" s="466" t="s">
        <v>215</v>
      </c>
      <c r="AK570" s="467">
        <f>IF($AL$493=0,0,AL570/$AL$493)</f>
        <v>1.5082850059938603E-2</v>
      </c>
      <c r="AL570" s="468">
        <f>AL494-AL555+AL568</f>
        <v>2674266.5999999926</v>
      </c>
      <c r="AM570" s="472"/>
      <c r="AN570" s="469">
        <f>AF570-AL570</f>
        <v>-668927.44999999087</v>
      </c>
      <c r="AO570" s="473">
        <f>IF(AL570=0,0,AN570/AL570)</f>
        <v>-0.25013491549421163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1.7196092894050056E-2</v>
      </c>
      <c r="AF575" s="752">
        <f>AF576+AF502</f>
        <v>2841462.9400000018</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-936976.98999999091</v>
      </c>
      <c r="AO575" s="753">
        <f t="shared" ref="AO575:AO585" si="142">IF(AL575=0,0,AN575/AL575)</f>
        <v>-0.24797985606720832</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1.2136001431528572E-2</v>
      </c>
      <c r="AF576" s="468">
        <f>AF570</f>
        <v>2005339.1500000018</v>
      </c>
      <c r="AG576" s="469"/>
      <c r="AH576" s="470" t="e">
        <f>AF576-Z576</f>
        <v>#N/A</v>
      </c>
      <c r="AI576" s="471" t="e">
        <f>AH576/Z576</f>
        <v>#N/A</v>
      </c>
      <c r="AJ576" s="466" t="s">
        <v>215</v>
      </c>
      <c r="AK576" s="467">
        <f>IF($AL$493=0,0,AL576/$AL$493)</f>
        <v>1.5082850059938603E-2</v>
      </c>
      <c r="AL576" s="468">
        <f>AL570</f>
        <v>2674266.5999999926</v>
      </c>
      <c r="AM576" s="474"/>
      <c r="AN576" s="475">
        <f t="shared" si="141"/>
        <v>-668927.44999999087</v>
      </c>
      <c r="AO576" s="476">
        <f t="shared" si="142"/>
        <v>-0.25013491549421163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40508.560000000012</v>
      </c>
      <c r="AG580" s="35"/>
      <c r="AH580" s="401" t="e">
        <f t="shared" si="143"/>
        <v>#N/A</v>
      </c>
      <c r="AI580" s="420" t="e">
        <f t="shared" si="144"/>
        <v>#N/A</v>
      </c>
      <c r="AJ580" s="35"/>
      <c r="AK580" s="38"/>
      <c r="AL580" s="399">
        <f>SUMIFS(BV_Data_An_Prec!$AN:$AN,BV_Data_An_Prec!$AQ:$AQ,$V580)</f>
        <v>0</v>
      </c>
      <c r="AM580" s="480"/>
      <c r="AN580" s="401">
        <f t="shared" si="141"/>
        <v>40508.560000000012</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1.1403681361945313E-2</v>
      </c>
      <c r="AF585" s="468">
        <f>AF576-AF578-AF579-AF580-AF584-AF583</f>
        <v>1884331.4100000018</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-699232.61999999103</v>
      </c>
      <c r="AO585" s="482">
        <f t="shared" si="142"/>
        <v>-0.27064652235462228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2690.4100000017788</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3" t="s">
        <v>339</v>
      </c>
      <c r="E3" s="1274"/>
      <c r="F3" s="1277"/>
      <c r="G3" s="1276" t="s">
        <v>3207</v>
      </c>
      <c r="H3" s="1274"/>
      <c r="I3" s="1277"/>
      <c r="J3" s="1276" t="s">
        <v>340</v>
      </c>
      <c r="K3" s="1274"/>
      <c r="L3" s="1277"/>
      <c r="M3" s="1276" t="s">
        <v>668</v>
      </c>
      <c r="N3" s="1277"/>
      <c r="O3" s="1273" t="s">
        <v>341</v>
      </c>
      <c r="P3" s="1274"/>
      <c r="Q3" s="1277"/>
      <c r="R3" s="1276" t="s">
        <v>670</v>
      </c>
      <c r="S3" s="1277"/>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3" t="s">
        <v>339</v>
      </c>
      <c r="E91" s="1274"/>
      <c r="F91" s="1277"/>
      <c r="G91" s="1276" t="s">
        <v>3210</v>
      </c>
      <c r="H91" s="1274"/>
      <c r="I91" s="1277"/>
      <c r="J91" s="1276" t="s">
        <v>340</v>
      </c>
      <c r="K91" s="1274"/>
      <c r="L91" s="1277"/>
      <c r="M91" s="1276" t="s">
        <v>668</v>
      </c>
      <c r="N91" s="1277"/>
      <c r="O91" s="1273" t="s">
        <v>341</v>
      </c>
      <c r="P91" s="1274"/>
      <c r="Q91" s="1277"/>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3" t="s">
        <v>339</v>
      </c>
      <c r="E244" s="1274"/>
      <c r="F244" s="1277"/>
      <c r="G244" s="1276" t="s">
        <v>3210</v>
      </c>
      <c r="H244" s="1274"/>
      <c r="I244" s="1277"/>
      <c r="J244" s="1276" t="s">
        <v>340</v>
      </c>
      <c r="K244" s="1274"/>
      <c r="L244" s="1277"/>
      <c r="M244" s="1276" t="s">
        <v>668</v>
      </c>
      <c r="N244" s="1277"/>
      <c r="O244" s="1273" t="s">
        <v>341</v>
      </c>
      <c r="P244" s="1274"/>
      <c r="Q244" s="1277"/>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3" t="s">
        <v>339</v>
      </c>
      <c r="E312" s="1274"/>
      <c r="F312" s="1277"/>
      <c r="G312" s="1276" t="s">
        <v>3210</v>
      </c>
      <c r="H312" s="1274"/>
      <c r="I312" s="1277"/>
      <c r="J312" s="1276" t="s">
        <v>340</v>
      </c>
      <c r="K312" s="1274"/>
      <c r="L312" s="1277"/>
      <c r="M312" s="1276" t="s">
        <v>668</v>
      </c>
      <c r="N312" s="1277"/>
      <c r="O312" s="1273" t="s">
        <v>341</v>
      </c>
      <c r="P312" s="1274"/>
      <c r="Q312" s="1277"/>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3" t="s">
        <v>339</v>
      </c>
      <c r="E369" s="1274"/>
      <c r="F369" s="1277"/>
      <c r="G369" s="1276" t="s">
        <v>3210</v>
      </c>
      <c r="H369" s="1274"/>
      <c r="I369" s="1277"/>
      <c r="J369" s="1276" t="s">
        <v>340</v>
      </c>
      <c r="K369" s="1274"/>
      <c r="L369" s="1277"/>
      <c r="M369" s="1276" t="s">
        <v>668</v>
      </c>
      <c r="N369" s="1277"/>
      <c r="O369" s="1273" t="s">
        <v>341</v>
      </c>
      <c r="P369" s="1274"/>
      <c r="Q369" s="1277"/>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3" t="s">
        <v>339</v>
      </c>
      <c r="E434" s="1274"/>
      <c r="F434" s="1277"/>
      <c r="G434" s="1276"/>
      <c r="H434" s="1274"/>
      <c r="I434" s="1277"/>
      <c r="J434" s="1276" t="s">
        <v>340</v>
      </c>
      <c r="K434" s="1274"/>
      <c r="L434" s="1277"/>
      <c r="M434" s="1276"/>
      <c r="N434" s="1277"/>
      <c r="O434" s="1273" t="s">
        <v>341</v>
      </c>
      <c r="P434" s="1274"/>
      <c r="Q434" s="1277"/>
      <c r="R434" s="1276"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80" t="s">
        <v>3210</v>
      </c>
      <c r="AB491" s="1285"/>
      <c r="AC491" s="1284"/>
      <c r="AD491" s="1280" t="s">
        <v>340</v>
      </c>
      <c r="AE491" s="1285"/>
      <c r="AF491" s="1284"/>
      <c r="AG491" s="1280" t="s">
        <v>668</v>
      </c>
      <c r="AH491" s="1285"/>
      <c r="AI491" s="1284"/>
      <c r="AJ491" s="1280" t="s">
        <v>593</v>
      </c>
      <c r="AK491" s="1285"/>
      <c r="AL491" s="1285"/>
      <c r="AM491" s="1280"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topLeftCell="A28"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089"/>
  <sheetViews>
    <sheetView topLeftCell="AI1" zoomScale="80" zoomScaleNormal="80" workbookViewId="0">
      <selection activeCell="AK1111" sqref="AK1111"/>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327872.67</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86633.83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239181.54</v>
      </c>
      <c r="O8" s="706">
        <v>249007.05</v>
      </c>
      <c r="P8" s="706">
        <v>0</v>
      </c>
      <c r="Q8" s="706">
        <v>0</v>
      </c>
      <c r="R8" s="706">
        <v>0</v>
      </c>
      <c r="S8" s="706">
        <v>29897.69</v>
      </c>
      <c r="T8" s="706">
        <v>29897.69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-3972.7599999999802</v>
      </c>
      <c r="AN8" s="905">
        <f>INDEX(G8:R8,1,MATCH(Parametres!$B$3,G$1:R$1,0))*IF(OR(F8="L",F8="S",F8="I"),-1,1)</f>
        <v>239181.54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-16766.310000000001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11724.83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-230688</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-62124.34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39957.29</v>
      </c>
      <c r="O51" s="706">
        <v>40712.65</v>
      </c>
      <c r="P51" s="706">
        <v>0</v>
      </c>
      <c r="Q51" s="706">
        <v>0</v>
      </c>
      <c r="R51" s="706">
        <v>0</v>
      </c>
      <c r="S51" s="706">
        <v>4994.66</v>
      </c>
      <c r="T51" s="706">
        <v>4994.66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4987.5800000000017</v>
      </c>
      <c r="AN51" s="905">
        <f>INDEX(G51:R51,1,MATCH(Parametres!$B$3,G$1:R$1,0))*IF(OR(F51="L",F51="S",F51="I"),-1,1)</f>
        <v>39957.29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91231.08</v>
      </c>
      <c r="O55" s="706">
        <v>92752.63</v>
      </c>
      <c r="P55" s="706">
        <v>0</v>
      </c>
      <c r="Q55" s="706">
        <v>0</v>
      </c>
      <c r="R55" s="706">
        <v>0</v>
      </c>
      <c r="S55" s="706">
        <v>11403.89</v>
      </c>
      <c r="T55" s="706">
        <v>11403.89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8348.7700000000041</v>
      </c>
      <c r="AN55" s="905">
        <f>INDEX(G55:R55,1,MATCH(Parametres!$B$3,G$1:R$1,0))*IF(OR(F55="L",F55="S",F55="I"),-1,1)</f>
        <v>91231.08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57144.76</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22747.74</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106211.3</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34313.49</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20354.39</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59517.75</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14982.9</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7456.8</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2274.77</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14475.63</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10048.58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9018.91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82757.39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-1065.98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7499.2</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hidden="1"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hidden="1"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16474.3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6212.51</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11495.52</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3462.07</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3667.79</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43220.91</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95887.63</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75217.320000000007</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13094.97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26472.01</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25317.08</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17936.07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30923.83</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75705.3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5037.5</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2935.99</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4786.37</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1826.02</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1467.92</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446151.58</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215371.5</v>
      </c>
      <c r="O247" s="706">
        <v>213371.5</v>
      </c>
      <c r="P247" s="706">
        <v>0</v>
      </c>
      <c r="Q247" s="706">
        <v>0</v>
      </c>
      <c r="R247" s="706">
        <v>0</v>
      </c>
      <c r="S247" s="706">
        <v>26921.439999999999</v>
      </c>
      <c r="T247" s="706">
        <v>26921.439999999999</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6326.0199999999895</v>
      </c>
      <c r="AN247" s="905">
        <f>INDEX(G247:R247,1,MATCH(Parametres!$B$3,G$1:R$1,0))*IF(OR(F247="L",F247="S",F247="I"),-1,1)</f>
        <v>215371.5</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10317.299999999999</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6026.77</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3649.6</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3013.44</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3013.28</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hidden="1"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24981.57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16133.89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31120.01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13271.89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10167.870000000001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3436</v>
      </c>
      <c r="D291" s="706" t="s">
        <v>3437</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2223366.3199999998</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191822.3</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28953.25</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540754.44999999995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-14156.89</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-7968.93</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92617.67</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881028.03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19084.38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-62461</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389961.25</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-29329.5</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457413.02</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-84468.04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-204755.88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50067.15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15716884.279999999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222701.94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2334483.66</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540629.49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2837932.58</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520173.86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43513.91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15219.3</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-1542.55</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-25932.560000000001</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3442</v>
      </c>
      <c r="D441" s="706" t="s">
        <v>3443</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1110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34830.370000000003</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14154.92</v>
      </c>
      <c r="O447" s="706">
        <v>2220.1</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3619.72</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-6494.5</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314000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-8226.2900000000009</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104255.4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164839.42000000001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-6529.56</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-929.77</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287264.28999999998</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hidden="1"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hidden="1"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778458.81</v>
      </c>
      <c r="O490" s="706">
        <v>1717521.23</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1447985.83</v>
      </c>
      <c r="AN490" s="905">
        <f>INDEX(G490:R490,1,MATCH(Parametres!$B$3,G$1:R$1,0))*IF(OR(F490="L",F490="S",F490="I"),-1,1)</f>
        <v>-778458.81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hidden="1"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6154.77</v>
      </c>
      <c r="O493" s="706">
        <v>-2776.18</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3493.1000000000004</v>
      </c>
      <c r="AN493" s="905">
        <f>INDEX(G493:R493,1,MATCH(Parametres!$B$3,G$1:R$1,0))*IF(OR(F493="L",F493="S",F493="I"),-1,1)</f>
        <v>-6154.77</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1297.0999999999999</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2605.5</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hidden="1"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hidden="1"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hidden="1"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671663.05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hidden="1"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hidden="1"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16630520.550000001</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3658896.84</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hidden="1"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hidden="1"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hidden="1"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-28664.48</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105276.62</v>
      </c>
      <c r="O520" s="706">
        <v>11543.68</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-17224.039999999994</v>
      </c>
      <c r="AN520" s="905">
        <f>INDEX(G520:R520,1,MATCH(Parametres!$B$3,G$1:R$1,0))*IF(OR(F520="L",F520="S",F520="I"),-1,1)</f>
        <v>-105276.62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6671.2</v>
      </c>
      <c r="O521" s="706">
        <v>21820.53</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11822.79</v>
      </c>
      <c r="AN521" s="905">
        <f>INDEX(G521:R521,1,MATCH(Parametres!$B$3,G$1:R$1,0))*IF(OR(F521="L",F521="S",F521="I"),-1,1)</f>
        <v>-6671.2</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-327.02</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hidden="1"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hidden="1"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hidden="1"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721.9</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161951.82</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935137.55</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-7009.39</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51009.5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386508.76</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11359.92</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171652.66</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60216.57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24486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25620.080000000002</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3440</v>
      </c>
      <c r="D565" s="706" t="s">
        <v>3441</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hidden="1"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hidden="1"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hidden="1"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hidden="1"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hidden="1"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hidden="1"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hidden="1"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hidden="1"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hidden="1"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hidden="1"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hidden="1"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hidden="1"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hidden="1"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hidden="1"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hidden="1"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hidden="1"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hidden="1"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hidden="1"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hidden="1"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hidden="1"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hidden="1"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335</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hidden="1"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hidden="1"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hidden="1"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hidden="1"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2325189.88</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53</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905">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hidden="1"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905">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hidden="1"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hidden="1"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hidden="1"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hidden="1"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905">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hidden="1"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314040.14</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5</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hidden="1"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hidden="1"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hidden="1"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hidden="1"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hidden="1"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905">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hidden="1"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905">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hidden="1"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hidden="1"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hidden="1"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905">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hidden="1"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2992021.86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39</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hidden="1"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431610.67</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4</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hidden="1"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hidden="1"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hidden="1"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905">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hidden="1"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3680189.45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47</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hidden="1"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hidden="1"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hidden="1"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hidden="1"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hidden="1"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hidden="1"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hidden="1"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hidden="1"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hidden="1"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hidden="1"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2682338.88</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55</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hidden="1"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hidden="1"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hidden="1"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905">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hidden="1"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hidden="1"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hidden="1"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270224.28999999998</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4</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905">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hidden="1"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hidden="1"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hidden="1"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62961288.799999997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951</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hidden="1"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hidden="1"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545727.44999999995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156</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905">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hidden="1"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hidden="1"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31386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28</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hidden="1"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22771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36</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hidden="1"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hidden="1"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hidden="1"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hidden="1"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683152.48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23</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hidden="1"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hidden="1"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hidden="1"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hidden="1"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hidden="1"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hidden="1"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hidden="1"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hidden="1"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hidden="1"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5510679.8600000003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158</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hidden="1"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hidden="1"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hidden="1"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hidden="1"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hidden="1"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hidden="1"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hidden="1"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7074998.2699999996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186</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hidden="1"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hidden="1"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hidden="1"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hidden="1"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hidden="1"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hidden="1"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hidden="1"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hidden="1"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hidden="1"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hidden="1"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hidden="1"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hidden="1"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10486434.26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318</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hidden="1"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491066.15</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1801</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hidden="1"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hidden="1"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hidden="1"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hidden="1"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17731.490000000002</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136</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hidden="1"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524735.42000000004</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3324</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hidden="1"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hidden="1"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hidden="1"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254747.5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1505</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hidden="1"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hidden="1"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432628.19</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2527</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hidden="1"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420237.05</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2689</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hidden="1"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hidden="1"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197810.71</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1323</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hidden="1"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hidden="1"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105904.48</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286</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hidden="1"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hidden="1"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hidden="1"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416840.87</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1371</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hidden="1"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hidden="1"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hidden="1"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hidden="1"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hidden="1"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hidden="1"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26577.45</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2384</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hidden="1"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38765.980000000003</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75</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hidden="1"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42362.84</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72</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hidden="1"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385566.94</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333</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hidden="1"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96867.42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84</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hidden="1"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7461.93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45</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hidden="1"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hidden="1"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hidden="1"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hidden="1"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hidden="1"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hidden="1"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792</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1</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hidden="1"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hidden="1"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495461</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253</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hidden="1"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5202.34</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13</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hidden="1"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hidden="1"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hidden="1"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hidden="1"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hidden="1"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hidden="1"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hidden="1"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hidden="1"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hidden="1"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164109.91</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345</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hidden="1"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4900.42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22</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hidden="1"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32985.33</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79</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hidden="1"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21820.84</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107</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hidden="1"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2150.0700000000002</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19</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hidden="1"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11078.93</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69</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hidden="1"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520405.45</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1671</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hidden="1"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hidden="1"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417937.72</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1467</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hidden="1"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hidden="1"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315657.46999999997</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1577</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hidden="1"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1147012.1000000001</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2925</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hidden="1"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hidden="1"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hidden="1"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193275.29</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208</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hidden="1"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102043.27</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1518</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hidden="1"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hidden="1"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hidden="1"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hidden="1"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hidden="1"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hidden="1"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hidden="1"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hidden="1"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hidden="1"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hidden="1"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hidden="1"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hidden="1"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hidden="1"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hidden="1"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hidden="1"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hidden="1"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hidden="1"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hidden="1"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hidden="1"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hidden="1"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hidden="1"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hidden="1"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hidden="1"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hidden="1"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hidden="1"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hidden="1"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hidden="1"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hidden="1"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hidden="1"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hidden="1"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hidden="1"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hidden="1"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hidden="1"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hidden="1"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hidden="1"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hidden="1"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905">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hidden="1"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hidden="1"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hidden="1"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hidden="1"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hidden="1"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hidden="1"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hidden="1"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hidden="1"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hidden="1"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hidden="1"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hidden="1"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2258761.06</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905">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hidden="1"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905">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hidden="1"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hidden="1"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hidden="1"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hidden="1"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905">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hidden="1"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302208.49</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hidden="1"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905">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hidden="1"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905">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hidden="1"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905">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hidden="1"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833931.65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905">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2873492.65</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hidden="1"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415400.39</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hidden="1"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905">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hidden="1"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3523735.16</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hidden="1"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hidden="1"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hidden="1"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hidden="1"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hidden="1"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2618269.34</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hidden="1"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hidden="1"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hidden="1"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264635.26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hidden="1"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hidden="1"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62437191.009999998</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hidden="1"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hidden="1"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277070.62</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905">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14093.59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645286.17000000004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hidden="1"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5324022.66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hidden="1"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hidden="1"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hidden="1"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hidden="1"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6990593.2000000002</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hidden="1"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hidden="1"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hidden="1"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hidden="1"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hidden="1"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hidden="1"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hidden="1"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hidden="1"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hidden="1"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10154483.939999999</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hidden="1"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123975</v>
      </c>
      <c r="O922" s="706">
        <v>130771.84</v>
      </c>
      <c r="P922" s="706">
        <v>0</v>
      </c>
      <c r="Q922" s="706">
        <v>0</v>
      </c>
      <c r="R922" s="706">
        <v>0</v>
      </c>
      <c r="S922" s="706">
        <v>15496.88</v>
      </c>
      <c r="T922" s="706">
        <v>15496.88</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13468.869999999995</v>
      </c>
      <c r="AN922" s="905">
        <f>INDEX(G922:R922,1,MATCH(Parametres!$B$3,G$1:R$1,0))*IF(OR(F922="L",F922="S",F922="I"),-1,1)</f>
        <v>123975</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71.05</v>
      </c>
      <c r="O923" s="706">
        <v>71.05</v>
      </c>
      <c r="P923" s="706">
        <v>0</v>
      </c>
      <c r="Q923" s="706">
        <v>0</v>
      </c>
      <c r="R923" s="706">
        <v>0</v>
      </c>
      <c r="S923" s="706">
        <v>8.8800000000000008</v>
      </c>
      <c r="T923" s="706">
        <v>8.8800000000000008</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67.8</v>
      </c>
      <c r="AN923" s="905">
        <f>INDEX(G923:R923,1,MATCH(Parametres!$B$3,G$1:R$1,0))*IF(OR(F923="L",F923="S",F923="I"),-1,1)</f>
        <v>71.05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hidden="1"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hidden="1"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4776.09</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hidden="1"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128974.15</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hidden="1"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58299.6</v>
      </c>
      <c r="O931" s="706">
        <v>66138.91</v>
      </c>
      <c r="P931" s="706">
        <v>0</v>
      </c>
      <c r="Q931" s="706">
        <v>0</v>
      </c>
      <c r="R931" s="706">
        <v>0</v>
      </c>
      <c r="S931" s="706">
        <v>7287.45</v>
      </c>
      <c r="T931" s="706">
        <v>7287.45</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15460.019999999997</v>
      </c>
      <c r="AN931" s="905">
        <f>INDEX(G931:R931,1,MATCH(Parametres!$B$3,G$1:R$1,0))*IF(OR(F931="L",F931="S",F931="I"),-1,1)</f>
        <v>58299.6</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hidden="1"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146828.34</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130119.88</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hidden="1"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hidden="1"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34267.980000000003</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hidden="1"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14887.04</v>
      </c>
      <c r="O939" s="706">
        <v>14887.04</v>
      </c>
      <c r="P939" s="706">
        <v>0</v>
      </c>
      <c r="Q939" s="706">
        <v>0</v>
      </c>
      <c r="R939" s="706">
        <v>0</v>
      </c>
      <c r="S939" s="706">
        <v>1860.88</v>
      </c>
      <c r="T939" s="706">
        <v>1860.88</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5394.6400000000012</v>
      </c>
      <c r="AN939" s="905">
        <f>INDEX(G939:R939,1,MATCH(Parametres!$B$3,G$1:R$1,0))*IF(OR(F939="L",F939="S",F939="I"),-1,1)</f>
        <v>14887.04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3440.71</v>
      </c>
      <c r="O940" s="706">
        <v>3440.71</v>
      </c>
      <c r="P940" s="706">
        <v>0</v>
      </c>
      <c r="Q940" s="706">
        <v>0</v>
      </c>
      <c r="R940" s="706">
        <v>0</v>
      </c>
      <c r="S940" s="706">
        <v>430.09</v>
      </c>
      <c r="T940" s="706">
        <v>430.09</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2023.32</v>
      </c>
      <c r="AN940" s="905">
        <f>INDEX(G940:R940,1,MATCH(Parametres!$B$3,G$1:R$1,0))*IF(OR(F940="L",F940="S",F940="I"),-1,1)</f>
        <v>3440.71</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82460.460000000006</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hidden="1"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hidden="1"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287496.21999999997</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6665.47</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7580.33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134962.57</v>
      </c>
      <c r="O953" s="706">
        <v>138622.21</v>
      </c>
      <c r="P953" s="706">
        <v>0</v>
      </c>
      <c r="Q953" s="706">
        <v>0</v>
      </c>
      <c r="R953" s="706">
        <v>0</v>
      </c>
      <c r="S953" s="706">
        <v>16870.32</v>
      </c>
      <c r="T953" s="706">
        <v>16870.32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10605.740000000005</v>
      </c>
      <c r="AN953" s="905">
        <f>INDEX(G953:R953,1,MATCH(Parametres!$B$3,G$1:R$1,0))*IF(OR(F953="L",F953="S",F953="I"),-1,1)</f>
        <v>134962.57</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26116.62</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2001.69</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hidden="1"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hidden="1"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hidden="1"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hidden="1"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750.23</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hidden="1"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17178.509999999998</v>
      </c>
      <c r="O962" s="706">
        <v>17178.509999999998</v>
      </c>
      <c r="P962" s="706">
        <v>0</v>
      </c>
      <c r="Q962" s="706">
        <v>0</v>
      </c>
      <c r="R962" s="706">
        <v>0</v>
      </c>
      <c r="S962" s="706">
        <v>2147.31</v>
      </c>
      <c r="T962" s="706">
        <v>2147.31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1510.869999999999</v>
      </c>
      <c r="AN962" s="905">
        <f>INDEX(G962:R962,1,MATCH(Parametres!$B$3,G$1:R$1,0))*IF(OR(F962="L",F962="S",F962="I"),-1,1)</f>
        <v>17178.509999999998</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hidden="1"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378977.7</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hidden="1"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hidden="1"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111237.68</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2720.17</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21627.85</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16208.92</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1306.9100000000001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8416.73</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370815.06</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286304.83</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247139.94</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953864.78</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-86290.79</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165564.93</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73757.22</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hidden="1"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hidden="1"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hidden="1"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hidden="1"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hidden="1"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hidden="1"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hidden="1"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hidden="1"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hidden="1"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hidden="1"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hidden="1"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hidden="1"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hidden="1"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hidden="1"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hidden="1"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hidden="1"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hidden="1"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hidden="1"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hidden="1"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hidden="1"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hidden="1"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hidden="1"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hidden="1"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hidden="1"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12124.29</v>
      </c>
      <c r="O1025" s="706">
        <v>13622.79</v>
      </c>
      <c r="P1025" s="706">
        <v>0</v>
      </c>
      <c r="Q1025" s="706">
        <v>0</v>
      </c>
      <c r="R1025" s="706">
        <v>0</v>
      </c>
      <c r="S1025" s="706">
        <v>1515.54</v>
      </c>
      <c r="T1025" s="706">
        <v>1515.54</v>
      </c>
      <c r="U1025" s="706">
        <v>0</v>
      </c>
      <c r="V1025" s="706">
        <v>0</v>
      </c>
      <c r="W1025" s="706">
        <v>-1</v>
      </c>
      <c r="X1025" s="706">
        <v>1</v>
      </c>
      <c r="Y1025" s="706">
        <v>8</v>
      </c>
      <c r="Z1025" s="706">
        <v>9</v>
      </c>
      <c r="AA1025" s="706">
        <v>10</v>
      </c>
      <c r="AB1025" s="706">
        <v>11</v>
      </c>
      <c r="AC1025" s="706">
        <v>11</v>
      </c>
      <c r="AD1025" s="706">
        <v>13</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0</v>
      </c>
      <c r="AN1025" s="905">
        <f>INDEX(G1025:R1025,1,MATCH(Parametres!$B$3,G$1:R$1,0))*IF(OR(F1025="L",F1025="S",F1025="I"),-1,1)</f>
        <v>-12124.29</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0</v>
      </c>
      <c r="AX1025" s="899">
        <f>INDEX(V1025:AG1025,1,MATCH(Parametres!$B$3,V$1:AG$1,0))*IF(OR(C1025="L",C1025="S",C1025="I"),-1,1)</f>
        <v>11</v>
      </c>
      <c r="AY1025" s="487" t="s">
        <v>337</v>
      </c>
      <c r="AZ1025" s="487" t="str">
        <f>+VLOOKUP($AJ1025,Data_Validation!$A:$E,5,0)</f>
        <v>Oui</v>
      </c>
    </row>
    <row r="1026" spans="1:52" ht="15" hidden="1"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hidden="1"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hidden="1"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hidden="1"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hidden="1"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hidden="1"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hidden="1"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hidden="1"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hidden="1"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hidden="1"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hidden="1"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hidden="1"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hidden="1"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hidden="1"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hidden="1"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hidden="1"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hidden="1"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112024.14</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hidden="1"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hidden="1"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hidden="1"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50679.63</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-55</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hidden="1"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hidden="1"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36949.339999999997</v>
      </c>
      <c r="O1057" s="706">
        <v>36949.339999999997</v>
      </c>
      <c r="P1057" s="706">
        <v>0</v>
      </c>
      <c r="Q1057" s="706">
        <v>0</v>
      </c>
      <c r="R1057" s="706">
        <v>0</v>
      </c>
      <c r="S1057" s="706">
        <v>4618.67</v>
      </c>
      <c r="T1057" s="706">
        <v>4618.67</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-1619.5599999999977</v>
      </c>
      <c r="AN1057" s="905">
        <f>INDEX(G1057:R1057,1,MATCH(Parametres!$B$3,G$1:R$1,0))*IF(OR(F1057="L",F1057="S",F1057="I"),-1,1)</f>
        <v>-36949.339999999997</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hidden="1"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6676.04</v>
      </c>
      <c r="O1058" s="706">
        <v>6676.04</v>
      </c>
      <c r="P1058" s="706">
        <v>0</v>
      </c>
      <c r="Q1058" s="706">
        <v>0</v>
      </c>
      <c r="R1058" s="706">
        <v>0</v>
      </c>
      <c r="S1058" s="706">
        <v>834.51</v>
      </c>
      <c r="T1058" s="706">
        <v>834.51</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-1931.92</v>
      </c>
      <c r="AN1058" s="905">
        <f>INDEX(G1058:R1058,1,MATCH(Parametres!$B$3,G$1:R$1,0))*IF(OR(F1058="L",F1058="S",F1058="I"),-1,1)</f>
        <v>-6676.04</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hidden="1"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102509.7</v>
      </c>
      <c r="O1059" s="706">
        <v>102509.7</v>
      </c>
      <c r="P1059" s="706">
        <v>0</v>
      </c>
      <c r="Q1059" s="706">
        <v>0</v>
      </c>
      <c r="R1059" s="706">
        <v>0</v>
      </c>
      <c r="S1059" s="706">
        <v>12813.71</v>
      </c>
      <c r="T1059" s="706">
        <v>12813.71</v>
      </c>
      <c r="U1059" s="706">
        <v>0</v>
      </c>
      <c r="V1059" s="706">
        <v>0</v>
      </c>
      <c r="W1059" s="706">
        <v>0</v>
      </c>
      <c r="X1059" s="706">
        <v>2</v>
      </c>
      <c r="Y1059" s="706">
        <v>4</v>
      </c>
      <c r="Z1059" s="706">
        <v>6</v>
      </c>
      <c r="AA1059" s="706">
        <v>8</v>
      </c>
      <c r="AB1059" s="706">
        <v>10</v>
      </c>
      <c r="AC1059" s="706">
        <v>12</v>
      </c>
      <c r="AD1059" s="706">
        <v>12</v>
      </c>
      <c r="AE1059" s="706">
        <v>0</v>
      </c>
      <c r="AF1059" s="706">
        <v>0</v>
      </c>
      <c r="AG1059" s="706">
        <v>0</v>
      </c>
      <c r="AH1059" s="706">
        <v>2</v>
      </c>
      <c r="AI1059" s="706">
        <v>2</v>
      </c>
      <c r="AJ1059" s="905" t="str">
        <f t="shared" si="110"/>
        <v>G90800</v>
      </c>
      <c r="AK1059" s="905" t="str">
        <f t="shared" si="111"/>
        <v>REVENU INTERET (PRETS)</v>
      </c>
      <c r="AL1059" s="905">
        <f>IFERROR(INDEX(G1059:R1059,1,MATCH(Parametres!$B$3,G$1:R$1,0)-1)*IF(OR(F1059="L",F1059="S",F1059="I"),-1,1),"")</f>
        <v>-89621.54</v>
      </c>
      <c r="AM1059" s="905">
        <f t="shared" si="112"/>
        <v>-12888.160000000003</v>
      </c>
      <c r="AN1059" s="905">
        <f>INDEX(G1059:R1059,1,MATCH(Parametres!$B$3,G$1:R$1,0))*IF(OR(F1059="L",F1059="S",F1059="I"),-1,1)</f>
        <v>-102509.7</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2</v>
      </c>
      <c r="AX1059" s="899">
        <f>INDEX(V1059:AG1059,1,MATCH(Parametres!$B$3,V$1:AG$1,0))*IF(OR(C1059="L",C1059="S",C1059="I"),-1,1)</f>
        <v>12</v>
      </c>
      <c r="AY1059" s="487" t="s">
        <v>337</v>
      </c>
      <c r="AZ1059" s="487">
        <f>+VLOOKUP($AJ1059,Data_Validation!$A:$E,5,0)</f>
        <v>0</v>
      </c>
    </row>
    <row r="1060" spans="1:52" ht="15" hidden="1"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hidden="1"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134326.69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49</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hidden="1"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51531.18</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hidden="1"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hidden="1"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hidden="1"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hidden="1"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hidden="1"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hidden="1"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hidden="1"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filterColumn colId="42">
      <filters>
        <filter val="Fournitures autres"/>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3433</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3438</v>
      </c>
      <c r="C788" s="710" t="s">
        <v>148</v>
      </c>
      <c r="D788" s="710" t="s">
        <v>1081</v>
      </c>
      <c r="E788" s="710"/>
      <c r="F788" s="3"/>
    </row>
    <row r="789" spans="1:6" ht="15" customHeight="1">
      <c r="A789" t="s">
        <v>3388</v>
      </c>
      <c r="B789" t="s">
        <v>3439</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2" t="s">
        <v>14</v>
      </c>
      <c r="D4" s="1293"/>
      <c r="E4" s="1293"/>
      <c r="F4" s="1293"/>
      <c r="G4" s="1294"/>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112297.87999999996</v>
      </c>
      <c r="D12" s="1077"/>
      <c r="E12" s="1078">
        <f t="shared" si="0"/>
        <v>112297.87999999996</v>
      </c>
      <c r="F12" s="1077">
        <f>Print_Mois!Q268</f>
        <v>144346.68</v>
      </c>
      <c r="G12" s="1078">
        <f t="shared" si="1"/>
        <v>-32048.800000000032</v>
      </c>
    </row>
    <row r="13" spans="2:7">
      <c r="B13" s="1100" t="s">
        <v>3191</v>
      </c>
      <c r="C13" s="1076">
        <f>Print_Mois!L448</f>
        <v>49579.840000000011</v>
      </c>
      <c r="D13" s="1077"/>
      <c r="E13" s="1078"/>
      <c r="F13" s="1077">
        <f>Print_Mois!Q448</f>
        <v>48143.309999999983</v>
      </c>
      <c r="G13" s="1078">
        <f t="shared" si="1"/>
        <v>1436.5300000000279</v>
      </c>
    </row>
    <row r="14" spans="2:7">
      <c r="B14" s="1100" t="s">
        <v>3190</v>
      </c>
      <c r="C14" s="1076">
        <f>Print_Mois!L326</f>
        <v>62886.059999999983</v>
      </c>
      <c r="D14" s="1077"/>
      <c r="E14" s="1078"/>
      <c r="F14" s="1077">
        <f>Print_Mois!Q326</f>
        <v>88965.239999999976</v>
      </c>
      <c r="G14" s="1078">
        <f t="shared" si="1"/>
        <v>-26079.179999999993</v>
      </c>
    </row>
    <row r="15" spans="2:7" ht="14.4" thickBot="1">
      <c r="B15" s="1075" t="s">
        <v>3172</v>
      </c>
      <c r="C15" s="1076">
        <f>Print_Mois!L390</f>
        <v>92322.530000000188</v>
      </c>
      <c r="D15" s="1077"/>
      <c r="E15" s="1078">
        <f t="shared" si="0"/>
        <v>92322.530000000188</v>
      </c>
      <c r="F15" s="1077">
        <f>Print_Mois!Q390</f>
        <v>97640.879999999976</v>
      </c>
      <c r="G15" s="1078">
        <f t="shared" si="1"/>
        <v>-5318.3499999997875</v>
      </c>
    </row>
    <row r="16" spans="2:7" ht="14.4" thickTop="1">
      <c r="B16" s="1079" t="s">
        <v>3173</v>
      </c>
      <c r="C16" s="1080">
        <f>SUM(C9:C15)</f>
        <v>471063.17999999708</v>
      </c>
      <c r="D16" s="1081">
        <f>SUM(D9:D15)</f>
        <v>0</v>
      </c>
      <c r="E16" s="1082">
        <f t="shared" si="0"/>
        <v>471063.17999999708</v>
      </c>
      <c r="F16" s="1081">
        <f>SUM(F9:F15)</f>
        <v>789154.20999998925</v>
      </c>
      <c r="G16" s="1082">
        <f t="shared" si="1"/>
        <v>-318091.02999999217</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-488216.65000000008</v>
      </c>
      <c r="D18" s="1077"/>
      <c r="E18" s="1078">
        <f t="shared" si="0"/>
        <v>-488216.65000000008</v>
      </c>
      <c r="F18" s="1077">
        <f>-Print_Mois!AL555</f>
        <v>-726933.25000000012</v>
      </c>
      <c r="G18" s="1078">
        <f t="shared" si="1"/>
        <v>238716.60000000003</v>
      </c>
    </row>
    <row r="19" spans="2:7" ht="14.4" thickBot="1">
      <c r="B19" s="1075" t="s">
        <v>3176</v>
      </c>
      <c r="C19" s="1076">
        <f>-Print_Mois!AF578-Print_Mois!AF579-Print_Mois!AF580-Print_Mois!AF581-Print_Mois!AF583</f>
        <v>-19018.200000000012</v>
      </c>
      <c r="D19" s="1077"/>
      <c r="E19" s="1078">
        <f t="shared" si="0"/>
        <v>-19018.200000000012</v>
      </c>
      <c r="F19" s="1077">
        <f>-Print_Mois!AL578-Print_Mois!AL579-Print_Mois!AL580-Print_Mois!AL581-Print_Mois!AL583</f>
        <v>-10790.13</v>
      </c>
      <c r="G19" s="1078">
        <f t="shared" si="1"/>
        <v>-8228.0700000000124</v>
      </c>
    </row>
    <row r="20" spans="2:7" ht="15" thickTop="1" thickBot="1">
      <c r="B20" s="1083" t="s">
        <v>3177</v>
      </c>
      <c r="C20" s="1084">
        <f>SUM(C16:C19)</f>
        <v>22969.329999996931</v>
      </c>
      <c r="D20" s="1085">
        <f t="shared" ref="D20:G20" si="2">SUM(D16:D19)</f>
        <v>0</v>
      </c>
      <c r="E20" s="1086">
        <f t="shared" si="2"/>
        <v>22969.329999996931</v>
      </c>
      <c r="F20" s="1085">
        <f t="shared" si="2"/>
        <v>57695.159999989097</v>
      </c>
      <c r="G20" s="1086">
        <f t="shared" si="2"/>
        <v>-34725.829999992166</v>
      </c>
    </row>
    <row r="21" spans="2:7" ht="14.4" thickBot="1"/>
    <row r="22" spans="2:7" ht="21.6" thickBot="1">
      <c r="C22" s="1292" t="s">
        <v>3434</v>
      </c>
      <c r="D22" s="1293"/>
      <c r="E22" s="1293"/>
      <c r="F22" s="1293"/>
      <c r="G22" s="1294"/>
    </row>
    <row r="23" spans="2:7" ht="28.2" thickBot="1">
      <c r="B23" s="1061"/>
      <c r="C23" s="1062" t="s">
        <v>3187</v>
      </c>
      <c r="D23" s="1063" t="s">
        <v>3178</v>
      </c>
      <c r="E23" s="1064" t="s">
        <v>3165</v>
      </c>
      <c r="F23" s="1063" t="s">
        <v>3179</v>
      </c>
      <c r="G23" s="1064" t="s">
        <v>3166</v>
      </c>
    </row>
    <row r="24" spans="2:7" ht="14.4"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1085907.6300000001</v>
      </c>
      <c r="D30" s="1077"/>
      <c r="E30" s="1078"/>
      <c r="F30" s="1077">
        <f>Print_AAD!Q268</f>
        <v>1288503.19</v>
      </c>
      <c r="G30" s="1078">
        <f t="shared" si="4"/>
        <v>-202595.55999999982</v>
      </c>
    </row>
    <row r="31" spans="2:7">
      <c r="B31" s="1100" t="s">
        <v>3191</v>
      </c>
      <c r="C31" s="1076">
        <f>Print_AAD!L448</f>
        <v>548671.53</v>
      </c>
      <c r="D31" s="1077"/>
      <c r="E31" s="1078"/>
      <c r="F31" s="1077">
        <f>Print_AAD!Q448</f>
        <v>511346.58999999997</v>
      </c>
      <c r="G31" s="1078">
        <f t="shared" si="4"/>
        <v>37324.940000000061</v>
      </c>
    </row>
    <row r="32" spans="2:7">
      <c r="B32" s="1100" t="s">
        <v>3190</v>
      </c>
      <c r="C32" s="1076">
        <f>Print_AAD!L326</f>
        <v>548789.36</v>
      </c>
      <c r="D32" s="1077"/>
      <c r="E32" s="1078">
        <f t="shared" si="3"/>
        <v>548789.36</v>
      </c>
      <c r="F32" s="1077">
        <f>Print_AAD!Q326</f>
        <v>518095.51000000007</v>
      </c>
      <c r="G32" s="1078">
        <f t="shared" si="4"/>
        <v>30693.849999999919</v>
      </c>
    </row>
    <row r="33" spans="2:8" ht="14.4" thickBot="1">
      <c r="B33" s="1075" t="s">
        <v>3172</v>
      </c>
      <c r="C33" s="1076">
        <f>Print_AAD!L390</f>
        <v>786317.29000000027</v>
      </c>
      <c r="D33" s="1077"/>
      <c r="E33" s="1078">
        <f t="shared" si="3"/>
        <v>786317.29000000027</v>
      </c>
      <c r="F33" s="1077">
        <f>Print_AAD!Q390</f>
        <v>776387.20000000007</v>
      </c>
      <c r="G33" s="1078">
        <f t="shared" si="4"/>
        <v>9930.0900000002002</v>
      </c>
    </row>
    <row r="34" spans="2:8" ht="14.4" thickTop="1">
      <c r="B34" s="1079" t="s">
        <v>3173</v>
      </c>
      <c r="C34" s="1080">
        <f>SUM(C27:C33)</f>
        <v>6222776.1300000018</v>
      </c>
      <c r="D34" s="1081">
        <f>SUM(D27:D33)</f>
        <v>0</v>
      </c>
      <c r="E34" s="1082">
        <f t="shared" si="3"/>
        <v>6222776.1300000018</v>
      </c>
      <c r="F34" s="1081">
        <f>SUM(F27:F33)</f>
        <v>7214386.2599999923</v>
      </c>
      <c r="G34" s="1082">
        <f t="shared" si="4"/>
        <v>-991610.12999999058</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-4614986.96</v>
      </c>
      <c r="D36" s="1077"/>
      <c r="E36" s="1078">
        <f t="shared" si="3"/>
        <v>-4614986.96</v>
      </c>
      <c r="F36" s="1077">
        <f>-Print_AAD!AL555</f>
        <v>-5003329.8099999996</v>
      </c>
      <c r="G36" s="1078">
        <f t="shared" si="4"/>
        <v>388342.84999999963</v>
      </c>
      <c r="H36" s="1102" t="s">
        <v>3192</v>
      </c>
    </row>
    <row r="37" spans="2:8" ht="14.4" thickBot="1">
      <c r="B37" s="1075" t="s">
        <v>3180</v>
      </c>
      <c r="C37" s="1076">
        <f>-Print_AAD!AF578-Print_AAD!AF579-Print_AAD!AF580-Print_AAD!AF581-Print_AAD!AF583</f>
        <v>-121007.74000000002</v>
      </c>
      <c r="D37" s="1077"/>
      <c r="E37" s="1078">
        <f t="shared" si="3"/>
        <v>-121007.74000000002</v>
      </c>
      <c r="F37" s="1077">
        <f>-Print_AAD!AL578-Print_AAD!AL579-Print_AAD!AL580-Print_AAD!AL581-Print_AAD!AL583</f>
        <v>-90702.57</v>
      </c>
      <c r="G37" s="1078">
        <f t="shared" si="4"/>
        <v>-30305.170000000013</v>
      </c>
    </row>
    <row r="38" spans="2:8" ht="15" thickTop="1" thickBot="1">
      <c r="B38" s="1083" t="s">
        <v>3177</v>
      </c>
      <c r="C38" s="1084">
        <f t="shared" ref="C38:G38" si="5">SUM(C34:C37)</f>
        <v>1884331.4100000013</v>
      </c>
      <c r="D38" s="1085">
        <f t="shared" si="5"/>
        <v>0</v>
      </c>
      <c r="E38" s="1086">
        <f t="shared" si="5"/>
        <v>1884331.4100000013</v>
      </c>
      <c r="F38" s="1085">
        <f t="shared" si="5"/>
        <v>2583564.0299999933</v>
      </c>
      <c r="G38" s="1086">
        <f t="shared" si="5"/>
        <v>-699232.61999999091</v>
      </c>
    </row>
    <row r="40" spans="2:8" ht="21.6" hidden="1" thickBot="1">
      <c r="C40" s="1292" t="s">
        <v>3181</v>
      </c>
      <c r="D40" s="1293"/>
      <c r="E40" s="1293"/>
      <c r="F40" s="1293"/>
      <c r="G40" s="1294"/>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2" t="s">
        <v>3206</v>
      </c>
      <c r="D54" s="1293"/>
      <c r="E54" s="1293"/>
      <c r="F54" s="1293"/>
      <c r="G54" s="1294"/>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3425</v>
      </c>
      <c r="F1" s="1248" t="s">
        <v>3426</v>
      </c>
      <c r="I1" s="1248" t="s">
        <v>3427</v>
      </c>
      <c r="L1" s="1248" t="s">
        <v>3428</v>
      </c>
      <c r="O1" s="1248" t="s">
        <v>3429</v>
      </c>
      <c r="R1" s="1248" t="s">
        <v>3430</v>
      </c>
      <c r="U1" s="1248" t="s">
        <v>3435</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2026-09-18T02:51:46Z</dcterms:modified>
</cp:coreProperties>
</file>