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w-my.sharepoint.com/personal/rodriggu_staff_vuw_ac_nz/Documents/"/>
    </mc:Choice>
  </mc:AlternateContent>
  <xr:revisionPtr revIDLastSave="11182" documentId="8_{E3494BC7-B87E-4536-9C82-4FA6F6C600B2}" xr6:coauthVersionLast="36" xr6:coauthVersionMax="47" xr10:uidLastSave="{905C05D3-0775-4AFA-8197-D95E77BA37A3}"/>
  <bookViews>
    <workbookView minimized="1" xWindow="0" yWindow="0" windowWidth="23040" windowHeight="9060" firstSheet="1" activeTab="4" xr2:uid="{5A90C85A-91C3-48C5-B775-4FF0E3EDC2FB}"/>
  </bookViews>
  <sheets>
    <sheet name="Writting Gantt" sheetId="36" r:id="rId1"/>
    <sheet name="Gantt" sheetId="3" r:id="rId2"/>
    <sheet name="Per Tool Deadlines" sheetId="1" r:id="rId3"/>
    <sheet name="Overall Comp" sheetId="33" r:id="rId4"/>
    <sheet name="C Pending" sheetId="59" r:id="rId5"/>
    <sheet name="synteny" sheetId="60" r:id="rId6"/>
    <sheet name="C contig" sheetId="30" r:id="rId7"/>
    <sheet name="C Kmer" sheetId="7" r:id="rId8"/>
    <sheet name="C Busco" sheetId="9" r:id="rId9"/>
    <sheet name="C LAI" sheetId="53" r:id="rId10"/>
    <sheet name="C LAI GenQC" sheetId="12" r:id="rId11"/>
    <sheet name="Analysis Steps" sheetId="2" r:id="rId12"/>
    <sheet name="hicstuff" sheetId="52" r:id="rId13"/>
    <sheet name="bandage" sheetId="58" r:id="rId14"/>
    <sheet name="SBATCH STATS" sheetId="22" r:id="rId15"/>
    <sheet name="Tool Description" sheetId="8" r:id="rId16"/>
    <sheet name="MGSE" sheetId="48" r:id="rId17"/>
    <sheet name="tetools_installation" sheetId="38" r:id="rId18"/>
    <sheet name="hicup" sheetId="50" r:id="rId19"/>
    <sheet name="graphs" sheetId="47" r:id="rId20"/>
    <sheet name="tetools" sheetId="45" r:id="rId21"/>
    <sheet name="ltrretriever" sheetId="49" r:id="rId22"/>
    <sheet name="tetoolsDB" sheetId="46" r:id="rId23"/>
    <sheet name="Per Assembler Progress" sheetId="5" r:id="rId24"/>
    <sheet name="ISGA" sheetId="43" r:id="rId25"/>
    <sheet name="Dipasm" sheetId="35" r:id="rId26"/>
    <sheet name="multiqc" sheetId="14" r:id="rId27"/>
    <sheet name="genomescope" sheetId="15" r:id="rId28"/>
    <sheet name="genescope.fk" sheetId="23" r:id="rId29"/>
    <sheet name="genomescope2" sheetId="13" r:id="rId30"/>
    <sheet name="smudgeplot" sheetId="17" r:id="rId31"/>
    <sheet name="kmergenie" sheetId="21" r:id="rId32"/>
    <sheet name="Opt Kmer Merq" sheetId="6" r:id="rId33"/>
    <sheet name="findGSE" sheetId="19" r:id="rId34"/>
    <sheet name="GCE" sheetId="27" r:id="rId35"/>
    <sheet name="ntcard" sheetId="24" r:id="rId36"/>
    <sheet name="longqc" sheetId="18" r:id="rId37"/>
    <sheet name="covest" sheetId="20" r:id="rId38"/>
    <sheet name="Instragraal" sheetId="56" r:id="rId39"/>
    <sheet name="C NX QUAST5.1" sheetId="10" r:id="rId40"/>
    <sheet name="Oysters" sheetId="34" r:id="rId41"/>
    <sheet name="CheatSheet" sheetId="11" r:id="rId42"/>
    <sheet name="Literature" sheetId="26" r:id="rId43"/>
    <sheet name="isoseq3" sheetId="37" r:id="rId44"/>
    <sheet name="Pop Samples" sheetId="39" r:id="rId45"/>
    <sheet name="mitohifi" sheetId="40" r:id="rId46"/>
    <sheet name="purge_Dups" sheetId="41" r:id="rId47"/>
    <sheet name="coseg" sheetId="42" r:id="rId48"/>
    <sheet name="SW version tracking" sheetId="54" r:id="rId49"/>
    <sheet name="LAI Email" sheetId="55" r:id="rId50"/>
  </sheets>
  <definedNames>
    <definedName name="_xlchart.v1.0" hidden="1">'C Busco'!$AH$4:$AH$34</definedName>
    <definedName name="_xlchart.v1.1" hidden="1">'C Busco'!$AJ$4:$AJ$34</definedName>
    <definedName name="_xlchart.v1.2" hidden="1">'C Busco'!$AI$4:$AI$34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H8" i="53" l="1"/>
  <c r="AF8" i="53"/>
  <c r="CU9" i="9"/>
  <c r="CT9" i="9"/>
  <c r="CS9" i="9"/>
  <c r="CR9" i="9"/>
  <c r="CQ9" i="9"/>
  <c r="CU8" i="9"/>
  <c r="CT8" i="9"/>
  <c r="CS8" i="9"/>
  <c r="CR8" i="9"/>
  <c r="CQ8" i="9"/>
  <c r="BI9" i="30"/>
  <c r="BH9" i="30"/>
  <c r="BG9" i="30"/>
  <c r="BI8" i="30"/>
  <c r="BH8" i="30"/>
  <c r="BG8" i="30"/>
  <c r="H47" i="33" a="1"/>
  <c r="H47" i="33" s="1"/>
  <c r="H41" i="33" a="1"/>
  <c r="H41" i="33" s="1"/>
  <c r="H35" i="33" a="1"/>
  <c r="H35" i="33" s="1"/>
  <c r="H29" i="33" a="1"/>
  <c r="H29" i="33" s="1"/>
  <c r="K31" i="33" a="1"/>
  <c r="N31" i="33" s="1"/>
  <c r="N32" i="33" s="1"/>
  <c r="N33" i="33" s="1"/>
  <c r="N34" i="33" s="1"/>
  <c r="N35" i="33" s="1"/>
  <c r="AH15" i="53"/>
  <c r="AF15" i="53"/>
  <c r="CU15" i="9"/>
  <c r="CT15" i="9"/>
  <c r="CS15" i="9"/>
  <c r="CR15" i="9"/>
  <c r="CQ15" i="9"/>
  <c r="T5" i="53"/>
  <c r="U5" i="53"/>
  <c r="V5" i="53"/>
  <c r="W5" i="53"/>
  <c r="X5" i="53"/>
  <c r="Y5" i="53"/>
  <c r="AC5" i="53"/>
  <c r="AD5" i="53"/>
  <c r="AE5" i="53"/>
  <c r="AF5" i="53"/>
  <c r="AG5" i="53"/>
  <c r="AH5" i="53"/>
  <c r="AC6" i="53"/>
  <c r="AD6" i="53"/>
  <c r="AE6" i="53"/>
  <c r="AF6" i="53"/>
  <c r="AG6" i="53"/>
  <c r="AH6" i="53"/>
  <c r="AC7" i="53"/>
  <c r="AD7" i="53"/>
  <c r="AE7" i="53"/>
  <c r="AF7" i="53"/>
  <c r="AG7" i="53"/>
  <c r="AH7" i="53"/>
  <c r="AC10" i="53"/>
  <c r="AD10" i="53"/>
  <c r="AE10" i="53"/>
  <c r="AF10" i="53"/>
  <c r="AG10" i="53"/>
  <c r="AH10" i="53"/>
  <c r="AC11" i="53"/>
  <c r="AD11" i="53"/>
  <c r="AE11" i="53"/>
  <c r="AF11" i="53"/>
  <c r="AG11" i="53"/>
  <c r="AH11" i="53"/>
  <c r="W12" i="53"/>
  <c r="X12" i="53"/>
  <c r="Y12" i="53"/>
  <c r="Z12" i="53"/>
  <c r="AA12" i="53"/>
  <c r="AB12" i="53"/>
  <c r="AC12" i="53"/>
  <c r="AD12" i="53"/>
  <c r="AE12" i="53"/>
  <c r="AF12" i="53"/>
  <c r="AF30" i="53" s="1"/>
  <c r="AF40" i="53" s="1"/>
  <c r="AG12" i="53"/>
  <c r="AG30" i="53" s="1"/>
  <c r="AG40" i="53" s="1"/>
  <c r="AH12" i="53"/>
  <c r="AH30" i="53" s="1"/>
  <c r="AH40" i="53" s="1"/>
  <c r="AC13" i="53"/>
  <c r="AD13" i="53"/>
  <c r="AE13" i="53"/>
  <c r="AF13" i="53"/>
  <c r="AG13" i="53"/>
  <c r="AH13" i="53"/>
  <c r="AC14" i="53"/>
  <c r="AD14" i="53"/>
  <c r="AE14" i="53"/>
  <c r="AF14" i="53"/>
  <c r="AG14" i="53"/>
  <c r="AH14" i="53"/>
  <c r="AC4" i="53"/>
  <c r="AD4" i="53"/>
  <c r="AE4" i="53"/>
  <c r="AF4" i="53"/>
  <c r="AG4" i="53"/>
  <c r="AH4" i="53"/>
  <c r="R25" i="33"/>
  <c r="R26" i="33" s="1"/>
  <c r="R27" i="33" s="1"/>
  <c r="R28" i="33" s="1"/>
  <c r="R29" i="33" s="1"/>
  <c r="Q25" i="33"/>
  <c r="Q26" i="33" s="1"/>
  <c r="Q27" i="33" s="1"/>
  <c r="Q28" i="33" s="1"/>
  <c r="Q29" i="33" s="1"/>
  <c r="P25" i="33"/>
  <c r="P26" i="33" s="1"/>
  <c r="P27" i="33" s="1"/>
  <c r="P28" i="33" s="1"/>
  <c r="P29" i="33" s="1"/>
  <c r="O25" i="33"/>
  <c r="O26" i="33" s="1"/>
  <c r="O27" i="33" s="1"/>
  <c r="O28" i="33" s="1"/>
  <c r="O29" i="33" s="1"/>
  <c r="N25" i="33"/>
  <c r="N26" i="33" s="1"/>
  <c r="N27" i="33" s="1"/>
  <c r="N28" i="33" s="1"/>
  <c r="N29" i="33" s="1"/>
  <c r="M25" i="33"/>
  <c r="M26" i="33" s="1"/>
  <c r="M27" i="33" s="1"/>
  <c r="M28" i="33" s="1"/>
  <c r="M29" i="33" s="1"/>
  <c r="L25" i="33"/>
  <c r="L26" i="33" s="1"/>
  <c r="L27" i="33" s="1"/>
  <c r="L28" i="33" s="1"/>
  <c r="L29" i="33" s="1"/>
  <c r="K25" i="33"/>
  <c r="K26" i="33" s="1"/>
  <c r="K27" i="33" s="1"/>
  <c r="K28" i="33" s="1"/>
  <c r="K29" i="33" s="1"/>
  <c r="AG25" i="53" l="1"/>
  <c r="AH25" i="53"/>
  <c r="AI5" i="53"/>
  <c r="AF32" i="53"/>
  <c r="AG26" i="53"/>
  <c r="AF31" i="53"/>
  <c r="AK12" i="53"/>
  <c r="AF28" i="53"/>
  <c r="AJ5" i="53"/>
  <c r="AJ12" i="53"/>
  <c r="AH32" i="53"/>
  <c r="AF29" i="53"/>
  <c r="AF27" i="53"/>
  <c r="AM5" i="53"/>
  <c r="AG4" i="33" s="1"/>
  <c r="AF26" i="53"/>
  <c r="AF25" i="53"/>
  <c r="AH29" i="53"/>
  <c r="AH26" i="53"/>
  <c r="AG29" i="53"/>
  <c r="AG24" i="53"/>
  <c r="AF24" i="53"/>
  <c r="AM10" i="53"/>
  <c r="AG7" i="33" s="1"/>
  <c r="AE24" i="53"/>
  <c r="AG32" i="53"/>
  <c r="AG28" i="53"/>
  <c r="AM13" i="53"/>
  <c r="AG10" i="33" s="1"/>
  <c r="AH27" i="53"/>
  <c r="AG27" i="53"/>
  <c r="AL12" i="53"/>
  <c r="AL6" i="53"/>
  <c r="AL4" i="53"/>
  <c r="AL11" i="53"/>
  <c r="AL14" i="53"/>
  <c r="AL10" i="53"/>
  <c r="AL13" i="53"/>
  <c r="AL7" i="53"/>
  <c r="AL5" i="53"/>
  <c r="L31" i="33"/>
  <c r="L32" i="33" s="1"/>
  <c r="L33" i="33" s="1"/>
  <c r="L34" i="33" s="1"/>
  <c r="L35" i="33" s="1"/>
  <c r="Q31" i="33"/>
  <c r="Q32" i="33" s="1"/>
  <c r="Q33" i="33" s="1"/>
  <c r="Q34" i="33" s="1"/>
  <c r="Q35" i="33" s="1"/>
  <c r="P31" i="33"/>
  <c r="P32" i="33" s="1"/>
  <c r="P33" i="33" s="1"/>
  <c r="P34" i="33" s="1"/>
  <c r="P35" i="33" s="1"/>
  <c r="O31" i="33"/>
  <c r="O32" i="33" s="1"/>
  <c r="O33" i="33" s="1"/>
  <c r="O34" i="33" s="1"/>
  <c r="O35" i="33" s="1"/>
  <c r="M31" i="33"/>
  <c r="M32" i="33" s="1"/>
  <c r="M33" i="33" s="1"/>
  <c r="M34" i="33" s="1"/>
  <c r="M35" i="33" s="1"/>
  <c r="K31" i="33"/>
  <c r="K32" i="33" s="1"/>
  <c r="K33" i="33" s="1"/>
  <c r="K34" i="33" s="1"/>
  <c r="K35" i="33" s="1"/>
  <c r="R31" i="33"/>
  <c r="R32" i="33" s="1"/>
  <c r="R33" i="33" s="1"/>
  <c r="R34" i="33" s="1"/>
  <c r="R35" i="33" s="1"/>
  <c r="AG31" i="53"/>
  <c r="AM6" i="53"/>
  <c r="AG5" i="33" s="1"/>
  <c r="AM12" i="53"/>
  <c r="AG9" i="33" s="1"/>
  <c r="AM4" i="53"/>
  <c r="AG3" i="33" s="1"/>
  <c r="AH24" i="53"/>
  <c r="AM7" i="53"/>
  <c r="AG6" i="33" s="1"/>
  <c r="AH28" i="53"/>
  <c r="AM40" i="53"/>
  <c r="AR40" i="53" s="1"/>
  <c r="AG56" i="33" s="1"/>
  <c r="AH31" i="53"/>
  <c r="AM11" i="53"/>
  <c r="AG8" i="33" s="1"/>
  <c r="AM14" i="53"/>
  <c r="AG11" i="33" s="1"/>
  <c r="AT21" i="30"/>
  <c r="AR21" i="30"/>
  <c r="AT20" i="30"/>
  <c r="AR20" i="30"/>
  <c r="AT18" i="30"/>
  <c r="AR18" i="30"/>
  <c r="AT17" i="30"/>
  <c r="AR17" i="30"/>
  <c r="AT16" i="30"/>
  <c r="AR16" i="30"/>
  <c r="AT15" i="30"/>
  <c r="AR15" i="30"/>
  <c r="M26" i="30"/>
  <c r="R28" i="30"/>
  <c r="S28" i="30"/>
  <c r="R29" i="30"/>
  <c r="S29" i="30"/>
  <c r="M30" i="30"/>
  <c r="P30" i="30"/>
  <c r="BX4" i="9"/>
  <c r="BY4" i="9"/>
  <c r="BZ4" i="9"/>
  <c r="CA4" i="9"/>
  <c r="CB4" i="9"/>
  <c r="CC4" i="9"/>
  <c r="CW4" i="9" s="1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BX5" i="9"/>
  <c r="BY5" i="9"/>
  <c r="BZ5" i="9"/>
  <c r="CA5" i="9"/>
  <c r="CB5" i="9"/>
  <c r="CC5" i="9"/>
  <c r="CW5" i="9" s="1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BX6" i="9"/>
  <c r="BY6" i="9"/>
  <c r="BZ6" i="9"/>
  <c r="CA6" i="9"/>
  <c r="CB6" i="9"/>
  <c r="CC6" i="9"/>
  <c r="CW6" i="9" s="1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Q30" i="9" s="1"/>
  <c r="CQ40" i="9" s="1"/>
  <c r="CR12" i="9"/>
  <c r="CR30" i="9" s="1"/>
  <c r="CR40" i="9" s="1"/>
  <c r="CS12" i="9"/>
  <c r="CS30" i="9" s="1"/>
  <c r="CS40" i="9" s="1"/>
  <c r="CT12" i="9"/>
  <c r="CT30" i="9" s="1"/>
  <c r="CT40" i="9" s="1"/>
  <c r="CU12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R32" i="9" s="1"/>
  <c r="CS14" i="9"/>
  <c r="CT14" i="9"/>
  <c r="CU14" i="9"/>
  <c r="CU32" i="9" s="1"/>
  <c r="BW5" i="9"/>
  <c r="BW6" i="9"/>
  <c r="BW7" i="9"/>
  <c r="BW10" i="9"/>
  <c r="BW11" i="9"/>
  <c r="BW12" i="9"/>
  <c r="BW13" i="9"/>
  <c r="BW14" i="9"/>
  <c r="BW4" i="9"/>
  <c r="AQ5" i="30"/>
  <c r="AR5" i="30"/>
  <c r="AS5" i="30"/>
  <c r="AT5" i="30"/>
  <c r="AU5" i="30"/>
  <c r="AV5" i="30"/>
  <c r="AV25" i="30" s="1"/>
  <c r="AW5" i="30"/>
  <c r="AW25" i="30" s="1"/>
  <c r="AX5" i="30"/>
  <c r="AX25" i="30" s="1"/>
  <c r="AY5" i="30"/>
  <c r="AZ5" i="30"/>
  <c r="BA5" i="30"/>
  <c r="BB5" i="30"/>
  <c r="BC5" i="30"/>
  <c r="BD5" i="30"/>
  <c r="BE5" i="30"/>
  <c r="BF5" i="30"/>
  <c r="BG5" i="30"/>
  <c r="BH5" i="30"/>
  <c r="BI5" i="30"/>
  <c r="BJ5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E6" i="30"/>
  <c r="BF6" i="30"/>
  <c r="BG6" i="30"/>
  <c r="BH6" i="30"/>
  <c r="BI6" i="30"/>
  <c r="BJ6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BH10" i="30"/>
  <c r="BI10" i="30"/>
  <c r="BJ10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AQ12" i="30"/>
  <c r="AR12" i="30"/>
  <c r="AR30" i="30" s="1"/>
  <c r="AS12" i="30"/>
  <c r="AT12" i="30"/>
  <c r="AU12" i="30"/>
  <c r="AU30" i="30" s="1"/>
  <c r="AV12" i="30"/>
  <c r="AV30" i="30" s="1"/>
  <c r="AW12" i="30"/>
  <c r="AW30" i="30" s="1"/>
  <c r="AX12" i="30"/>
  <c r="AX30" i="30" s="1"/>
  <c r="AY12" i="30"/>
  <c r="AY30" i="30" s="1"/>
  <c r="AZ12" i="30"/>
  <c r="AZ30" i="30" s="1"/>
  <c r="BA12" i="30"/>
  <c r="BA30" i="30" s="1"/>
  <c r="BB12" i="30"/>
  <c r="BB30" i="30" s="1"/>
  <c r="BC12" i="30"/>
  <c r="BD12" i="30"/>
  <c r="BD30" i="30" s="1"/>
  <c r="BE12" i="30"/>
  <c r="BE30" i="30" s="1"/>
  <c r="BF12" i="30"/>
  <c r="BF30" i="30" s="1"/>
  <c r="BF40" i="30" s="1"/>
  <c r="BG12" i="30"/>
  <c r="BG30" i="30" s="1"/>
  <c r="BH12" i="30"/>
  <c r="BH30" i="30" s="1"/>
  <c r="BH40" i="30" s="1"/>
  <c r="BI12" i="30"/>
  <c r="BI30" i="30" s="1"/>
  <c r="BJ12" i="30"/>
  <c r="BJ30" i="30" s="1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BH14" i="30"/>
  <c r="BI14" i="30"/>
  <c r="BJ14" i="30"/>
  <c r="AR4" i="30"/>
  <c r="AS4" i="30"/>
  <c r="AT4" i="30"/>
  <c r="AU4" i="30"/>
  <c r="AV4" i="30"/>
  <c r="BL4" i="30" s="1"/>
  <c r="AW4" i="30"/>
  <c r="AX4" i="30"/>
  <c r="AY4" i="30"/>
  <c r="AZ4" i="30"/>
  <c r="BA4" i="30"/>
  <c r="BB4" i="30"/>
  <c r="BC4" i="30"/>
  <c r="BD4" i="30"/>
  <c r="BE4" i="30"/>
  <c r="BF4" i="30"/>
  <c r="BG4" i="30"/>
  <c r="BH4" i="30"/>
  <c r="BI4" i="30"/>
  <c r="BJ4" i="30"/>
  <c r="AQ4" i="30"/>
  <c r="AI5" i="7"/>
  <c r="AJ5" i="7"/>
  <c r="AK5" i="7"/>
  <c r="AL5" i="7"/>
  <c r="AM5" i="7"/>
  <c r="AN5" i="7"/>
  <c r="AO5" i="7"/>
  <c r="AP5" i="7"/>
  <c r="AQ5" i="7"/>
  <c r="AR5" i="7"/>
  <c r="AI6" i="7"/>
  <c r="AJ6" i="7"/>
  <c r="AK6" i="7"/>
  <c r="AL6" i="7"/>
  <c r="AM6" i="7"/>
  <c r="AN6" i="7"/>
  <c r="AO6" i="7"/>
  <c r="AP6" i="7"/>
  <c r="AQ6" i="7"/>
  <c r="AR6" i="7"/>
  <c r="AI7" i="7"/>
  <c r="AJ7" i="7"/>
  <c r="AK7" i="7"/>
  <c r="AL7" i="7"/>
  <c r="AM7" i="7"/>
  <c r="AN7" i="7"/>
  <c r="AO7" i="7"/>
  <c r="AP7" i="7"/>
  <c r="AQ7" i="7"/>
  <c r="AR7" i="7"/>
  <c r="AI8" i="7"/>
  <c r="AJ8" i="7"/>
  <c r="AK8" i="7"/>
  <c r="AL8" i="7"/>
  <c r="AM8" i="7"/>
  <c r="AN8" i="7"/>
  <c r="AO8" i="7"/>
  <c r="AP8" i="7"/>
  <c r="AQ8" i="7"/>
  <c r="AR8" i="7"/>
  <c r="AI9" i="7"/>
  <c r="AJ9" i="7"/>
  <c r="AK9" i="7"/>
  <c r="AL9" i="7"/>
  <c r="AM9" i="7"/>
  <c r="AN9" i="7"/>
  <c r="AO9" i="7"/>
  <c r="AP9" i="7"/>
  <c r="AQ9" i="7"/>
  <c r="AR9" i="7"/>
  <c r="AI10" i="7"/>
  <c r="AJ10" i="7"/>
  <c r="AK10" i="7"/>
  <c r="AL10" i="7"/>
  <c r="AM10" i="7"/>
  <c r="AN10" i="7"/>
  <c r="AO10" i="7"/>
  <c r="AP10" i="7"/>
  <c r="AQ10" i="7"/>
  <c r="AR10" i="7"/>
  <c r="AR28" i="7" s="1"/>
  <c r="AR38" i="7" s="1"/>
  <c r="AI11" i="7"/>
  <c r="AJ11" i="7"/>
  <c r="AK11" i="7"/>
  <c r="AL11" i="7"/>
  <c r="AM11" i="7"/>
  <c r="AN11" i="7"/>
  <c r="AO11" i="7"/>
  <c r="AP11" i="7"/>
  <c r="AQ11" i="7"/>
  <c r="AR11" i="7"/>
  <c r="AI12" i="7"/>
  <c r="AJ12" i="7"/>
  <c r="AK12" i="7"/>
  <c r="AL12" i="7"/>
  <c r="AM12" i="7"/>
  <c r="AN12" i="7"/>
  <c r="AO12" i="7"/>
  <c r="AP12" i="7"/>
  <c r="AQ12" i="7"/>
  <c r="AR12" i="7"/>
  <c r="AI4" i="7"/>
  <c r="AJ4" i="7"/>
  <c r="AK4" i="7"/>
  <c r="AL4" i="7"/>
  <c r="AM4" i="7"/>
  <c r="AN4" i="7"/>
  <c r="AO4" i="7"/>
  <c r="AP4" i="7"/>
  <c r="AR4" i="7"/>
  <c r="AQ4" i="7"/>
  <c r="AP28" i="7"/>
  <c r="AP38" i="7" s="1"/>
  <c r="B45" i="33" a="1"/>
  <c r="B45" i="33" s="1"/>
  <c r="D46" i="33" a="1"/>
  <c r="D46" i="33" s="1"/>
  <c r="H46" i="33" a="1"/>
  <c r="H46" i="33" s="1"/>
  <c r="F46" i="33" a="1"/>
  <c r="F46" i="33" s="1"/>
  <c r="B46" i="33" a="1"/>
  <c r="B46" i="33" s="1"/>
  <c r="E46" i="33" a="1"/>
  <c r="E46" i="33" s="1"/>
  <c r="I46" i="33" a="1"/>
  <c r="I46" i="33" s="1"/>
  <c r="C46" i="33" a="1"/>
  <c r="C46" i="33" s="1"/>
  <c r="J46" i="33" a="1"/>
  <c r="J46" i="33" s="1"/>
  <c r="D47" i="33" a="1"/>
  <c r="D47" i="33" s="1"/>
  <c r="F47" i="33" a="1"/>
  <c r="F47" i="33" s="1"/>
  <c r="E47" i="33" a="1"/>
  <c r="E47" i="33" s="1"/>
  <c r="I47" i="33" a="1"/>
  <c r="I47" i="33" s="1"/>
  <c r="C47" i="33" a="1"/>
  <c r="C47" i="33" s="1"/>
  <c r="J47" i="33" a="1"/>
  <c r="J47" i="33" s="1"/>
  <c r="H40" i="33" a="1"/>
  <c r="H40" i="33" s="1"/>
  <c r="F40" i="33" a="1"/>
  <c r="F40" i="33" s="1"/>
  <c r="B40" i="33" a="1"/>
  <c r="B40" i="33" s="1"/>
  <c r="E40" i="33" a="1"/>
  <c r="E40" i="33" s="1"/>
  <c r="I40" i="33" a="1"/>
  <c r="I40" i="33" s="1"/>
  <c r="C40" i="33" a="1"/>
  <c r="C40" i="33" s="1"/>
  <c r="J40" i="33" a="1"/>
  <c r="J40" i="33" s="1"/>
  <c r="F41" i="33" a="1"/>
  <c r="F41" i="33" s="1"/>
  <c r="B41" i="33" a="1"/>
  <c r="B41" i="33" s="1"/>
  <c r="E41" i="33" a="1"/>
  <c r="E41" i="33" s="1"/>
  <c r="I41" i="33" a="1"/>
  <c r="I41" i="33" s="1"/>
  <c r="G41" i="33" a="1"/>
  <c r="G41" i="33" s="1"/>
  <c r="C41" i="33" a="1"/>
  <c r="C41" i="33" s="1"/>
  <c r="J41" i="33" a="1"/>
  <c r="J41" i="33" s="1"/>
  <c r="D41" i="33" a="1"/>
  <c r="D41" i="33" s="1"/>
  <c r="D32" i="33" a="1"/>
  <c r="D32" i="33" s="1"/>
  <c r="F32" i="33" a="1"/>
  <c r="F32" i="33" s="1"/>
  <c r="B32" i="33" a="1"/>
  <c r="B32" i="33" s="1"/>
  <c r="E32" i="33" a="1"/>
  <c r="E32" i="33" s="1"/>
  <c r="I32" i="33" a="1"/>
  <c r="I32" i="33" s="1"/>
  <c r="C32" i="33" a="1"/>
  <c r="C32" i="33" s="1"/>
  <c r="J32" i="33" a="1"/>
  <c r="J32" i="33" s="1"/>
  <c r="D33" i="33" a="1"/>
  <c r="D33" i="33" s="1"/>
  <c r="H33" i="33" a="1"/>
  <c r="H33" i="33" s="1"/>
  <c r="F33" i="33" a="1"/>
  <c r="F33" i="33" s="1"/>
  <c r="B33" i="33" a="1"/>
  <c r="B33" i="33" s="1"/>
  <c r="E33" i="33" a="1"/>
  <c r="E33" i="33" s="1"/>
  <c r="I33" i="33" a="1"/>
  <c r="I33" i="33" s="1"/>
  <c r="C33" i="33" a="1"/>
  <c r="C33" i="33" s="1"/>
  <c r="J33" i="33" a="1"/>
  <c r="J33" i="33" s="1"/>
  <c r="D34" i="33" a="1"/>
  <c r="D34" i="33" s="1"/>
  <c r="H34" i="33" a="1"/>
  <c r="H34" i="33" s="1"/>
  <c r="F34" i="33" a="1"/>
  <c r="F34" i="33" s="1"/>
  <c r="B34" i="33" a="1"/>
  <c r="B34" i="33" s="1"/>
  <c r="E34" i="33" a="1"/>
  <c r="E34" i="33" s="1"/>
  <c r="I34" i="33" a="1"/>
  <c r="I34" i="33" s="1"/>
  <c r="C34" i="33" a="1"/>
  <c r="C34" i="33" s="1"/>
  <c r="J34" i="33" a="1"/>
  <c r="J34" i="33" s="1"/>
  <c r="D35" i="33" a="1"/>
  <c r="D35" i="33" s="1"/>
  <c r="F35" i="33" a="1"/>
  <c r="F35" i="33" s="1"/>
  <c r="B35" i="33" a="1"/>
  <c r="B35" i="33" s="1"/>
  <c r="E35" i="33" a="1"/>
  <c r="E35" i="33" s="1"/>
  <c r="I35" i="33" a="1"/>
  <c r="I35" i="33" s="1"/>
  <c r="C35" i="33" a="1"/>
  <c r="C35" i="33" s="1"/>
  <c r="J35" i="33" a="1"/>
  <c r="J35" i="33" s="1"/>
  <c r="F31" i="33" a="1"/>
  <c r="F31" i="33" s="1"/>
  <c r="B31" i="33" a="1"/>
  <c r="B31" i="33" s="1"/>
  <c r="E31" i="33" a="1"/>
  <c r="E31" i="33" s="1"/>
  <c r="I31" i="33" a="1"/>
  <c r="I31" i="33" s="1"/>
  <c r="G31" i="33" a="1"/>
  <c r="G31" i="33" s="1"/>
  <c r="C31" i="33" a="1"/>
  <c r="C31" i="33" s="1"/>
  <c r="J31" i="33" a="1"/>
  <c r="J31" i="33" s="1"/>
  <c r="D31" i="33" a="1"/>
  <c r="D31" i="33" s="1"/>
  <c r="D26" i="33" a="1"/>
  <c r="D26" i="33" s="1"/>
  <c r="F26" i="33" a="1"/>
  <c r="F26" i="33" s="1"/>
  <c r="B26" i="33" a="1"/>
  <c r="B26" i="33" s="1"/>
  <c r="E26" i="33" a="1"/>
  <c r="E26" i="33" s="1"/>
  <c r="I26" i="33" a="1"/>
  <c r="I26" i="33" s="1"/>
  <c r="C26" i="33" a="1"/>
  <c r="C26" i="33" s="1"/>
  <c r="J26" i="33" a="1"/>
  <c r="J26" i="33" s="1"/>
  <c r="D27" i="33" a="1"/>
  <c r="D27" i="33" s="1"/>
  <c r="H27" i="33" a="1"/>
  <c r="H27" i="33" s="1"/>
  <c r="F27" i="33" a="1"/>
  <c r="F27" i="33" s="1"/>
  <c r="B27" i="33" a="1"/>
  <c r="B27" i="33" s="1"/>
  <c r="E27" i="33" a="1"/>
  <c r="E27" i="33" s="1"/>
  <c r="I27" i="33" a="1"/>
  <c r="I27" i="33" s="1"/>
  <c r="C27" i="33" a="1"/>
  <c r="C27" i="33" s="1"/>
  <c r="J27" i="33" a="1"/>
  <c r="J27" i="33" s="1"/>
  <c r="D28" i="33" a="1"/>
  <c r="D28" i="33" s="1"/>
  <c r="H28" i="33" a="1"/>
  <c r="H28" i="33" s="1"/>
  <c r="F28" i="33" a="1"/>
  <c r="F28" i="33" s="1"/>
  <c r="B28" i="33" a="1"/>
  <c r="B28" i="33" s="1"/>
  <c r="E28" i="33" a="1"/>
  <c r="E28" i="33" s="1"/>
  <c r="I28" i="33" a="1"/>
  <c r="I28" i="33" s="1"/>
  <c r="C28" i="33" a="1"/>
  <c r="C28" i="33" s="1"/>
  <c r="J28" i="33" a="1"/>
  <c r="J28" i="33" s="1"/>
  <c r="D29" i="33" a="1"/>
  <c r="D29" i="33" s="1"/>
  <c r="F29" i="33" a="1"/>
  <c r="F29" i="33" s="1"/>
  <c r="B29" i="33" a="1"/>
  <c r="B29" i="33" s="1"/>
  <c r="E29" i="33" a="1"/>
  <c r="E29" i="33" s="1"/>
  <c r="I29" i="33" a="1"/>
  <c r="I29" i="33" s="1"/>
  <c r="C29" i="33" a="1"/>
  <c r="C29" i="33" s="1"/>
  <c r="J29" i="33" a="1"/>
  <c r="J29" i="33" s="1"/>
  <c r="F25" i="33" a="1"/>
  <c r="F25" i="33" s="1"/>
  <c r="B25" i="33" a="1"/>
  <c r="B25" i="33" s="1"/>
  <c r="E25" i="33" a="1"/>
  <c r="E25" i="33" s="1"/>
  <c r="I25" i="33" a="1"/>
  <c r="I25" i="33" s="1"/>
  <c r="G25" i="33" a="1"/>
  <c r="G25" i="33" s="1"/>
  <c r="C25" i="33" a="1"/>
  <c r="C25" i="33" s="1"/>
  <c r="J25" i="33" a="1"/>
  <c r="J25" i="33" s="1"/>
  <c r="BK4" i="30" l="1"/>
  <c r="CS27" i="9"/>
  <c r="CY7" i="9"/>
  <c r="CQ26" i="9"/>
  <c r="AF33" i="53"/>
  <c r="AF34" i="53" s="1"/>
  <c r="AG33" i="53"/>
  <c r="AG39" i="53" s="1"/>
  <c r="CY10" i="9"/>
  <c r="CY4" i="9"/>
  <c r="CV11" i="9"/>
  <c r="CY6" i="9"/>
  <c r="CY5" i="9"/>
  <c r="CV14" i="9"/>
  <c r="CV12" i="9"/>
  <c r="CV10" i="9"/>
  <c r="CV5" i="9"/>
  <c r="CV6" i="9"/>
  <c r="CV7" i="9"/>
  <c r="CV4" i="9"/>
  <c r="CS28" i="9"/>
  <c r="CR25" i="9"/>
  <c r="CQ31" i="9"/>
  <c r="CY13" i="9"/>
  <c r="CW12" i="9"/>
  <c r="CW10" i="9"/>
  <c r="CW7" i="9"/>
  <c r="BL10" i="30"/>
  <c r="BN7" i="30"/>
  <c r="BK7" i="30"/>
  <c r="BM6" i="30"/>
  <c r="BL5" i="30"/>
  <c r="AW26" i="30"/>
  <c r="AQ28" i="30"/>
  <c r="BE29" i="30"/>
  <c r="AS29" i="30"/>
  <c r="BA27" i="30"/>
  <c r="AV28" i="30"/>
  <c r="BD27" i="30"/>
  <c r="AR27" i="30"/>
  <c r="AZ26" i="30"/>
  <c r="BF28" i="30"/>
  <c r="AT28" i="30"/>
  <c r="BF24" i="30"/>
  <c r="AT24" i="30"/>
  <c r="AT30" i="30"/>
  <c r="AZ29" i="30"/>
  <c r="BL13" i="30"/>
  <c r="AX29" i="30"/>
  <c r="BB27" i="30"/>
  <c r="AW29" i="30"/>
  <c r="BE28" i="30"/>
  <c r="AS28" i="30"/>
  <c r="BI26" i="30"/>
  <c r="BE24" i="30"/>
  <c r="AS24" i="30"/>
  <c r="AR24" i="30"/>
  <c r="BN12" i="30"/>
  <c r="AU29" i="30"/>
  <c r="AY27" i="30"/>
  <c r="AU26" i="30"/>
  <c r="BC24" i="30"/>
  <c r="AQ24" i="30"/>
  <c r="BF25" i="30"/>
  <c r="BM14" i="30"/>
  <c r="BD28" i="30"/>
  <c r="BD24" i="30"/>
  <c r="BF29" i="30"/>
  <c r="AT29" i="30"/>
  <c r="AX27" i="30"/>
  <c r="BF26" i="30"/>
  <c r="AT26" i="30"/>
  <c r="BB25" i="30"/>
  <c r="BE25" i="30"/>
  <c r="BM11" i="30"/>
  <c r="AV29" i="30"/>
  <c r="AR28" i="30"/>
  <c r="AV26" i="30"/>
  <c r="BA28" i="30"/>
  <c r="AW27" i="30"/>
  <c r="BE26" i="30"/>
  <c r="AS26" i="30"/>
  <c r="BA25" i="30"/>
  <c r="AT25" i="30"/>
  <c r="AZ27" i="30"/>
  <c r="AZ28" i="30"/>
  <c r="AV27" i="30"/>
  <c r="BD26" i="30"/>
  <c r="AR26" i="30"/>
  <c r="AZ25" i="30"/>
  <c r="AS25" i="30"/>
  <c r="BC29" i="30"/>
  <c r="AY28" i="30"/>
  <c r="BC26" i="30"/>
  <c r="AY25" i="30"/>
  <c r="BB24" i="30"/>
  <c r="BB29" i="30"/>
  <c r="AX28" i="30"/>
  <c r="BF27" i="30"/>
  <c r="AT27" i="30"/>
  <c r="BB26" i="30"/>
  <c r="BB28" i="30"/>
  <c r="BA24" i="30"/>
  <c r="BK12" i="30"/>
  <c r="BH24" i="30"/>
  <c r="AQ29" i="30"/>
  <c r="AU27" i="30"/>
  <c r="AQ26" i="30"/>
  <c r="BC28" i="30"/>
  <c r="AS30" i="30"/>
  <c r="BA29" i="30"/>
  <c r="AW28" i="30"/>
  <c r="BE27" i="30"/>
  <c r="AS27" i="30"/>
  <c r="BA26" i="30"/>
  <c r="CU25" i="9"/>
  <c r="CT28" i="9"/>
  <c r="CT25" i="9"/>
  <c r="CS29" i="9"/>
  <c r="CS25" i="9"/>
  <c r="CS24" i="9"/>
  <c r="CR24" i="9"/>
  <c r="CR31" i="9"/>
  <c r="CR28" i="9"/>
  <c r="CR29" i="9"/>
  <c r="CQ25" i="9"/>
  <c r="AR23" i="7"/>
  <c r="BJ25" i="30"/>
  <c r="BI24" i="30"/>
  <c r="BI25" i="30"/>
  <c r="BH25" i="30"/>
  <c r="BG25" i="30"/>
  <c r="AV4" i="7"/>
  <c r="AW9" i="7"/>
  <c r="AE8" i="33" s="1"/>
  <c r="AW11" i="7"/>
  <c r="AE10" i="33" s="1"/>
  <c r="AW5" i="7"/>
  <c r="AE4" i="33" s="1"/>
  <c r="AR22" i="7"/>
  <c r="AH33" i="53"/>
  <c r="AH36" i="53" s="1"/>
  <c r="CU28" i="9"/>
  <c r="CU24" i="9"/>
  <c r="CT24" i="9"/>
  <c r="CT31" i="9"/>
  <c r="CS31" i="9"/>
  <c r="CS32" i="9"/>
  <c r="CR26" i="9"/>
  <c r="CR27" i="9"/>
  <c r="AW12" i="7"/>
  <c r="AE11" i="33" s="1"/>
  <c r="AW7" i="7"/>
  <c r="AE6" i="33" s="1"/>
  <c r="AW8" i="7"/>
  <c r="AE7" i="33" s="1"/>
  <c r="AW4" i="7"/>
  <c r="AE3" i="33" s="1"/>
  <c r="AQ23" i="7"/>
  <c r="CZ14" i="9"/>
  <c r="AF11" i="33" s="1"/>
  <c r="CZ10" i="9"/>
  <c r="AF7" i="33" s="1"/>
  <c r="AQ26" i="7"/>
  <c r="AW6" i="7"/>
  <c r="AE5" i="33" s="1"/>
  <c r="BJ29" i="30"/>
  <c r="BJ26" i="30"/>
  <c r="BJ27" i="30"/>
  <c r="BJ28" i="30"/>
  <c r="BJ24" i="30"/>
  <c r="BI29" i="30"/>
  <c r="BI27" i="30"/>
  <c r="BI28" i="30"/>
  <c r="BH29" i="30"/>
  <c r="BH26" i="30"/>
  <c r="BH27" i="30"/>
  <c r="BH28" i="30"/>
  <c r="BG24" i="30"/>
  <c r="BG27" i="30"/>
  <c r="BG28" i="30"/>
  <c r="BG29" i="30"/>
  <c r="BG26" i="30"/>
  <c r="CS26" i="9"/>
  <c r="CV13" i="9"/>
  <c r="CY14" i="9"/>
  <c r="CW14" i="9"/>
  <c r="CW13" i="9"/>
  <c r="CY12" i="9"/>
  <c r="CY11" i="9"/>
  <c r="CW11" i="9"/>
  <c r="CU31" i="9"/>
  <c r="CX13" i="9"/>
  <c r="CZ12" i="9"/>
  <c r="AF9" i="33" s="1"/>
  <c r="CU29" i="9"/>
  <c r="CU27" i="9"/>
  <c r="CX7" i="9"/>
  <c r="CU26" i="9"/>
  <c r="CZ5" i="9"/>
  <c r="AF4" i="33" s="1"/>
  <c r="CX12" i="9"/>
  <c r="CT27" i="9"/>
  <c r="CX11" i="9"/>
  <c r="CX10" i="9"/>
  <c r="CT26" i="9"/>
  <c r="CX6" i="9"/>
  <c r="CX5" i="9"/>
  <c r="CX4" i="9"/>
  <c r="CX14" i="9"/>
  <c r="AR25" i="7"/>
  <c r="AW10" i="7"/>
  <c r="AE9" i="33" s="1"/>
  <c r="BD29" i="30"/>
  <c r="BD25" i="30"/>
  <c r="AR25" i="30"/>
  <c r="AZ24" i="30"/>
  <c r="AR29" i="30"/>
  <c r="BC25" i="30"/>
  <c r="AQ25" i="30"/>
  <c r="AY24" i="30"/>
  <c r="BC30" i="30"/>
  <c r="AQ30" i="30"/>
  <c r="AX24" i="30"/>
  <c r="AW24" i="30"/>
  <c r="AY29" i="30"/>
  <c r="AV24" i="30"/>
  <c r="AU24" i="30"/>
  <c r="AU28" i="30"/>
  <c r="BN10" i="30"/>
  <c r="BL6" i="30"/>
  <c r="BN5" i="30"/>
  <c r="BK5" i="30"/>
  <c r="BC27" i="30"/>
  <c r="AQ27" i="30"/>
  <c r="AY26" i="30"/>
  <c r="AX26" i="30"/>
  <c r="AU25" i="30"/>
  <c r="BJ40" i="30"/>
  <c r="BG40" i="30"/>
  <c r="BO4" i="30"/>
  <c r="AD3" i="33" s="1"/>
  <c r="BO11" i="30"/>
  <c r="AD8" i="33" s="1"/>
  <c r="BM4" i="30"/>
  <c r="BO14" i="30"/>
  <c r="AD11" i="33" s="1"/>
  <c r="BH32" i="30"/>
  <c r="BH31" i="30"/>
  <c r="BL11" i="30"/>
  <c r="BF32" i="30"/>
  <c r="BN4" i="30"/>
  <c r="BL14" i="30"/>
  <c r="BN13" i="30"/>
  <c r="BK13" i="30"/>
  <c r="BM12" i="30"/>
  <c r="BK10" i="30"/>
  <c r="BM7" i="30"/>
  <c r="BO6" i="30"/>
  <c r="AD5" i="33" s="1"/>
  <c r="BK14" i="30"/>
  <c r="BK11" i="30"/>
  <c r="BJ31" i="30"/>
  <c r="BK6" i="30"/>
  <c r="BM5" i="30"/>
  <c r="BI31" i="30"/>
  <c r="BM13" i="30"/>
  <c r="BO12" i="30"/>
  <c r="AD9" i="33" s="1"/>
  <c r="BL12" i="30"/>
  <c r="BN11" i="30"/>
  <c r="BM10" i="30"/>
  <c r="BL7" i="30"/>
  <c r="BN6" i="30"/>
  <c r="BO7" i="30"/>
  <c r="AD6" i="33" s="1"/>
  <c r="BN14" i="30"/>
  <c r="CZ11" i="9"/>
  <c r="AF8" i="33" s="1"/>
  <c r="CU30" i="9"/>
  <c r="CU40" i="9" s="1"/>
  <c r="CZ40" i="9" s="1"/>
  <c r="DE40" i="9" s="1"/>
  <c r="AF56" i="33" s="1"/>
  <c r="CZ6" i="9"/>
  <c r="AF5" i="33" s="1"/>
  <c r="CT32" i="9"/>
  <c r="CT29" i="9"/>
  <c r="CQ27" i="9"/>
  <c r="CQ28" i="9"/>
  <c r="CZ13" i="9"/>
  <c r="AF10" i="33" s="1"/>
  <c r="CQ32" i="9"/>
  <c r="CZ7" i="9"/>
  <c r="AF6" i="33" s="1"/>
  <c r="CZ4" i="9"/>
  <c r="AF3" i="33" s="1"/>
  <c r="CQ29" i="9"/>
  <c r="CQ24" i="9"/>
  <c r="BF31" i="30"/>
  <c r="BI40" i="30"/>
  <c r="BJ32" i="30"/>
  <c r="BG31" i="30"/>
  <c r="BI32" i="30"/>
  <c r="AQ24" i="7"/>
  <c r="AR30" i="7"/>
  <c r="AQ30" i="7"/>
  <c r="AR24" i="7"/>
  <c r="AQ29" i="7"/>
  <c r="AQ25" i="7"/>
  <c r="AR29" i="7"/>
  <c r="AQ28" i="7"/>
  <c r="AQ38" i="7" s="1"/>
  <c r="AW38" i="7" s="1"/>
  <c r="BB38" i="7" s="1"/>
  <c r="AE56" i="33" s="1"/>
  <c r="AQ27" i="7"/>
  <c r="AR27" i="7"/>
  <c r="AR26" i="7"/>
  <c r="AQ22" i="7"/>
  <c r="BO13" i="30"/>
  <c r="AD10" i="33" s="1"/>
  <c r="BO10" i="30"/>
  <c r="AD7" i="33" s="1"/>
  <c r="BO5" i="30"/>
  <c r="AD4" i="33" s="1"/>
  <c r="BG32" i="30"/>
  <c r="D38" i="33" a="1"/>
  <c r="D38" i="33" s="1"/>
  <c r="F38" i="33" a="1"/>
  <c r="F38" i="33" s="1"/>
  <c r="B38" i="33" a="1"/>
  <c r="B38" i="33" s="1"/>
  <c r="E38" i="33" a="1"/>
  <c r="E38" i="33" s="1"/>
  <c r="I38" i="33" a="1"/>
  <c r="I38" i="33" s="1"/>
  <c r="C38" i="33" a="1"/>
  <c r="C38" i="33" s="1"/>
  <c r="J38" i="33" a="1"/>
  <c r="J38" i="33" s="1"/>
  <c r="D39" i="33" a="1"/>
  <c r="D39" i="33" s="1"/>
  <c r="H39" i="33" a="1"/>
  <c r="H39" i="33" s="1"/>
  <c r="F39" i="33" a="1"/>
  <c r="F39" i="33" s="1"/>
  <c r="B39" i="33" a="1"/>
  <c r="B39" i="33" s="1"/>
  <c r="E39" i="33" a="1"/>
  <c r="E39" i="33" s="1"/>
  <c r="I39" i="33" a="1"/>
  <c r="I39" i="33" s="1"/>
  <c r="C39" i="33" a="1"/>
  <c r="C39" i="33" s="1"/>
  <c r="J39" i="33" a="1"/>
  <c r="J39" i="33" s="1"/>
  <c r="D40" i="33" a="1"/>
  <c r="D40" i="33" s="1"/>
  <c r="F37" i="33" a="1"/>
  <c r="F37" i="33" s="1"/>
  <c r="B37" i="33" a="1"/>
  <c r="B37" i="33" s="1"/>
  <c r="E37" i="33" a="1"/>
  <c r="E37" i="33" s="1"/>
  <c r="I37" i="33" a="1"/>
  <c r="I37" i="33" s="1"/>
  <c r="G37" i="33" a="1"/>
  <c r="G37" i="33" s="1"/>
  <c r="C37" i="33" a="1"/>
  <c r="C37" i="33" s="1"/>
  <c r="J37" i="33" a="1"/>
  <c r="J37" i="33" s="1"/>
  <c r="D37" i="33" a="1"/>
  <c r="D37" i="33" s="1"/>
  <c r="D25" i="33" a="1"/>
  <c r="D25" i="33" s="1"/>
  <c r="AG35" i="53" l="1"/>
  <c r="AH35" i="53"/>
  <c r="AF35" i="53"/>
  <c r="AG36" i="53"/>
  <c r="AG34" i="53"/>
  <c r="AF37" i="53"/>
  <c r="AF38" i="53"/>
  <c r="AF41" i="53"/>
  <c r="AF42" i="53"/>
  <c r="AF36" i="53"/>
  <c r="AM36" i="53" s="1"/>
  <c r="AF39" i="53"/>
  <c r="AG42" i="53"/>
  <c r="AG38" i="53"/>
  <c r="AG37" i="53"/>
  <c r="AG41" i="53"/>
  <c r="CR33" i="9"/>
  <c r="CR37" i="9" s="1"/>
  <c r="AH42" i="53"/>
  <c r="AH41" i="53"/>
  <c r="AH37" i="53"/>
  <c r="AH34" i="53"/>
  <c r="AM34" i="53" s="1"/>
  <c r="AH39" i="53"/>
  <c r="AH38" i="53"/>
  <c r="CU33" i="9"/>
  <c r="CU39" i="9" s="1"/>
  <c r="CS33" i="9"/>
  <c r="CS39" i="9" s="1"/>
  <c r="AH8" i="33"/>
  <c r="AH10" i="33"/>
  <c r="AH4" i="33"/>
  <c r="AH7" i="33"/>
  <c r="AH6" i="33"/>
  <c r="AH11" i="33"/>
  <c r="AH3" i="33"/>
  <c r="AH5" i="33"/>
  <c r="BO40" i="30"/>
  <c r="BT40" i="30" s="1"/>
  <c r="AD56" i="33" s="1"/>
  <c r="AH56" i="33" s="1"/>
  <c r="BH33" i="30"/>
  <c r="BH36" i="30" s="1"/>
  <c r="AH9" i="33"/>
  <c r="AR31" i="7"/>
  <c r="AR35" i="7" s="1"/>
  <c r="AQ31" i="7"/>
  <c r="AQ36" i="7" s="1"/>
  <c r="BJ33" i="30"/>
  <c r="BJ42" i="30" s="1"/>
  <c r="CT33" i="9"/>
  <c r="CT35" i="9" s="1"/>
  <c r="CQ33" i="9"/>
  <c r="CQ37" i="9" s="1"/>
  <c r="BI33" i="30"/>
  <c r="BI42" i="30" s="1"/>
  <c r="BG33" i="30"/>
  <c r="BG42" i="30" s="1"/>
  <c r="M56" i="33"/>
  <c r="A103" i="33"/>
  <c r="B103" i="33" a="1"/>
  <c r="B103" i="33" s="1"/>
  <c r="C103" i="33" a="1"/>
  <c r="C103" i="33" s="1"/>
  <c r="D103" i="33" a="1"/>
  <c r="D103" i="33" s="1"/>
  <c r="E103" i="33" a="1"/>
  <c r="E103" i="33" s="1"/>
  <c r="F103" i="33" a="1"/>
  <c r="F103" i="33" s="1"/>
  <c r="G103" i="33" a="1"/>
  <c r="G103" i="33" s="1"/>
  <c r="H103" i="33" a="1"/>
  <c r="H103" i="33" s="1"/>
  <c r="I103" i="33" a="1"/>
  <c r="I103" i="33" s="1"/>
  <c r="AR104" i="33" a="1"/>
  <c r="AR104" i="33" s="1"/>
  <c r="AS104" i="33" a="1"/>
  <c r="AS104" i="33" s="1"/>
  <c r="AL104" i="33" a="1"/>
  <c r="AL104" i="33" s="1"/>
  <c r="AM104" i="33" a="1"/>
  <c r="AM104" i="33" s="1"/>
  <c r="AN104" i="33" a="1"/>
  <c r="AN104" i="33" s="1"/>
  <c r="AO104" i="33" a="1"/>
  <c r="AO104" i="33" s="1"/>
  <c r="AP104" i="33" a="1"/>
  <c r="AP104" i="33" s="1"/>
  <c r="AQ104" i="33" a="1"/>
  <c r="AQ104" i="33" s="1"/>
  <c r="AK104" i="33" a="1"/>
  <c r="AK104" i="33" s="1"/>
  <c r="AA104" i="33" a="1"/>
  <c r="AA104" i="33" s="1"/>
  <c r="AB104" i="33" a="1"/>
  <c r="AB104" i="33" s="1"/>
  <c r="AC104" i="33" a="1"/>
  <c r="AC104" i="33" s="1"/>
  <c r="AD104" i="33" a="1"/>
  <c r="AD104" i="33" s="1"/>
  <c r="AE104" i="33" a="1"/>
  <c r="AE104" i="33" s="1"/>
  <c r="AF104" i="33" a="1"/>
  <c r="AF104" i="33" s="1"/>
  <c r="AG104" i="33" a="1"/>
  <c r="AG104" i="33" s="1"/>
  <c r="AH104" i="33" a="1"/>
  <c r="AH104" i="33" s="1"/>
  <c r="AI104" i="33" a="1"/>
  <c r="AI104" i="33" s="1"/>
  <c r="AJ104" i="33" a="1"/>
  <c r="AJ104" i="33" s="1"/>
  <c r="S104" i="33" a="1"/>
  <c r="S104" i="33" s="1"/>
  <c r="T104" i="33" a="1"/>
  <c r="T104" i="33" s="1"/>
  <c r="U104" i="33" a="1"/>
  <c r="U104" i="33" s="1"/>
  <c r="V104" i="33" a="1"/>
  <c r="V104" i="33" s="1"/>
  <c r="W104" i="33" a="1"/>
  <c r="W104" i="33" s="1"/>
  <c r="X104" i="33" a="1"/>
  <c r="X104" i="33" s="1"/>
  <c r="Y104" i="33" a="1"/>
  <c r="Y104" i="33" s="1"/>
  <c r="Z104" i="33" a="1"/>
  <c r="Z104" i="33" s="1"/>
  <c r="O104" i="33" a="1"/>
  <c r="O104" i="33" s="1"/>
  <c r="P104" i="33" a="1"/>
  <c r="P104" i="33" s="1"/>
  <c r="Q104" i="33" a="1"/>
  <c r="Q104" i="33" s="1"/>
  <c r="R104" i="33" a="1"/>
  <c r="R104" i="33" s="1"/>
  <c r="B104" i="33" a="1"/>
  <c r="B104" i="33" s="1"/>
  <c r="C104" i="33" a="1"/>
  <c r="C104" i="33" s="1"/>
  <c r="D104" i="33" a="1"/>
  <c r="D104" i="33" s="1"/>
  <c r="E104" i="33" a="1"/>
  <c r="E104" i="33" s="1"/>
  <c r="F104" i="33" a="1"/>
  <c r="F104" i="33" s="1"/>
  <c r="G104" i="33" a="1"/>
  <c r="G104" i="33" s="1"/>
  <c r="H104" i="33" a="1"/>
  <c r="H104" i="33" s="1"/>
  <c r="I104" i="33" a="1"/>
  <c r="I104" i="33" s="1"/>
  <c r="J104" i="33" a="1"/>
  <c r="J104" i="33" s="1"/>
  <c r="K104" i="33" a="1"/>
  <c r="K104" i="33" s="1"/>
  <c r="L104" i="33" a="1"/>
  <c r="L104" i="33" s="1"/>
  <c r="M104" i="33" a="1"/>
  <c r="M104" i="33" s="1"/>
  <c r="N104" i="33" a="1"/>
  <c r="N104" i="33" s="1"/>
  <c r="A104" i="33" a="1"/>
  <c r="A104" i="33" s="1"/>
  <c r="B62" i="33"/>
  <c r="B63" i="33"/>
  <c r="B64" i="33"/>
  <c r="C64" i="33" s="1"/>
  <c r="Z8" i="33"/>
  <c r="AM35" i="53" l="1"/>
  <c r="AM37" i="53"/>
  <c r="AM39" i="53"/>
  <c r="AM41" i="53"/>
  <c r="AM42" i="53"/>
  <c r="AM38" i="53"/>
  <c r="CR41" i="9"/>
  <c r="CR38" i="9"/>
  <c r="CR39" i="9"/>
  <c r="CR34" i="9"/>
  <c r="CR42" i="9"/>
  <c r="CR36" i="9"/>
  <c r="CR35" i="9"/>
  <c r="CS42" i="9"/>
  <c r="BH39" i="30"/>
  <c r="BJ35" i="30"/>
  <c r="BH35" i="30"/>
  <c r="BH42" i="30"/>
  <c r="BO42" i="30" s="1"/>
  <c r="CU37" i="9"/>
  <c r="CU35" i="9"/>
  <c r="CS41" i="9"/>
  <c r="CS38" i="9"/>
  <c r="CS36" i="9"/>
  <c r="CS37" i="9"/>
  <c r="CS35" i="9"/>
  <c r="CQ35" i="9"/>
  <c r="AQ33" i="7"/>
  <c r="AR33" i="7"/>
  <c r="AW33" i="7" s="1"/>
  <c r="BI35" i="30"/>
  <c r="BG35" i="30"/>
  <c r="AR37" i="7"/>
  <c r="AR39" i="7"/>
  <c r="AR40" i="7"/>
  <c r="AR36" i="7"/>
  <c r="AW36" i="7" s="1"/>
  <c r="CU41" i="9"/>
  <c r="CU42" i="9"/>
  <c r="CU34" i="9"/>
  <c r="CU36" i="9"/>
  <c r="CU38" i="9"/>
  <c r="CT36" i="9"/>
  <c r="CT34" i="9"/>
  <c r="CS34" i="9"/>
  <c r="CQ34" i="9"/>
  <c r="AQ32" i="7"/>
  <c r="AI3" i="33"/>
  <c r="AR32" i="7"/>
  <c r="CQ41" i="9"/>
  <c r="CQ38" i="9"/>
  <c r="CQ42" i="9"/>
  <c r="BJ34" i="30"/>
  <c r="BI34" i="30"/>
  <c r="BH38" i="30"/>
  <c r="BH34" i="30"/>
  <c r="BH37" i="30"/>
  <c r="BH41" i="30"/>
  <c r="BG34" i="30"/>
  <c r="BG36" i="30"/>
  <c r="AI6" i="33"/>
  <c r="AI7" i="33"/>
  <c r="AI8" i="33"/>
  <c r="AI9" i="33"/>
  <c r="AI4" i="33"/>
  <c r="AI11" i="33"/>
  <c r="AI10" i="33"/>
  <c r="AI5" i="33"/>
  <c r="CQ36" i="9"/>
  <c r="CT41" i="9"/>
  <c r="CT42" i="9"/>
  <c r="CT38" i="9"/>
  <c r="CQ39" i="9"/>
  <c r="CT39" i="9"/>
  <c r="CT37" i="9"/>
  <c r="AR34" i="7"/>
  <c r="AQ39" i="7"/>
  <c r="AQ40" i="7"/>
  <c r="AQ34" i="7"/>
  <c r="AQ35" i="7"/>
  <c r="AW35" i="7" s="1"/>
  <c r="AQ37" i="7"/>
  <c r="BJ36" i="30"/>
  <c r="BJ38" i="30"/>
  <c r="BJ37" i="30"/>
  <c r="BJ39" i="30"/>
  <c r="BJ41" i="30"/>
  <c r="BI41" i="30"/>
  <c r="BI38" i="30"/>
  <c r="BI37" i="30"/>
  <c r="BI39" i="30"/>
  <c r="BI36" i="30"/>
  <c r="BG41" i="30"/>
  <c r="BG38" i="30"/>
  <c r="BG37" i="30"/>
  <c r="BG39" i="30"/>
  <c r="Z6" i="33"/>
  <c r="AD30" i="53"/>
  <c r="AD40" i="53" s="1"/>
  <c r="AE30" i="53"/>
  <c r="AE40" i="53" s="1"/>
  <c r="AV9" i="7"/>
  <c r="X8" i="33" s="1"/>
  <c r="AO28" i="7"/>
  <c r="AO38" i="7" s="1"/>
  <c r="AV38" i="7" s="1"/>
  <c r="AR35" i="53" l="1"/>
  <c r="AG51" i="33" s="1"/>
  <c r="AR42" i="53"/>
  <c r="AG58" i="33" s="1"/>
  <c r="AR36" i="53"/>
  <c r="AG52" i="33" s="1"/>
  <c r="BO36" i="30"/>
  <c r="AR39" i="53"/>
  <c r="AG55" i="33" s="1"/>
  <c r="AR41" i="53"/>
  <c r="AG57" i="33" s="1"/>
  <c r="AR37" i="53"/>
  <c r="AG53" i="33" s="1"/>
  <c r="AR38" i="53"/>
  <c r="AG54" i="33" s="1"/>
  <c r="AR34" i="53"/>
  <c r="AG50" i="33" s="1"/>
  <c r="CZ37" i="9"/>
  <c r="CZ39" i="9"/>
  <c r="CZ36" i="9"/>
  <c r="CZ34" i="9"/>
  <c r="CZ35" i="9"/>
  <c r="CZ41" i="9"/>
  <c r="BO35" i="30"/>
  <c r="AW37" i="7"/>
  <c r="AW39" i="7"/>
  <c r="AW40" i="7"/>
  <c r="AW34" i="7"/>
  <c r="CZ38" i="9"/>
  <c r="Z4" i="33"/>
  <c r="AE32" i="53"/>
  <c r="Z10" i="33"/>
  <c r="AW32" i="7"/>
  <c r="CZ42" i="9"/>
  <c r="BO34" i="30"/>
  <c r="BO37" i="30"/>
  <c r="BO39" i="30"/>
  <c r="BO38" i="30"/>
  <c r="BO41" i="30"/>
  <c r="AP26" i="7"/>
  <c r="AP30" i="7"/>
  <c r="AP23" i="7"/>
  <c r="AP27" i="7"/>
  <c r="AP24" i="7"/>
  <c r="AP25" i="7"/>
  <c r="AP29" i="7"/>
  <c r="Z5" i="33"/>
  <c r="AC26" i="53"/>
  <c r="AC30" i="53"/>
  <c r="AC40" i="53" s="1"/>
  <c r="AL40" i="53" s="1"/>
  <c r="AQ40" i="53" s="1"/>
  <c r="Z56" i="33" s="1"/>
  <c r="Z9" i="33"/>
  <c r="AD29" i="53"/>
  <c r="AC32" i="53"/>
  <c r="Z11" i="33"/>
  <c r="Z7" i="33"/>
  <c r="AC28" i="53"/>
  <c r="AC24" i="53"/>
  <c r="AC29" i="53"/>
  <c r="Z3" i="33"/>
  <c r="AP22" i="7"/>
  <c r="AV12" i="7"/>
  <c r="X11" i="33" s="1"/>
  <c r="AV11" i="7"/>
  <c r="X10" i="33" s="1"/>
  <c r="AV5" i="7"/>
  <c r="X4" i="33" s="1"/>
  <c r="BA38" i="7"/>
  <c r="X56" i="33" s="1"/>
  <c r="AV8" i="7"/>
  <c r="X7" i="33" s="1"/>
  <c r="AV10" i="7"/>
  <c r="X9" i="33" s="1"/>
  <c r="AD32" i="53"/>
  <c r="AD31" i="53"/>
  <c r="AD28" i="53"/>
  <c r="AD27" i="53"/>
  <c r="AD24" i="53"/>
  <c r="AD26" i="53"/>
  <c r="AD25" i="53"/>
  <c r="AE31" i="53"/>
  <c r="AC31" i="53"/>
  <c r="AE29" i="53"/>
  <c r="AE28" i="53"/>
  <c r="AE27" i="53"/>
  <c r="AE25" i="53"/>
  <c r="AC27" i="53"/>
  <c r="AE26" i="53"/>
  <c r="AC25" i="53"/>
  <c r="AO23" i="7"/>
  <c r="AO25" i="7"/>
  <c r="AO30" i="7"/>
  <c r="AO24" i="7"/>
  <c r="AO26" i="7"/>
  <c r="AV7" i="7"/>
  <c r="X6" i="33" s="1"/>
  <c r="AO29" i="7"/>
  <c r="X3" i="33"/>
  <c r="AV6" i="7"/>
  <c r="X5" i="33" s="1"/>
  <c r="AO22" i="7"/>
  <c r="AO27" i="7"/>
  <c r="BC40" i="30"/>
  <c r="BD40" i="30"/>
  <c r="BE40" i="30"/>
  <c r="BB40" i="30"/>
  <c r="K8" i="56"/>
  <c r="X25" i="53"/>
  <c r="X35" i="53" s="1"/>
  <c r="X30" i="53"/>
  <c r="X40" i="53" s="1"/>
  <c r="Y30" i="53"/>
  <c r="Y40" i="53" s="1"/>
  <c r="AB30" i="53"/>
  <c r="AB40" i="53" s="1"/>
  <c r="J14" i="53"/>
  <c r="H14" i="53"/>
  <c r="G14" i="53"/>
  <c r="E14" i="53"/>
  <c r="D14" i="53"/>
  <c r="B14" i="53"/>
  <c r="J13" i="53"/>
  <c r="H13" i="53"/>
  <c r="G13" i="53"/>
  <c r="E13" i="53"/>
  <c r="D13" i="53"/>
  <c r="B13" i="53"/>
  <c r="D12" i="53"/>
  <c r="B12" i="53"/>
  <c r="J11" i="53"/>
  <c r="H11" i="53"/>
  <c r="G11" i="53"/>
  <c r="E11" i="53"/>
  <c r="D11" i="53"/>
  <c r="B11" i="53"/>
  <c r="J10" i="53"/>
  <c r="H10" i="53"/>
  <c r="G10" i="53"/>
  <c r="E10" i="53"/>
  <c r="D10" i="53"/>
  <c r="B10" i="53"/>
  <c r="G7" i="53"/>
  <c r="E7" i="53"/>
  <c r="D7" i="53"/>
  <c r="B7" i="53"/>
  <c r="J6" i="53"/>
  <c r="H6" i="53"/>
  <c r="G6" i="53"/>
  <c r="E6" i="53"/>
  <c r="D6" i="53"/>
  <c r="B6" i="53"/>
  <c r="J5" i="53"/>
  <c r="J4" i="53"/>
  <c r="G4" i="53"/>
  <c r="D4" i="53"/>
  <c r="H5" i="53"/>
  <c r="H4" i="53"/>
  <c r="E4" i="53"/>
  <c r="I14" i="53"/>
  <c r="F14" i="53"/>
  <c r="C14" i="53"/>
  <c r="I13" i="53"/>
  <c r="F13" i="53"/>
  <c r="C13" i="53"/>
  <c r="C12" i="53"/>
  <c r="I11" i="53"/>
  <c r="F11" i="53"/>
  <c r="C11" i="53"/>
  <c r="I10" i="53"/>
  <c r="F10" i="53"/>
  <c r="C10" i="53"/>
  <c r="F7" i="53"/>
  <c r="C7" i="53"/>
  <c r="I6" i="53"/>
  <c r="F6" i="53"/>
  <c r="X6" i="53" s="1"/>
  <c r="C6" i="53"/>
  <c r="I5" i="53"/>
  <c r="I4" i="53"/>
  <c r="F4" i="53"/>
  <c r="C4" i="53"/>
  <c r="B4" i="53"/>
  <c r="AI23" i="7"/>
  <c r="AI33" i="7" s="1"/>
  <c r="AJ23" i="7"/>
  <c r="AJ33" i="7" s="1"/>
  <c r="AK23" i="7"/>
  <c r="AK33" i="7" s="1"/>
  <c r="AL23" i="7"/>
  <c r="AL33" i="7" s="1"/>
  <c r="AK28" i="7"/>
  <c r="AK38" i="7" s="1"/>
  <c r="AL28" i="7"/>
  <c r="AL38" i="7" s="1"/>
  <c r="AM28" i="7"/>
  <c r="AM38" i="7" s="1"/>
  <c r="AR35" i="30"/>
  <c r="AS35" i="30"/>
  <c r="AT35" i="30"/>
  <c r="AU35" i="30"/>
  <c r="AV35" i="30"/>
  <c r="AW35" i="30"/>
  <c r="AX35" i="30"/>
  <c r="AV40" i="30"/>
  <c r="AW40" i="30"/>
  <c r="AX40" i="30"/>
  <c r="AY40" i="30"/>
  <c r="AZ40" i="30"/>
  <c r="BA40" i="30"/>
  <c r="BW26" i="9"/>
  <c r="BW25" i="9"/>
  <c r="BX25" i="9"/>
  <c r="BY25" i="9"/>
  <c r="BZ25" i="9"/>
  <c r="CE27" i="9"/>
  <c r="BX30" i="9"/>
  <c r="BY30" i="9"/>
  <c r="CG30" i="9"/>
  <c r="CE24" i="9"/>
  <c r="BZ30" i="9"/>
  <c r="BY26" i="9"/>
  <c r="BX26" i="9"/>
  <c r="CJ26" i="9"/>
  <c r="CK28" i="9"/>
  <c r="CK25" i="9"/>
  <c r="CK27" i="9"/>
  <c r="CK29" i="9"/>
  <c r="CJ30" i="9"/>
  <c r="CK30" i="9"/>
  <c r="CL30" i="9"/>
  <c r="CN30" i="9"/>
  <c r="CO30" i="9"/>
  <c r="CP30" i="9"/>
  <c r="CK31" i="9"/>
  <c r="CI31" i="9"/>
  <c r="CI30" i="9"/>
  <c r="CI26" i="9"/>
  <c r="CH30" i="9"/>
  <c r="CG31" i="9"/>
  <c r="CF24" i="9"/>
  <c r="CF25" i="9"/>
  <c r="CF26" i="9"/>
  <c r="CF28" i="9"/>
  <c r="CF29" i="9"/>
  <c r="CF30" i="9"/>
  <c r="CF31" i="9"/>
  <c r="CF32" i="9"/>
  <c r="CE25" i="9"/>
  <c r="CE26" i="9"/>
  <c r="CE28" i="9"/>
  <c r="CE29" i="9"/>
  <c r="CE30" i="9"/>
  <c r="CE31" i="9"/>
  <c r="CE32" i="9"/>
  <c r="CD32" i="9"/>
  <c r="CD28" i="9"/>
  <c r="CD29" i="9"/>
  <c r="CD27" i="9"/>
  <c r="CD26" i="9"/>
  <c r="CD25" i="9"/>
  <c r="CC25" i="9"/>
  <c r="CC26" i="9"/>
  <c r="CC27" i="9"/>
  <c r="CC28" i="9"/>
  <c r="CC29" i="9"/>
  <c r="CC30" i="9"/>
  <c r="CC31" i="9"/>
  <c r="CC32" i="9"/>
  <c r="CB24" i="9"/>
  <c r="CB26" i="9"/>
  <c r="CB27" i="9"/>
  <c r="CB28" i="9"/>
  <c r="CB31" i="9"/>
  <c r="CB29" i="9"/>
  <c r="CA25" i="9"/>
  <c r="CA26" i="9"/>
  <c r="CA27" i="9"/>
  <c r="CA29" i="9"/>
  <c r="CA30" i="9"/>
  <c r="CA32" i="9"/>
  <c r="CA24" i="9"/>
  <c r="X13" i="53" l="1"/>
  <c r="W10" i="53"/>
  <c r="AA6" i="53"/>
  <c r="T6" i="53"/>
  <c r="U7" i="53"/>
  <c r="U10" i="53"/>
  <c r="Z6" i="53"/>
  <c r="U4" i="53"/>
  <c r="Z5" i="53"/>
  <c r="AA13" i="53"/>
  <c r="T13" i="53"/>
  <c r="E44" i="33" a="1"/>
  <c r="E44" i="33" s="1"/>
  <c r="Y10" i="53"/>
  <c r="F45" i="33" a="1"/>
  <c r="F45" i="33" s="1"/>
  <c r="AB6" i="53"/>
  <c r="AA4" i="53"/>
  <c r="AA7" i="53"/>
  <c r="AA11" i="53"/>
  <c r="D44" i="33" a="1"/>
  <c r="D44" i="33" s="1"/>
  <c r="Y4" i="53"/>
  <c r="B44" i="33" a="1"/>
  <c r="B44" i="33" s="1"/>
  <c r="Y7" i="53"/>
  <c r="I45" i="33" a="1"/>
  <c r="I45" i="33" s="1"/>
  <c r="AB11" i="53"/>
  <c r="J44" i="33" a="1"/>
  <c r="J44" i="33" s="1"/>
  <c r="Y14" i="53"/>
  <c r="F43" i="33" a="1"/>
  <c r="F43" i="33" s="1"/>
  <c r="V6" i="53"/>
  <c r="C43" i="33" a="1"/>
  <c r="C43" i="33" s="1"/>
  <c r="V13" i="53"/>
  <c r="AA14" i="53"/>
  <c r="U11" i="53"/>
  <c r="AA5" i="53"/>
  <c r="AK5" i="53" s="1"/>
  <c r="D45" i="33" a="1"/>
  <c r="D45" i="33" s="1"/>
  <c r="AB4" i="53"/>
  <c r="AB7" i="53"/>
  <c r="T10" i="53"/>
  <c r="T12" i="53"/>
  <c r="Z14" i="53"/>
  <c r="U12" i="53"/>
  <c r="U6" i="53"/>
  <c r="AI6" i="53" s="1"/>
  <c r="U13" i="53"/>
  <c r="H45" i="33" a="1"/>
  <c r="H45" i="33" s="1"/>
  <c r="AB5" i="53"/>
  <c r="E43" i="33" a="1"/>
  <c r="E43" i="33" s="1"/>
  <c r="V10" i="53"/>
  <c r="G43" i="33" a="1"/>
  <c r="G43" i="33" s="1"/>
  <c r="V12" i="53"/>
  <c r="J45" i="33" a="1"/>
  <c r="J45" i="33" s="1"/>
  <c r="AB14" i="53"/>
  <c r="W13" i="53"/>
  <c r="U14" i="53"/>
  <c r="W6" i="53"/>
  <c r="Z10" i="53"/>
  <c r="X7" i="53"/>
  <c r="X14" i="53"/>
  <c r="F44" i="33" a="1"/>
  <c r="F44" i="33" s="1"/>
  <c r="Y6" i="53"/>
  <c r="E45" i="33" a="1"/>
  <c r="E45" i="33" s="1"/>
  <c r="AB10" i="53"/>
  <c r="C44" i="33" a="1"/>
  <c r="C44" i="33" s="1"/>
  <c r="Y13" i="53"/>
  <c r="AK6" i="53"/>
  <c r="T11" i="53"/>
  <c r="Z13" i="53"/>
  <c r="W4" i="53"/>
  <c r="I43" i="33" a="1"/>
  <c r="I43" i="33" s="1"/>
  <c r="V11" i="53"/>
  <c r="C45" i="33" a="1"/>
  <c r="C45" i="33" s="1"/>
  <c r="AB13" i="53"/>
  <c r="T4" i="53"/>
  <c r="AA10" i="53"/>
  <c r="Z4" i="53"/>
  <c r="Z7" i="53"/>
  <c r="T7" i="53"/>
  <c r="W11" i="53"/>
  <c r="T14" i="53"/>
  <c r="AI14" i="53" s="1"/>
  <c r="J43" i="33" a="1"/>
  <c r="J43" i="33" s="1"/>
  <c r="V14" i="53"/>
  <c r="X10" i="53"/>
  <c r="B43" i="33" a="1"/>
  <c r="B43" i="33" s="1"/>
  <c r="V7" i="53"/>
  <c r="I44" i="33" a="1"/>
  <c r="I44" i="33" s="1"/>
  <c r="Y11" i="53"/>
  <c r="X4" i="53"/>
  <c r="X11" i="53"/>
  <c r="D43" i="33" a="1"/>
  <c r="D43" i="33" s="1"/>
  <c r="V4" i="53"/>
  <c r="W7" i="53"/>
  <c r="Z11" i="53"/>
  <c r="W14" i="53"/>
  <c r="DE35" i="9"/>
  <c r="AF51" i="33" s="1"/>
  <c r="DE36" i="9"/>
  <c r="AF52" i="33" s="1"/>
  <c r="BB33" i="7"/>
  <c r="AE51" i="33" s="1"/>
  <c r="BT35" i="30"/>
  <c r="AD51" i="33" s="1"/>
  <c r="AE33" i="53"/>
  <c r="AE36" i="53" s="1"/>
  <c r="BB32" i="7"/>
  <c r="AE50" i="33" s="1"/>
  <c r="DE34" i="9"/>
  <c r="AF50" i="33" s="1"/>
  <c r="BB34" i="7"/>
  <c r="AE52" i="33" s="1"/>
  <c r="BB40" i="7"/>
  <c r="AE58" i="33" s="1"/>
  <c r="BB35" i="7"/>
  <c r="AE53" i="33" s="1"/>
  <c r="BB39" i="7"/>
  <c r="AE57" i="33" s="1"/>
  <c r="BB37" i="7"/>
  <c r="AE55" i="33" s="1"/>
  <c r="BB36" i="7"/>
  <c r="AE54" i="33" s="1"/>
  <c r="DE37" i="9"/>
  <c r="AF53" i="33" s="1"/>
  <c r="DE41" i="9"/>
  <c r="AF57" i="33" s="1"/>
  <c r="DE38" i="9"/>
  <c r="AF54" i="33" s="1"/>
  <c r="DE39" i="9"/>
  <c r="AF55" i="33" s="1"/>
  <c r="DE42" i="9"/>
  <c r="AF58" i="33" s="1"/>
  <c r="BT34" i="30"/>
  <c r="AD50" i="33" s="1"/>
  <c r="E4" i="33"/>
  <c r="BT39" i="30"/>
  <c r="AD55" i="33" s="1"/>
  <c r="BT38" i="30"/>
  <c r="AD54" i="33" s="1"/>
  <c r="BT36" i="30"/>
  <c r="AD52" i="33" s="1"/>
  <c r="BT42" i="30"/>
  <c r="AD58" i="33" s="1"/>
  <c r="BT37" i="30"/>
  <c r="AD53" i="33" s="1"/>
  <c r="BT41" i="30"/>
  <c r="AD57" i="33" s="1"/>
  <c r="BN40" i="30"/>
  <c r="BS40" i="30" s="1"/>
  <c r="W56" i="33" s="1"/>
  <c r="CK24" i="9"/>
  <c r="CK26" i="9"/>
  <c r="CK32" i="9"/>
  <c r="CI32" i="9"/>
  <c r="CI24" i="9"/>
  <c r="CI25" i="9"/>
  <c r="CI27" i="9"/>
  <c r="CI28" i="9"/>
  <c r="CH27" i="9"/>
  <c r="CH28" i="9"/>
  <c r="CH26" i="9"/>
  <c r="CH25" i="9"/>
  <c r="CH24" i="9"/>
  <c r="CH32" i="9"/>
  <c r="CG32" i="9"/>
  <c r="CG28" i="9"/>
  <c r="CG27" i="9"/>
  <c r="CG25" i="9"/>
  <c r="W25" i="53"/>
  <c r="W35" i="53" s="1"/>
  <c r="L4" i="33"/>
  <c r="AC33" i="53"/>
  <c r="AC39" i="53" s="1"/>
  <c r="W30" i="53"/>
  <c r="W40" i="53" s="1"/>
  <c r="L9" i="33"/>
  <c r="CC24" i="9"/>
  <c r="BW30" i="9"/>
  <c r="BZ29" i="9"/>
  <c r="CG26" i="9"/>
  <c r="CH31" i="9"/>
  <c r="BY29" i="9"/>
  <c r="CA28" i="9"/>
  <c r="CJ29" i="9"/>
  <c r="BX29" i="9"/>
  <c r="BZ28" i="9"/>
  <c r="CF27" i="9"/>
  <c r="BZ24" i="9"/>
  <c r="CB32" i="9"/>
  <c r="CD31" i="9"/>
  <c r="CI29" i="9"/>
  <c r="BY28" i="9"/>
  <c r="CJ25" i="9"/>
  <c r="BY24" i="9"/>
  <c r="CH29" i="9"/>
  <c r="CJ28" i="9"/>
  <c r="BX28" i="9"/>
  <c r="BZ27" i="9"/>
  <c r="CJ24" i="9"/>
  <c r="BX24" i="9"/>
  <c r="BZ32" i="9"/>
  <c r="CD30" i="9"/>
  <c r="CG29" i="9"/>
  <c r="BY27" i="9"/>
  <c r="CD24" i="9"/>
  <c r="BY32" i="9"/>
  <c r="CA31" i="9"/>
  <c r="CJ27" i="9"/>
  <c r="BX27" i="9"/>
  <c r="D3" i="33"/>
  <c r="CJ32" i="9"/>
  <c r="BX32" i="9"/>
  <c r="BZ31" i="9"/>
  <c r="CB30" i="9"/>
  <c r="BW27" i="9"/>
  <c r="BZ26" i="9"/>
  <c r="CB25" i="9"/>
  <c r="BW24" i="9"/>
  <c r="CG24" i="9"/>
  <c r="BY31" i="9"/>
  <c r="CJ31" i="9"/>
  <c r="BX31" i="9"/>
  <c r="AA30" i="53"/>
  <c r="AA40" i="53" s="1"/>
  <c r="S9" i="33"/>
  <c r="CP32" i="9"/>
  <c r="AP31" i="7"/>
  <c r="AP39" i="7" s="1"/>
  <c r="AU11" i="7"/>
  <c r="AU9" i="7"/>
  <c r="AU7" i="7"/>
  <c r="AU5" i="7"/>
  <c r="AU4" i="7"/>
  <c r="AT4" i="7"/>
  <c r="AT6" i="7"/>
  <c r="AT9" i="7"/>
  <c r="AT7" i="7"/>
  <c r="AT11" i="7"/>
  <c r="AT10" i="7"/>
  <c r="AT12" i="7"/>
  <c r="AT8" i="7"/>
  <c r="AJ22" i="7"/>
  <c r="AS11" i="7"/>
  <c r="AS9" i="7"/>
  <c r="AS10" i="7"/>
  <c r="AS6" i="7"/>
  <c r="AI30" i="7"/>
  <c r="AI25" i="7"/>
  <c r="AS7" i="7"/>
  <c r="AI26" i="7"/>
  <c r="AI24" i="7"/>
  <c r="AS5" i="7"/>
  <c r="AI28" i="7"/>
  <c r="AM27" i="7"/>
  <c r="AU6" i="7"/>
  <c r="CO32" i="9"/>
  <c r="CN32" i="9"/>
  <c r="CM32" i="9"/>
  <c r="CL26" i="9"/>
  <c r="CL32" i="9"/>
  <c r="CP29" i="9"/>
  <c r="CP31" i="9"/>
  <c r="CO25" i="9"/>
  <c r="CO29" i="9"/>
  <c r="CN29" i="9"/>
  <c r="CM29" i="9"/>
  <c r="CM27" i="9"/>
  <c r="CL29" i="9"/>
  <c r="CP27" i="9"/>
  <c r="CP28" i="9"/>
  <c r="CP26" i="9"/>
  <c r="CP25" i="9"/>
  <c r="CO31" i="9"/>
  <c r="CO28" i="9"/>
  <c r="CN25" i="9"/>
  <c r="CN28" i="9"/>
  <c r="CN24" i="9"/>
  <c r="CN27" i="9"/>
  <c r="CM31" i="9"/>
  <c r="CM25" i="9"/>
  <c r="CM26" i="9"/>
  <c r="CM24" i="9"/>
  <c r="CL25" i="9"/>
  <c r="CL28" i="9"/>
  <c r="CL31" i="9"/>
  <c r="Y8" i="33"/>
  <c r="CP24" i="9"/>
  <c r="Y9" i="33"/>
  <c r="CO27" i="9"/>
  <c r="CO26" i="9"/>
  <c r="CO24" i="9"/>
  <c r="Y10" i="33"/>
  <c r="CN31" i="9"/>
  <c r="CN26" i="9"/>
  <c r="Y6" i="33"/>
  <c r="Y3" i="33"/>
  <c r="Y11" i="33"/>
  <c r="CM30" i="9"/>
  <c r="CM28" i="9"/>
  <c r="CL27" i="9"/>
  <c r="CL24" i="9"/>
  <c r="Y5" i="33"/>
  <c r="AD33" i="53"/>
  <c r="AD34" i="53" s="1"/>
  <c r="AM25" i="7"/>
  <c r="AM29" i="7"/>
  <c r="AO31" i="7"/>
  <c r="AO33" i="7" s="1"/>
  <c r="AN30" i="7"/>
  <c r="AU12" i="7"/>
  <c r="AN28" i="7"/>
  <c r="AN38" i="7" s="1"/>
  <c r="AU38" i="7" s="1"/>
  <c r="AZ38" i="7" s="1"/>
  <c r="Q56" i="33" s="1"/>
  <c r="AU10" i="7"/>
  <c r="AN26" i="7"/>
  <c r="AU8" i="7"/>
  <c r="V25" i="53"/>
  <c r="V35" i="53" s="1"/>
  <c r="U25" i="53"/>
  <c r="U35" i="53" s="1"/>
  <c r="T25" i="53"/>
  <c r="T35" i="53" s="1"/>
  <c r="Y25" i="53"/>
  <c r="Y35" i="53" s="1"/>
  <c r="Z30" i="53"/>
  <c r="Z40" i="53" s="1"/>
  <c r="BC32" i="30"/>
  <c r="BE32" i="30"/>
  <c r="BD32" i="30"/>
  <c r="BD31" i="30"/>
  <c r="BC31" i="30"/>
  <c r="BL35" i="30"/>
  <c r="BQ35" i="30" s="1"/>
  <c r="I51" i="33" s="1"/>
  <c r="BM40" i="30"/>
  <c r="BR40" i="30" s="1"/>
  <c r="P56" i="33" s="1"/>
  <c r="AR32" i="30"/>
  <c r="B3" i="33"/>
  <c r="AQ32" i="30"/>
  <c r="BB32" i="30"/>
  <c r="BE31" i="30"/>
  <c r="AN23" i="7"/>
  <c r="AM24" i="7"/>
  <c r="AM23" i="7"/>
  <c r="AL22" i="7"/>
  <c r="AT5" i="7"/>
  <c r="AI22" i="7"/>
  <c r="AS12" i="7"/>
  <c r="AS8" i="7"/>
  <c r="AN22" i="7"/>
  <c r="AI27" i="7"/>
  <c r="AI29" i="7"/>
  <c r="AN24" i="7"/>
  <c r="AK22" i="7"/>
  <c r="AT38" i="7"/>
  <c r="AY38" i="7" s="1"/>
  <c r="AT33" i="7"/>
  <c r="AY33" i="7" s="1"/>
  <c r="J51" i="33" s="1"/>
  <c r="AL30" i="7"/>
  <c r="AL26" i="7"/>
  <c r="AL24" i="7"/>
  <c r="AS33" i="7"/>
  <c r="AX33" i="7" s="1"/>
  <c r="C51" i="33" s="1"/>
  <c r="AS4" i="7"/>
  <c r="AK30" i="7"/>
  <c r="AK26" i="7"/>
  <c r="AK24" i="7"/>
  <c r="AJ30" i="7"/>
  <c r="AJ28" i="7"/>
  <c r="AJ26" i="7"/>
  <c r="AJ24" i="7"/>
  <c r="AN29" i="7"/>
  <c r="AN27" i="7"/>
  <c r="AN25" i="7"/>
  <c r="AM22" i="7"/>
  <c r="AL29" i="7"/>
  <c r="AL27" i="7"/>
  <c r="AL25" i="7"/>
  <c r="AK29" i="7"/>
  <c r="AK27" i="7"/>
  <c r="AK25" i="7"/>
  <c r="AJ29" i="7"/>
  <c r="AJ27" i="7"/>
  <c r="AJ25" i="7"/>
  <c r="AM30" i="7"/>
  <c r="AM26" i="7"/>
  <c r="W4" i="33"/>
  <c r="W3" i="33"/>
  <c r="W10" i="33"/>
  <c r="W5" i="33"/>
  <c r="W6" i="33"/>
  <c r="W11" i="33"/>
  <c r="W8" i="33"/>
  <c r="W7" i="33"/>
  <c r="W9" i="33"/>
  <c r="BB31" i="30"/>
  <c r="AR31" i="30"/>
  <c r="AQ35" i="30"/>
  <c r="BK35" i="30" s="1"/>
  <c r="BP35" i="30" s="1"/>
  <c r="B51" i="33" s="1"/>
  <c r="BA31" i="30"/>
  <c r="BA32" i="30"/>
  <c r="AZ31" i="30"/>
  <c r="AZ32" i="30"/>
  <c r="AY31" i="30"/>
  <c r="AQ31" i="30"/>
  <c r="AU40" i="30"/>
  <c r="AY32" i="30"/>
  <c r="AX32" i="30"/>
  <c r="AX31" i="30"/>
  <c r="AW32" i="30"/>
  <c r="AW31" i="30"/>
  <c r="AV32" i="30"/>
  <c r="AV31" i="30"/>
  <c r="AU32" i="30"/>
  <c r="AU31" i="30"/>
  <c r="AT32" i="30"/>
  <c r="AT31" i="30"/>
  <c r="AS32" i="30"/>
  <c r="AS31" i="30"/>
  <c r="BW31" i="9"/>
  <c r="BW28" i="9"/>
  <c r="BW32" i="9"/>
  <c r="BW29" i="9"/>
  <c r="BW35" i="9"/>
  <c r="Y7" i="33"/>
  <c r="Y4" i="33"/>
  <c r="CA35" i="9"/>
  <c r="CF35" i="9"/>
  <c r="BY35" i="9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7" i="12"/>
  <c r="J16" i="12"/>
  <c r="J15" i="12"/>
  <c r="J14" i="12"/>
  <c r="J13" i="12"/>
  <c r="J11" i="12"/>
  <c r="J9" i="12"/>
  <c r="J6" i="12"/>
  <c r="J4" i="12"/>
  <c r="J3" i="12"/>
  <c r="J12" i="12"/>
  <c r="J10" i="12"/>
  <c r="J8" i="12"/>
  <c r="J7" i="12"/>
  <c r="J5" i="12"/>
  <c r="J18" i="12"/>
  <c r="AK4" i="53" l="1"/>
  <c r="AI10" i="53"/>
  <c r="E7" i="33" s="1"/>
  <c r="AJ14" i="53"/>
  <c r="L11" i="33" s="1"/>
  <c r="AJ10" i="53"/>
  <c r="L7" i="33" s="1"/>
  <c r="AK11" i="53"/>
  <c r="S8" i="33" s="1"/>
  <c r="AJ4" i="53"/>
  <c r="L3" i="33" s="1"/>
  <c r="AK40" i="53"/>
  <c r="AP40" i="53" s="1"/>
  <c r="S56" i="33" s="1"/>
  <c r="AJ11" i="53"/>
  <c r="L8" i="33" s="1"/>
  <c r="AI11" i="53"/>
  <c r="E8" i="33" s="1"/>
  <c r="AJ40" i="53"/>
  <c r="AO40" i="53" s="1"/>
  <c r="AJ35" i="53"/>
  <c r="AO35" i="53" s="1"/>
  <c r="L51" i="33" s="1"/>
  <c r="AJ7" i="53"/>
  <c r="L6" i="33" s="1"/>
  <c r="AK10" i="53"/>
  <c r="S7" i="33" s="1"/>
  <c r="AI35" i="53"/>
  <c r="AN35" i="53" s="1"/>
  <c r="E51" i="33" s="1"/>
  <c r="AK13" i="53"/>
  <c r="S10" i="33" s="1"/>
  <c r="AI7" i="53"/>
  <c r="E6" i="33" s="1"/>
  <c r="AK7" i="53"/>
  <c r="S6" i="33" s="1"/>
  <c r="AJ13" i="53"/>
  <c r="L10" i="33" s="1"/>
  <c r="AJ6" i="53"/>
  <c r="L5" i="33" s="1"/>
  <c r="AK14" i="53"/>
  <c r="S11" i="33" s="1"/>
  <c r="AI12" i="53"/>
  <c r="E9" i="33" s="1"/>
  <c r="AI4" i="53"/>
  <c r="E3" i="33" s="1"/>
  <c r="AI13" i="53"/>
  <c r="E10" i="33" s="1"/>
  <c r="AH51" i="33"/>
  <c r="AE34" i="53"/>
  <c r="AH52" i="33"/>
  <c r="AH50" i="33"/>
  <c r="AH57" i="33"/>
  <c r="AH54" i="33"/>
  <c r="AH55" i="33"/>
  <c r="AH53" i="33"/>
  <c r="AH58" i="33"/>
  <c r="E5" i="33"/>
  <c r="AP36" i="7"/>
  <c r="AP40" i="7"/>
  <c r="AP33" i="7"/>
  <c r="AV33" i="7" s="1"/>
  <c r="AP37" i="7"/>
  <c r="AP34" i="7"/>
  <c r="AP35" i="7"/>
  <c r="S4" i="33"/>
  <c r="S3" i="33"/>
  <c r="S5" i="33"/>
  <c r="AO36" i="7"/>
  <c r="AC34" i="53"/>
  <c r="E11" i="33"/>
  <c r="BW33" i="9"/>
  <c r="BW34" i="9" s="1"/>
  <c r="AR33" i="30"/>
  <c r="AR41" i="30" s="1"/>
  <c r="AA10" i="33"/>
  <c r="AA3" i="33"/>
  <c r="AA7" i="33"/>
  <c r="AA8" i="33"/>
  <c r="AA11" i="33"/>
  <c r="AA5" i="33"/>
  <c r="AA4" i="33"/>
  <c r="AA9" i="33"/>
  <c r="AB9" i="33" s="1"/>
  <c r="AA6" i="33"/>
  <c r="AP32" i="7"/>
  <c r="AO37" i="7"/>
  <c r="AO34" i="7"/>
  <c r="AO40" i="7"/>
  <c r="AO35" i="7"/>
  <c r="AO39" i="7"/>
  <c r="AV39" i="7" s="1"/>
  <c r="AO32" i="7"/>
  <c r="AC42" i="53"/>
  <c r="AD42" i="53"/>
  <c r="AD41" i="53"/>
  <c r="AD39" i="53"/>
  <c r="AD35" i="53"/>
  <c r="AD37" i="53"/>
  <c r="AD38" i="53"/>
  <c r="AD36" i="53"/>
  <c r="AE42" i="53"/>
  <c r="AE41" i="53"/>
  <c r="AC41" i="53"/>
  <c r="AE39" i="53"/>
  <c r="AE38" i="53"/>
  <c r="AE35" i="53"/>
  <c r="AC38" i="53"/>
  <c r="AE37" i="53"/>
  <c r="AC37" i="53"/>
  <c r="AC36" i="53"/>
  <c r="AC35" i="53"/>
  <c r="AN31" i="7"/>
  <c r="AN39" i="7" s="1"/>
  <c r="X31" i="53"/>
  <c r="X32" i="53"/>
  <c r="AA31" i="53"/>
  <c r="X24" i="53"/>
  <c r="Z27" i="53"/>
  <c r="X27" i="53"/>
  <c r="AA27" i="53"/>
  <c r="V27" i="53"/>
  <c r="AB26" i="53"/>
  <c r="Z29" i="53"/>
  <c r="Y29" i="53"/>
  <c r="X29" i="53"/>
  <c r="U29" i="53"/>
  <c r="V31" i="53"/>
  <c r="V24" i="53"/>
  <c r="AB24" i="53"/>
  <c r="V26" i="53"/>
  <c r="AA24" i="53"/>
  <c r="V29" i="53"/>
  <c r="U27" i="53"/>
  <c r="Z31" i="53"/>
  <c r="AA32" i="53"/>
  <c r="U32" i="53"/>
  <c r="AA26" i="53"/>
  <c r="V28" i="53"/>
  <c r="X26" i="53"/>
  <c r="X28" i="53"/>
  <c r="U30" i="53"/>
  <c r="V32" i="53"/>
  <c r="V30" i="53"/>
  <c r="Z25" i="53"/>
  <c r="T24" i="53"/>
  <c r="AB29" i="53"/>
  <c r="T30" i="53"/>
  <c r="AB27" i="53"/>
  <c r="AB32" i="53"/>
  <c r="W27" i="53"/>
  <c r="T28" i="53"/>
  <c r="AB25" i="53"/>
  <c r="U28" i="53"/>
  <c r="U31" i="53"/>
  <c r="T29" i="53"/>
  <c r="Y26" i="53"/>
  <c r="Y27" i="53"/>
  <c r="Y24" i="53"/>
  <c r="T31" i="53"/>
  <c r="W24" i="53"/>
  <c r="Y32" i="53"/>
  <c r="T26" i="53"/>
  <c r="T32" i="53"/>
  <c r="AA29" i="53"/>
  <c r="Z24" i="53"/>
  <c r="AA25" i="53"/>
  <c r="AA28" i="53"/>
  <c r="Z32" i="53"/>
  <c r="W28" i="53"/>
  <c r="W29" i="53"/>
  <c r="Z26" i="53"/>
  <c r="U26" i="53"/>
  <c r="W32" i="53"/>
  <c r="AB28" i="53"/>
  <c r="T27" i="53"/>
  <c r="Y31" i="53"/>
  <c r="W26" i="53"/>
  <c r="AB31" i="53"/>
  <c r="Y28" i="53"/>
  <c r="U24" i="53"/>
  <c r="Z28" i="53"/>
  <c r="W31" i="53"/>
  <c r="AZ33" i="30"/>
  <c r="AZ41" i="30" s="1"/>
  <c r="BL40" i="30"/>
  <c r="BQ40" i="30" s="1"/>
  <c r="AI31" i="7"/>
  <c r="AI37" i="7" s="1"/>
  <c r="AM31" i="7"/>
  <c r="AM37" i="7" s="1"/>
  <c r="AL31" i="7"/>
  <c r="AL39" i="7" s="1"/>
  <c r="AJ31" i="7"/>
  <c r="AJ37" i="7" s="1"/>
  <c r="AK31" i="7"/>
  <c r="AK35" i="7" s="1"/>
  <c r="BF33" i="30"/>
  <c r="BF34" i="30" s="1"/>
  <c r="BC33" i="30"/>
  <c r="BC35" i="30" s="1"/>
  <c r="BA33" i="30"/>
  <c r="BA41" i="30" s="1"/>
  <c r="AQ33" i="30"/>
  <c r="AQ38" i="30" s="1"/>
  <c r="BD33" i="30"/>
  <c r="BD37" i="30" s="1"/>
  <c r="BE33" i="30"/>
  <c r="BE38" i="30" s="1"/>
  <c r="BB33" i="30"/>
  <c r="BB37" i="30" s="1"/>
  <c r="AW33" i="30"/>
  <c r="AW38" i="30" s="1"/>
  <c r="AY33" i="30"/>
  <c r="AY35" i="30" s="1"/>
  <c r="AV33" i="30"/>
  <c r="AV36" i="30" s="1"/>
  <c r="AX33" i="30"/>
  <c r="AX38" i="30" s="1"/>
  <c r="AT33" i="30"/>
  <c r="AT42" i="30" s="1"/>
  <c r="AS33" i="30"/>
  <c r="AS34" i="30" s="1"/>
  <c r="AU33" i="30"/>
  <c r="AU37" i="30" s="1"/>
  <c r="CD35" i="9"/>
  <c r="CE35" i="9"/>
  <c r="BZ35" i="9"/>
  <c r="CM40" i="9"/>
  <c r="CO40" i="9"/>
  <c r="F18" i="12"/>
  <c r="G18" i="12" s="1"/>
  <c r="H18" i="12" s="1"/>
  <c r="AV35" i="7" l="1"/>
  <c r="AL36" i="53"/>
  <c r="AL34" i="53"/>
  <c r="AL39" i="53"/>
  <c r="AL37" i="53"/>
  <c r="AL42" i="53"/>
  <c r="AL35" i="53"/>
  <c r="AL41" i="53"/>
  <c r="AL38" i="53"/>
  <c r="AI54" i="33"/>
  <c r="AI51" i="33"/>
  <c r="AI56" i="33"/>
  <c r="AI58" i="33"/>
  <c r="AI50" i="33"/>
  <c r="AI55" i="33"/>
  <c r="AI57" i="33"/>
  <c r="AI53" i="33"/>
  <c r="AI52" i="33"/>
  <c r="BF39" i="30"/>
  <c r="BF42" i="30"/>
  <c r="BF41" i="30"/>
  <c r="BF37" i="30"/>
  <c r="BF36" i="30"/>
  <c r="BF38" i="30"/>
  <c r="BF35" i="30"/>
  <c r="AV34" i="7"/>
  <c r="AV36" i="7"/>
  <c r="AV32" i="7"/>
  <c r="AV40" i="7"/>
  <c r="AV37" i="7"/>
  <c r="AR34" i="30"/>
  <c r="AR36" i="30"/>
  <c r="AR39" i="30"/>
  <c r="AR40" i="30"/>
  <c r="AR37" i="30"/>
  <c r="AR38" i="30"/>
  <c r="AR42" i="30"/>
  <c r="BD39" i="30"/>
  <c r="AB4" i="33"/>
  <c r="AB6" i="33"/>
  <c r="AB7" i="33"/>
  <c r="AB3" i="33"/>
  <c r="AB5" i="33"/>
  <c r="AB10" i="33"/>
  <c r="AB11" i="33"/>
  <c r="AB8" i="33"/>
  <c r="AQ42" i="30"/>
  <c r="AQ37" i="30"/>
  <c r="AQ41" i="30"/>
  <c r="AQ39" i="30"/>
  <c r="AS37" i="7"/>
  <c r="AN34" i="7"/>
  <c r="AN33" i="7"/>
  <c r="AN36" i="7"/>
  <c r="AN32" i="7"/>
  <c r="AN40" i="7"/>
  <c r="AN37" i="7"/>
  <c r="AU37" i="7" s="1"/>
  <c r="AM32" i="7"/>
  <c r="AN35" i="7"/>
  <c r="V33" i="53"/>
  <c r="V36" i="53" s="1"/>
  <c r="AA33" i="53"/>
  <c r="AA41" i="53" s="1"/>
  <c r="X33" i="53"/>
  <c r="X42" i="53" s="1"/>
  <c r="AB33" i="53"/>
  <c r="AB38" i="53" s="1"/>
  <c r="W33" i="53"/>
  <c r="W39" i="53" s="1"/>
  <c r="Y33" i="53"/>
  <c r="Y37" i="53" s="1"/>
  <c r="T33" i="53"/>
  <c r="T42" i="53" s="1"/>
  <c r="Z33" i="53"/>
  <c r="Z41" i="53" s="1"/>
  <c r="U33" i="53"/>
  <c r="U40" i="53" s="1"/>
  <c r="BE39" i="30"/>
  <c r="BC39" i="30"/>
  <c r="BE36" i="30"/>
  <c r="BD36" i="30"/>
  <c r="BC36" i="30"/>
  <c r="BC42" i="30"/>
  <c r="BE42" i="30"/>
  <c r="BD42" i="30"/>
  <c r="AQ34" i="30"/>
  <c r="AZ35" i="30"/>
  <c r="AZ38" i="30"/>
  <c r="AZ42" i="30"/>
  <c r="AZ34" i="30"/>
  <c r="AZ37" i="30"/>
  <c r="AZ36" i="30"/>
  <c r="AZ39" i="30"/>
  <c r="BA37" i="30"/>
  <c r="BA42" i="30"/>
  <c r="BA35" i="30"/>
  <c r="BA39" i="30"/>
  <c r="BC41" i="30"/>
  <c r="BA38" i="30"/>
  <c r="BA36" i="30"/>
  <c r="AQ36" i="30"/>
  <c r="AQ40" i="30"/>
  <c r="AK39" i="7"/>
  <c r="AT39" i="7" s="1"/>
  <c r="AM40" i="7"/>
  <c r="AM34" i="7"/>
  <c r="AM36" i="7"/>
  <c r="AM35" i="7"/>
  <c r="AL34" i="7"/>
  <c r="AJ35" i="7"/>
  <c r="AI35" i="7"/>
  <c r="AI40" i="7"/>
  <c r="AI34" i="7"/>
  <c r="AI32" i="7"/>
  <c r="AI39" i="7"/>
  <c r="AI38" i="7"/>
  <c r="AI36" i="7"/>
  <c r="AK36" i="7"/>
  <c r="AL32" i="7"/>
  <c r="AL37" i="7"/>
  <c r="AJ40" i="7"/>
  <c r="AL40" i="7"/>
  <c r="AJ36" i="7"/>
  <c r="AM39" i="7"/>
  <c r="AU39" i="7" s="1"/>
  <c r="AJ38" i="7"/>
  <c r="AJ39" i="7"/>
  <c r="AK34" i="7"/>
  <c r="AK40" i="7"/>
  <c r="AL35" i="7"/>
  <c r="AT35" i="7" s="1"/>
  <c r="AK32" i="7"/>
  <c r="AL36" i="7"/>
  <c r="AJ32" i="7"/>
  <c r="AK37" i="7"/>
  <c r="AJ34" i="7"/>
  <c r="AM33" i="7"/>
  <c r="BE41" i="30"/>
  <c r="BD41" i="30"/>
  <c r="BD35" i="30"/>
  <c r="BD38" i="30"/>
  <c r="BC38" i="30"/>
  <c r="BE35" i="30"/>
  <c r="BE37" i="30"/>
  <c r="BD34" i="30"/>
  <c r="BC34" i="30"/>
  <c r="BC37" i="30"/>
  <c r="AT34" i="30"/>
  <c r="BB34" i="30"/>
  <c r="BB35" i="30"/>
  <c r="BB42" i="30"/>
  <c r="BB39" i="30"/>
  <c r="BB38" i="30"/>
  <c r="AT41" i="30"/>
  <c r="BE34" i="30"/>
  <c r="BB36" i="30"/>
  <c r="BA34" i="30"/>
  <c r="BB41" i="30"/>
  <c r="AV42" i="30"/>
  <c r="AV39" i="30"/>
  <c r="AV38" i="30"/>
  <c r="AV34" i="30"/>
  <c r="AT36" i="30"/>
  <c r="AV41" i="30"/>
  <c r="AW41" i="30"/>
  <c r="AW39" i="30"/>
  <c r="AW37" i="30"/>
  <c r="AW36" i="30"/>
  <c r="AY34" i="30"/>
  <c r="AW34" i="30"/>
  <c r="AY41" i="30"/>
  <c r="AV37" i="30"/>
  <c r="AY36" i="30"/>
  <c r="AW42" i="30"/>
  <c r="AY39" i="30"/>
  <c r="AY42" i="30"/>
  <c r="AY37" i="30"/>
  <c r="AY38" i="30"/>
  <c r="AS41" i="30"/>
  <c r="AX36" i="30"/>
  <c r="AU36" i="30"/>
  <c r="AT37" i="30"/>
  <c r="AU41" i="30"/>
  <c r="AS39" i="30"/>
  <c r="AT40" i="30"/>
  <c r="AU34" i="30"/>
  <c r="AS38" i="30"/>
  <c r="AT39" i="30"/>
  <c r="AX39" i="30"/>
  <c r="AS36" i="30"/>
  <c r="AU38" i="30"/>
  <c r="AX37" i="30"/>
  <c r="AX41" i="30"/>
  <c r="AS37" i="30"/>
  <c r="AT38" i="30"/>
  <c r="AU42" i="30"/>
  <c r="AX34" i="30"/>
  <c r="AU39" i="30"/>
  <c r="AS42" i="30"/>
  <c r="AX42" i="30"/>
  <c r="AS40" i="30"/>
  <c r="CC35" i="9"/>
  <c r="CB35" i="9"/>
  <c r="CW35" i="9" s="1"/>
  <c r="BX35" i="9"/>
  <c r="CV35" i="9" s="1"/>
  <c r="CE40" i="9"/>
  <c r="CK40" i="9"/>
  <c r="CP40" i="9"/>
  <c r="B11" i="2"/>
  <c r="B10" i="2"/>
  <c r="B9" i="2"/>
  <c r="B8" i="2"/>
  <c r="B7" i="2"/>
  <c r="B6" i="2"/>
  <c r="B5" i="2"/>
  <c r="B4" i="2"/>
  <c r="B3" i="2"/>
  <c r="B2" i="2"/>
  <c r="AQ34" i="53" l="1"/>
  <c r="Z50" i="33" s="1"/>
  <c r="Y41" i="53"/>
  <c r="AU35" i="7"/>
  <c r="BN34" i="30"/>
  <c r="BN35" i="30"/>
  <c r="BN41" i="30"/>
  <c r="BN42" i="30"/>
  <c r="BN36" i="30"/>
  <c r="BN38" i="30"/>
  <c r="BN39" i="30"/>
  <c r="BN37" i="30"/>
  <c r="BA32" i="7"/>
  <c r="X50" i="33" s="1"/>
  <c r="BK36" i="30"/>
  <c r="BL41" i="30"/>
  <c r="AA35" i="53"/>
  <c r="AQ39" i="53"/>
  <c r="Z55" i="33" s="1"/>
  <c r="BL36" i="30"/>
  <c r="BK34" i="30"/>
  <c r="BL38" i="30"/>
  <c r="BK42" i="30"/>
  <c r="BK37" i="30"/>
  <c r="BA37" i="7"/>
  <c r="X55" i="33" s="1"/>
  <c r="BA39" i="7"/>
  <c r="X57" i="33" s="1"/>
  <c r="BA33" i="7"/>
  <c r="X51" i="33" s="1"/>
  <c r="BA35" i="7"/>
  <c r="X53" i="33" s="1"/>
  <c r="BA34" i="7"/>
  <c r="X52" i="33" s="1"/>
  <c r="BA40" i="7"/>
  <c r="X58" i="33" s="1"/>
  <c r="BA36" i="7"/>
  <c r="X54" i="33" s="1"/>
  <c r="AU34" i="7"/>
  <c r="AS36" i="7"/>
  <c r="AS38" i="7"/>
  <c r="AS35" i="7"/>
  <c r="AS34" i="7"/>
  <c r="AU40" i="7"/>
  <c r="AU32" i="7"/>
  <c r="AU33" i="7"/>
  <c r="AU36" i="7"/>
  <c r="AQ42" i="53"/>
  <c r="Z58" i="33" s="1"/>
  <c r="AQ36" i="53"/>
  <c r="Z52" i="33" s="1"/>
  <c r="AQ37" i="53"/>
  <c r="Z53" i="33" s="1"/>
  <c r="AQ38" i="53"/>
  <c r="Z54" i="33" s="1"/>
  <c r="AQ35" i="53"/>
  <c r="Z51" i="33" s="1"/>
  <c r="AQ41" i="53"/>
  <c r="Z57" i="33" s="1"/>
  <c r="DA35" i="9"/>
  <c r="D51" i="33" s="1"/>
  <c r="F51" i="33" s="1"/>
  <c r="DB35" i="9"/>
  <c r="K51" i="33" s="1"/>
  <c r="M51" i="33" s="1"/>
  <c r="V39" i="53"/>
  <c r="AA38" i="53"/>
  <c r="AA36" i="53"/>
  <c r="Y38" i="53"/>
  <c r="W38" i="53"/>
  <c r="Y42" i="53"/>
  <c r="V38" i="53"/>
  <c r="X34" i="53"/>
  <c r="X36" i="53"/>
  <c r="X39" i="53"/>
  <c r="X37" i="53"/>
  <c r="V42" i="53"/>
  <c r="V41" i="53"/>
  <c r="AA34" i="53"/>
  <c r="V40" i="53"/>
  <c r="AA37" i="53"/>
  <c r="W37" i="53"/>
  <c r="Y36" i="53"/>
  <c r="AA39" i="53"/>
  <c r="V37" i="53"/>
  <c r="V34" i="53"/>
  <c r="AB36" i="53"/>
  <c r="Z36" i="53"/>
  <c r="U34" i="53"/>
  <c r="X41" i="53"/>
  <c r="X38" i="53"/>
  <c r="W42" i="53"/>
  <c r="Z38" i="53"/>
  <c r="U42" i="53"/>
  <c r="AB41" i="53"/>
  <c r="AK41" i="53" s="1"/>
  <c r="U37" i="53"/>
  <c r="U36" i="53"/>
  <c r="U38" i="53"/>
  <c r="AB34" i="53"/>
  <c r="AA42" i="53"/>
  <c r="W34" i="53"/>
  <c r="Z39" i="53"/>
  <c r="T36" i="53"/>
  <c r="W41" i="53"/>
  <c r="W36" i="53"/>
  <c r="AB35" i="53"/>
  <c r="AB37" i="53"/>
  <c r="Z34" i="53"/>
  <c r="Y39" i="53"/>
  <c r="Y34" i="53"/>
  <c r="T40" i="53"/>
  <c r="T37" i="53"/>
  <c r="Z42" i="53"/>
  <c r="U41" i="53"/>
  <c r="AB42" i="53"/>
  <c r="T34" i="53"/>
  <c r="Z37" i="53"/>
  <c r="AB39" i="53"/>
  <c r="Z35" i="53"/>
  <c r="T38" i="53"/>
  <c r="AI38" i="53" s="1"/>
  <c r="T41" i="53"/>
  <c r="T39" i="53"/>
  <c r="U39" i="53"/>
  <c r="AT40" i="7"/>
  <c r="BK41" i="30"/>
  <c r="BL37" i="30"/>
  <c r="BK38" i="30"/>
  <c r="BK39" i="30"/>
  <c r="BL39" i="30"/>
  <c r="BM38" i="30"/>
  <c r="BM35" i="30"/>
  <c r="BM37" i="30"/>
  <c r="BM36" i="30"/>
  <c r="BM34" i="30"/>
  <c r="BM42" i="30"/>
  <c r="BM39" i="30"/>
  <c r="BL34" i="30"/>
  <c r="BL42" i="30"/>
  <c r="BM41" i="30"/>
  <c r="BK40" i="30"/>
  <c r="AT34" i="7"/>
  <c r="AT37" i="7"/>
  <c r="AT36" i="7"/>
  <c r="AS32" i="7"/>
  <c r="AS40" i="7"/>
  <c r="AS39" i="7"/>
  <c r="AT32" i="7"/>
  <c r="CN40" i="9"/>
  <c r="CO33" i="9"/>
  <c r="CO42" i="9" s="1"/>
  <c r="CL40" i="9"/>
  <c r="CY40" i="9" s="1"/>
  <c r="DD40" i="9" s="1"/>
  <c r="AI36" i="53" l="1"/>
  <c r="AJ34" i="53"/>
  <c r="AI37" i="53"/>
  <c r="AJ39" i="53"/>
  <c r="AJ38" i="53"/>
  <c r="AJ37" i="53"/>
  <c r="AK35" i="53"/>
  <c r="AK38" i="53"/>
  <c r="AI42" i="53"/>
  <c r="AI34" i="53"/>
  <c r="AK39" i="53"/>
  <c r="AK42" i="53"/>
  <c r="AI39" i="53"/>
  <c r="AK36" i="53"/>
  <c r="AI40" i="53"/>
  <c r="AI41" i="53"/>
  <c r="AK37" i="53"/>
  <c r="AJ41" i="53"/>
  <c r="AK34" i="53"/>
  <c r="AJ36" i="53"/>
  <c r="AJ42" i="53"/>
  <c r="BS34" i="30"/>
  <c r="W50" i="33" s="1"/>
  <c r="AZ39" i="7"/>
  <c r="Q57" i="33" s="1"/>
  <c r="AZ36" i="7"/>
  <c r="Q54" i="33" s="1"/>
  <c r="AZ40" i="7"/>
  <c r="Q58" i="33" s="1"/>
  <c r="AZ32" i="7"/>
  <c r="Q50" i="33" s="1"/>
  <c r="AZ35" i="7"/>
  <c r="Q53" i="33" s="1"/>
  <c r="AZ33" i="7"/>
  <c r="Q51" i="33" s="1"/>
  <c r="AZ34" i="7"/>
  <c r="Q52" i="33" s="1"/>
  <c r="AZ37" i="7"/>
  <c r="Q55" i="33" s="1"/>
  <c r="CO38" i="9"/>
  <c r="CO39" i="9"/>
  <c r="CO37" i="9"/>
  <c r="CO36" i="9"/>
  <c r="BS39" i="30"/>
  <c r="W55" i="33" s="1"/>
  <c r="BS36" i="30"/>
  <c r="W52" i="33" s="1"/>
  <c r="BS42" i="30"/>
  <c r="W58" i="33" s="1"/>
  <c r="BP40" i="30"/>
  <c r="B56" i="33" s="1"/>
  <c r="BQ34" i="30"/>
  <c r="I50" i="33" s="1"/>
  <c r="BS41" i="30"/>
  <c r="W57" i="33" s="1"/>
  <c r="BR39" i="30"/>
  <c r="P55" i="33" s="1"/>
  <c r="BR41" i="30"/>
  <c r="P57" i="33" s="1"/>
  <c r="BR38" i="30"/>
  <c r="P54" i="33" s="1"/>
  <c r="BQ38" i="30"/>
  <c r="I54" i="33" s="1"/>
  <c r="BQ42" i="30"/>
  <c r="I58" i="33" s="1"/>
  <c r="BR37" i="30"/>
  <c r="P53" i="33" s="1"/>
  <c r="BP36" i="30"/>
  <c r="B52" i="33" s="1"/>
  <c r="BQ41" i="30"/>
  <c r="I57" i="33" s="1"/>
  <c r="BR34" i="30"/>
  <c r="P50" i="33" s="1"/>
  <c r="BR36" i="30"/>
  <c r="P52" i="33" s="1"/>
  <c r="BP38" i="30"/>
  <c r="B54" i="33" s="1"/>
  <c r="BS37" i="30"/>
  <c r="W53" i="33" s="1"/>
  <c r="BP34" i="30"/>
  <c r="B50" i="33" s="1"/>
  <c r="BP37" i="30"/>
  <c r="B53" i="33" s="1"/>
  <c r="BP39" i="30"/>
  <c r="B55" i="33" s="1"/>
  <c r="BQ39" i="30"/>
  <c r="I55" i="33" s="1"/>
  <c r="BP41" i="30"/>
  <c r="B57" i="33" s="1"/>
  <c r="BR35" i="30"/>
  <c r="P51" i="33" s="1"/>
  <c r="BP42" i="30"/>
  <c r="B58" i="33" s="1"/>
  <c r="BR42" i="30"/>
  <c r="P58" i="33" s="1"/>
  <c r="BQ36" i="30"/>
  <c r="I52" i="33" s="1"/>
  <c r="BQ37" i="30"/>
  <c r="I53" i="33" s="1"/>
  <c r="AX34" i="7"/>
  <c r="C52" i="33" s="1"/>
  <c r="AY32" i="7"/>
  <c r="J50" i="33" s="1"/>
  <c r="AX37" i="7"/>
  <c r="C55" i="33" s="1"/>
  <c r="AX40" i="7"/>
  <c r="C58" i="33" s="1"/>
  <c r="AX38" i="7"/>
  <c r="C56" i="33" s="1"/>
  <c r="AX35" i="7"/>
  <c r="C53" i="33" s="1"/>
  <c r="AX32" i="7"/>
  <c r="C50" i="33" s="1"/>
  <c r="AX39" i="7"/>
  <c r="C57" i="33" s="1"/>
  <c r="AX36" i="7"/>
  <c r="C54" i="33" s="1"/>
  <c r="AY39" i="7"/>
  <c r="J57" i="33" s="1"/>
  <c r="AY37" i="7"/>
  <c r="J55" i="33" s="1"/>
  <c r="AY36" i="7"/>
  <c r="J54" i="33" s="1"/>
  <c r="AY40" i="7"/>
  <c r="J58" i="33" s="1"/>
  <c r="AY35" i="7"/>
  <c r="J53" i="33" s="1"/>
  <c r="AY34" i="7"/>
  <c r="J52" i="33" s="1"/>
  <c r="BS35" i="30"/>
  <c r="W51" i="33" s="1"/>
  <c r="BS38" i="30"/>
  <c r="W54" i="33" s="1"/>
  <c r="CO41" i="9"/>
  <c r="CP33" i="9"/>
  <c r="CP42" i="9" s="1"/>
  <c r="CO35" i="9"/>
  <c r="Y56" i="33"/>
  <c r="AA56" i="33" s="1"/>
  <c r="CO34" i="9"/>
  <c r="CM33" i="9"/>
  <c r="CM42" i="9" s="1"/>
  <c r="CN33" i="9"/>
  <c r="CN42" i="9" s="1"/>
  <c r="CF40" i="9"/>
  <c r="CB40" i="9"/>
  <c r="CW40" i="9" s="1"/>
  <c r="CD40" i="9"/>
  <c r="CC40" i="9"/>
  <c r="B5" i="43"/>
  <c r="CP38" i="9" l="1"/>
  <c r="CP39" i="9"/>
  <c r="CN38" i="9"/>
  <c r="CN39" i="9"/>
  <c r="CM38" i="9"/>
  <c r="CM39" i="9"/>
  <c r="CP41" i="9"/>
  <c r="CP36" i="9"/>
  <c r="CN35" i="9"/>
  <c r="CN36" i="9"/>
  <c r="CM37" i="9"/>
  <c r="CM36" i="9"/>
  <c r="AO38" i="53"/>
  <c r="L54" i="33" s="1"/>
  <c r="AP42" i="53"/>
  <c r="S58" i="33" s="1"/>
  <c r="AO37" i="53"/>
  <c r="L53" i="33" s="1"/>
  <c r="AN41" i="53"/>
  <c r="E57" i="33" s="1"/>
  <c r="AN42" i="53"/>
  <c r="E58" i="33" s="1"/>
  <c r="AP35" i="53"/>
  <c r="S51" i="33" s="1"/>
  <c r="AN39" i="53"/>
  <c r="E55" i="33" s="1"/>
  <c r="AO42" i="53"/>
  <c r="L58" i="33" s="1"/>
  <c r="AO36" i="53"/>
  <c r="L52" i="33" s="1"/>
  <c r="AN37" i="53"/>
  <c r="E53" i="33" s="1"/>
  <c r="AN38" i="53"/>
  <c r="E54" i="33" s="1"/>
  <c r="AO34" i="53"/>
  <c r="L50" i="33" s="1"/>
  <c r="AO39" i="53"/>
  <c r="L55" i="33" s="1"/>
  <c r="AO41" i="53"/>
  <c r="L57" i="33" s="1"/>
  <c r="AP37" i="53"/>
  <c r="S53" i="33" s="1"/>
  <c r="AN36" i="53"/>
  <c r="E52" i="33" s="1"/>
  <c r="AP36" i="53"/>
  <c r="S52" i="33" s="1"/>
  <c r="AP34" i="53"/>
  <c r="S50" i="33" s="1"/>
  <c r="AP38" i="53"/>
  <c r="S54" i="33" s="1"/>
  <c r="AP39" i="53"/>
  <c r="S55" i="33" s="1"/>
  <c r="AN34" i="53"/>
  <c r="E50" i="33" s="1"/>
  <c r="AN40" i="53"/>
  <c r="E56" i="33" s="1"/>
  <c r="AP41" i="53"/>
  <c r="S57" i="33" s="1"/>
  <c r="CN34" i="9"/>
  <c r="CM35" i="9"/>
  <c r="CM34" i="9"/>
  <c r="CM41" i="9"/>
  <c r="CP37" i="9"/>
  <c r="CJ40" i="9"/>
  <c r="CI40" i="9"/>
  <c r="CP34" i="9"/>
  <c r="CP35" i="9"/>
  <c r="CL33" i="9"/>
  <c r="CL42" i="9" s="1"/>
  <c r="CY42" i="9" s="1"/>
  <c r="CN37" i="9"/>
  <c r="CN41" i="9"/>
  <c r="CG40" i="9"/>
  <c r="CK33" i="9"/>
  <c r="CK38" i="9" s="1"/>
  <c r="J8" i="37"/>
  <c r="J6" i="37"/>
  <c r="J2" i="37"/>
  <c r="H3" i="37"/>
  <c r="H4" i="37"/>
  <c r="H5" i="37"/>
  <c r="H2" i="37"/>
  <c r="CL38" i="9" l="1"/>
  <c r="CY38" i="9" s="1"/>
  <c r="CL39" i="9"/>
  <c r="CY39" i="9" s="1"/>
  <c r="CL37" i="9"/>
  <c r="CY37" i="9" s="1"/>
  <c r="CL36" i="9"/>
  <c r="CY36" i="9" s="1"/>
  <c r="DB40" i="9"/>
  <c r="CK36" i="9"/>
  <c r="BW36" i="9"/>
  <c r="CL41" i="9"/>
  <c r="CY41" i="9" s="1"/>
  <c r="CL34" i="9"/>
  <c r="CY34" i="9" s="1"/>
  <c r="BW41" i="9"/>
  <c r="CK37" i="9"/>
  <c r="CK39" i="9"/>
  <c r="CK34" i="9"/>
  <c r="CE33" i="9"/>
  <c r="CE38" i="9" s="1"/>
  <c r="CJ33" i="9"/>
  <c r="CJ38" i="9" s="1"/>
  <c r="CI33" i="9"/>
  <c r="CK41" i="9"/>
  <c r="CK42" i="9"/>
  <c r="CK35" i="9"/>
  <c r="CL35" i="9"/>
  <c r="CY35" i="9" s="1"/>
  <c r="CH40" i="9"/>
  <c r="CX40" i="9" s="1"/>
  <c r="BW37" i="9"/>
  <c r="BW42" i="9"/>
  <c r="BW38" i="9"/>
  <c r="BW40" i="9"/>
  <c r="BW39" i="9"/>
  <c r="G3" i="39"/>
  <c r="M3" i="39" s="1"/>
  <c r="N3" i="39" s="1"/>
  <c r="G4" i="39"/>
  <c r="G5" i="39"/>
  <c r="M5" i="39" s="1"/>
  <c r="N5" i="39" s="1"/>
  <c r="G6" i="39"/>
  <c r="M6" i="39" s="1"/>
  <c r="N6" i="39" s="1"/>
  <c r="G7" i="39"/>
  <c r="G8" i="39"/>
  <c r="G9" i="39"/>
  <c r="M9" i="39" s="1"/>
  <c r="N9" i="39" s="1"/>
  <c r="G10" i="39"/>
  <c r="M10" i="39" s="1"/>
  <c r="N10" i="39" s="1"/>
  <c r="G11" i="39"/>
  <c r="M11" i="39" s="1"/>
  <c r="N11" i="39" s="1"/>
  <c r="G12" i="39"/>
  <c r="G13" i="39"/>
  <c r="M13" i="39" s="1"/>
  <c r="N13" i="39" s="1"/>
  <c r="G14" i="39"/>
  <c r="M14" i="39" s="1"/>
  <c r="N14" i="39" s="1"/>
  <c r="G15" i="39"/>
  <c r="M15" i="39" s="1"/>
  <c r="N15" i="39" s="1"/>
  <c r="G16" i="39"/>
  <c r="M16" i="39" s="1"/>
  <c r="N16" i="39" s="1"/>
  <c r="G17" i="39"/>
  <c r="M17" i="39" s="1"/>
  <c r="N17" i="39" s="1"/>
  <c r="G18" i="39"/>
  <c r="M18" i="39" s="1"/>
  <c r="N18" i="39" s="1"/>
  <c r="G19" i="39"/>
  <c r="M19" i="39" s="1"/>
  <c r="N19" i="39" s="1"/>
  <c r="G20" i="39"/>
  <c r="G21" i="39"/>
  <c r="M21" i="39" s="1"/>
  <c r="N21" i="39" s="1"/>
  <c r="G22" i="39"/>
  <c r="M22" i="39" s="1"/>
  <c r="N22" i="39" s="1"/>
  <c r="G23" i="39"/>
  <c r="M23" i="39" s="1"/>
  <c r="N23" i="39" s="1"/>
  <c r="G24" i="39"/>
  <c r="G25" i="39"/>
  <c r="M25" i="39" s="1"/>
  <c r="N25" i="39" s="1"/>
  <c r="G26" i="39"/>
  <c r="M26" i="39" s="1"/>
  <c r="N26" i="39" s="1"/>
  <c r="G27" i="39"/>
  <c r="M27" i="39" s="1"/>
  <c r="N27" i="39" s="1"/>
  <c r="G28" i="39"/>
  <c r="M28" i="39" s="1"/>
  <c r="N28" i="39" s="1"/>
  <c r="G29" i="39"/>
  <c r="M29" i="39" s="1"/>
  <c r="N29" i="39" s="1"/>
  <c r="G30" i="39"/>
  <c r="M30" i="39" s="1"/>
  <c r="N30" i="39" s="1"/>
  <c r="G31" i="39"/>
  <c r="G32" i="39"/>
  <c r="G33" i="39"/>
  <c r="M33" i="39" s="1"/>
  <c r="N33" i="39" s="1"/>
  <c r="G34" i="39"/>
  <c r="M34" i="39" s="1"/>
  <c r="N34" i="39" s="1"/>
  <c r="G35" i="39"/>
  <c r="M35" i="39" s="1"/>
  <c r="N35" i="39" s="1"/>
  <c r="G36" i="39"/>
  <c r="G37" i="39"/>
  <c r="M37" i="39" s="1"/>
  <c r="N37" i="39" s="1"/>
  <c r="G38" i="39"/>
  <c r="M38" i="39" s="1"/>
  <c r="N38" i="39" s="1"/>
  <c r="G39" i="39"/>
  <c r="M39" i="39" s="1"/>
  <c r="N39" i="39" s="1"/>
  <c r="G40" i="39"/>
  <c r="M40" i="39" s="1"/>
  <c r="N40" i="39" s="1"/>
  <c r="G41" i="39"/>
  <c r="M41" i="39" s="1"/>
  <c r="N41" i="39" s="1"/>
  <c r="G42" i="39"/>
  <c r="M42" i="39" s="1"/>
  <c r="N42" i="39" s="1"/>
  <c r="G43" i="39"/>
  <c r="M43" i="39" s="1"/>
  <c r="N43" i="39" s="1"/>
  <c r="G44" i="39"/>
  <c r="G45" i="39"/>
  <c r="M45" i="39" s="1"/>
  <c r="N45" i="39" s="1"/>
  <c r="G46" i="39"/>
  <c r="M46" i="39" s="1"/>
  <c r="N46" i="39" s="1"/>
  <c r="G47" i="39"/>
  <c r="M47" i="39" s="1"/>
  <c r="N47" i="39" s="1"/>
  <c r="G48" i="39"/>
  <c r="G49" i="39"/>
  <c r="M49" i="39" s="1"/>
  <c r="N49" i="39" s="1"/>
  <c r="G2" i="39"/>
  <c r="L3" i="39"/>
  <c r="L5" i="39"/>
  <c r="L9" i="39"/>
  <c r="L13" i="39"/>
  <c r="L17" i="39"/>
  <c r="L19" i="39"/>
  <c r="L21" i="39"/>
  <c r="L22" i="39"/>
  <c r="L23" i="39"/>
  <c r="L26" i="39"/>
  <c r="L28" i="39"/>
  <c r="L33" i="39"/>
  <c r="L34" i="39"/>
  <c r="L46" i="39"/>
  <c r="DD37" i="9" l="1"/>
  <c r="Y53" i="33" s="1"/>
  <c r="AA53" i="33" s="1"/>
  <c r="DD34" i="9"/>
  <c r="Y50" i="33" s="1"/>
  <c r="AA50" i="33" s="1"/>
  <c r="DD41" i="9"/>
  <c r="Y57" i="33" s="1"/>
  <c r="AA57" i="33" s="1"/>
  <c r="DD35" i="9"/>
  <c r="Y51" i="33" s="1"/>
  <c r="AA51" i="33" s="1"/>
  <c r="DD36" i="9"/>
  <c r="Y52" i="33" s="1"/>
  <c r="AA52" i="33" s="1"/>
  <c r="DD39" i="9"/>
  <c r="Y55" i="33" s="1"/>
  <c r="AA55" i="33" s="1"/>
  <c r="DD38" i="9"/>
  <c r="Y54" i="33" s="1"/>
  <c r="AA54" i="33" s="1"/>
  <c r="DD42" i="9"/>
  <c r="Y58" i="33" s="1"/>
  <c r="AA58" i="33" s="1"/>
  <c r="DC40" i="9"/>
  <c r="R56" i="33" s="1"/>
  <c r="T56" i="33" s="1"/>
  <c r="CJ42" i="9"/>
  <c r="CE41" i="9"/>
  <c r="CE36" i="9"/>
  <c r="CE39" i="9"/>
  <c r="CE34" i="9"/>
  <c r="CE42" i="9"/>
  <c r="CI42" i="9"/>
  <c r="CI38" i="9"/>
  <c r="CI35" i="9"/>
  <c r="CI36" i="9"/>
  <c r="CJ39" i="9"/>
  <c r="CJ35" i="9"/>
  <c r="CJ41" i="9"/>
  <c r="CJ34" i="9"/>
  <c r="CD33" i="9"/>
  <c r="CD38" i="9" s="1"/>
  <c r="CF33" i="9"/>
  <c r="CF34" i="9" s="1"/>
  <c r="CJ36" i="9"/>
  <c r="CI37" i="9"/>
  <c r="CI39" i="9"/>
  <c r="CI41" i="9"/>
  <c r="CI34" i="9"/>
  <c r="CB33" i="9"/>
  <c r="CB38" i="9" s="1"/>
  <c r="CC33" i="9"/>
  <c r="CC39" i="9" s="1"/>
  <c r="CE37" i="9"/>
  <c r="CJ37" i="9"/>
  <c r="CG33" i="9"/>
  <c r="CG42" i="9" s="1"/>
  <c r="CA33" i="9"/>
  <c r="CA39" i="9" s="1"/>
  <c r="BX33" i="9"/>
  <c r="BX40" i="9" s="1"/>
  <c r="L39" i="39"/>
  <c r="L16" i="39"/>
  <c r="L38" i="39"/>
  <c r="L35" i="39"/>
  <c r="L14" i="39"/>
  <c r="L11" i="39"/>
  <c r="L27" i="39"/>
  <c r="L6" i="39"/>
  <c r="L47" i="39"/>
  <c r="L2" i="39"/>
  <c r="M2" i="39"/>
  <c r="L45" i="39"/>
  <c r="L29" i="39"/>
  <c r="L15" i="39"/>
  <c r="L48" i="39"/>
  <c r="M48" i="39"/>
  <c r="N48" i="39" s="1"/>
  <c r="L36" i="39"/>
  <c r="M36" i="39"/>
  <c r="N36" i="39" s="1"/>
  <c r="L24" i="39"/>
  <c r="M24" i="39"/>
  <c r="N24" i="39" s="1"/>
  <c r="L12" i="39"/>
  <c r="M12" i="39"/>
  <c r="N12" i="39" s="1"/>
  <c r="L30" i="39"/>
  <c r="L42" i="39"/>
  <c r="L41" i="39"/>
  <c r="L31" i="39"/>
  <c r="M31" i="39"/>
  <c r="N31" i="39" s="1"/>
  <c r="L43" i="39"/>
  <c r="L40" i="39"/>
  <c r="L25" i="39"/>
  <c r="L10" i="39"/>
  <c r="L44" i="39"/>
  <c r="M44" i="39"/>
  <c r="N44" i="39" s="1"/>
  <c r="L32" i="39"/>
  <c r="M32" i="39"/>
  <c r="N32" i="39" s="1"/>
  <c r="L20" i="39"/>
  <c r="M20" i="39"/>
  <c r="N20" i="39" s="1"/>
  <c r="L8" i="39"/>
  <c r="M8" i="39"/>
  <c r="N8" i="39" s="1"/>
  <c r="L7" i="39"/>
  <c r="M7" i="39"/>
  <c r="N7" i="39" s="1"/>
  <c r="L37" i="39"/>
  <c r="L4" i="39"/>
  <c r="M4" i="39"/>
  <c r="N4" i="39" s="1"/>
  <c r="L18" i="39"/>
  <c r="L49" i="39"/>
  <c r="F75" i="36"/>
  <c r="E75" i="36"/>
  <c r="F74" i="36"/>
  <c r="E74" i="36"/>
  <c r="F73" i="36"/>
  <c r="E73" i="36"/>
  <c r="F72" i="36"/>
  <c r="E72" i="36"/>
  <c r="F71" i="36"/>
  <c r="E71" i="36"/>
  <c r="F70" i="36"/>
  <c r="E70" i="36" s="1"/>
  <c r="F69" i="36"/>
  <c r="E69" i="36"/>
  <c r="F68" i="36"/>
  <c r="E68" i="36"/>
  <c r="F67" i="36"/>
  <c r="E67" i="36"/>
  <c r="F66" i="36"/>
  <c r="E66" i="36"/>
  <c r="F65" i="36"/>
  <c r="E65" i="36"/>
  <c r="F64" i="36"/>
  <c r="E64" i="36"/>
  <c r="F63" i="36"/>
  <c r="E63" i="36"/>
  <c r="F62" i="36"/>
  <c r="E62" i="36"/>
  <c r="F61" i="36"/>
  <c r="E61" i="36"/>
  <c r="F60" i="36"/>
  <c r="E60" i="36"/>
  <c r="F59" i="36"/>
  <c r="E59" i="36"/>
  <c r="F58" i="36"/>
  <c r="E58" i="36"/>
  <c r="F57" i="36"/>
  <c r="E57" i="36"/>
  <c r="F56" i="36"/>
  <c r="E56" i="36"/>
  <c r="F55" i="36"/>
  <c r="E55" i="36" s="1"/>
  <c r="F54" i="36"/>
  <c r="E54" i="36"/>
  <c r="F53" i="36"/>
  <c r="E53" i="36"/>
  <c r="F52" i="36"/>
  <c r="E52" i="36"/>
  <c r="F51" i="36"/>
  <c r="E51" i="36"/>
  <c r="F50" i="36"/>
  <c r="E50" i="36"/>
  <c r="F49" i="36"/>
  <c r="E49" i="36"/>
  <c r="F48" i="36"/>
  <c r="E48" i="36"/>
  <c r="F47" i="36"/>
  <c r="E47" i="36"/>
  <c r="F46" i="36"/>
  <c r="E46" i="36"/>
  <c r="F45" i="36"/>
  <c r="E45" i="36"/>
  <c r="F44" i="36"/>
  <c r="E44" i="36"/>
  <c r="F43" i="36"/>
  <c r="E43" i="36"/>
  <c r="F42" i="36"/>
  <c r="E42" i="36"/>
  <c r="F41" i="36"/>
  <c r="E41" i="36"/>
  <c r="F40" i="36"/>
  <c r="E40" i="36"/>
  <c r="F39" i="36"/>
  <c r="E39" i="36"/>
  <c r="F38" i="36"/>
  <c r="E38" i="36"/>
  <c r="F37" i="36"/>
  <c r="E37" i="36"/>
  <c r="F36" i="36"/>
  <c r="E36" i="36"/>
  <c r="F35" i="36"/>
  <c r="E35" i="36" s="1"/>
  <c r="F34" i="36"/>
  <c r="E34" i="36"/>
  <c r="F33" i="36"/>
  <c r="E33" i="36"/>
  <c r="F32" i="36"/>
  <c r="E32" i="36"/>
  <c r="F31" i="36"/>
  <c r="E31" i="36"/>
  <c r="F30" i="36"/>
  <c r="E30" i="36"/>
  <c r="F29" i="36"/>
  <c r="E29" i="36"/>
  <c r="F28" i="36"/>
  <c r="E28" i="36"/>
  <c r="F27" i="36"/>
  <c r="E27" i="36"/>
  <c r="F26" i="36"/>
  <c r="E26" i="36"/>
  <c r="F25" i="36"/>
  <c r="E25" i="36"/>
  <c r="F24" i="36"/>
  <c r="E24" i="36"/>
  <c r="F23" i="36"/>
  <c r="E23" i="36"/>
  <c r="F22" i="36"/>
  <c r="E22" i="36"/>
  <c r="F21" i="36"/>
  <c r="E21" i="36"/>
  <c r="F20" i="36"/>
  <c r="E20" i="36"/>
  <c r="F19" i="36"/>
  <c r="E19" i="36"/>
  <c r="F18" i="36"/>
  <c r="E18" i="36"/>
  <c r="F17" i="36"/>
  <c r="E17" i="36"/>
  <c r="F16" i="36"/>
  <c r="E16" i="36"/>
  <c r="F15" i="36"/>
  <c r="E15" i="36" s="1"/>
  <c r="F14" i="36"/>
  <c r="E14" i="36"/>
  <c r="F13" i="36"/>
  <c r="E13" i="36"/>
  <c r="F12" i="36"/>
  <c r="E12" i="36"/>
  <c r="F11" i="36"/>
  <c r="E11" i="36"/>
  <c r="F10" i="36"/>
  <c r="E10" i="36"/>
  <c r="F9" i="36"/>
  <c r="E9" i="36"/>
  <c r="F8" i="36"/>
  <c r="E8" i="36"/>
  <c r="F7" i="36"/>
  <c r="E7" i="36"/>
  <c r="F6" i="36"/>
  <c r="E6" i="36"/>
  <c r="F5" i="36"/>
  <c r="E5" i="36"/>
  <c r="F4" i="36"/>
  <c r="E4" i="36"/>
  <c r="F3" i="36"/>
  <c r="E3" i="36" s="1"/>
  <c r="AB53" i="33" l="1"/>
  <c r="AB51" i="33"/>
  <c r="AB57" i="33"/>
  <c r="AB55" i="33"/>
  <c r="AB56" i="33"/>
  <c r="AB52" i="33"/>
  <c r="AB50" i="33"/>
  <c r="AB54" i="33"/>
  <c r="AB58" i="33"/>
  <c r="CF36" i="9"/>
  <c r="CF42" i="9"/>
  <c r="CD39" i="9"/>
  <c r="CB39" i="9"/>
  <c r="CA36" i="9"/>
  <c r="CC34" i="9"/>
  <c r="CC42" i="9"/>
  <c r="CA37" i="9"/>
  <c r="CD42" i="9"/>
  <c r="CD41" i="9"/>
  <c r="CC36" i="9"/>
  <c r="CC41" i="9"/>
  <c r="CC37" i="9"/>
  <c r="CB34" i="9"/>
  <c r="CW34" i="9" s="1"/>
  <c r="CB41" i="9"/>
  <c r="CB36" i="9"/>
  <c r="CB37" i="9"/>
  <c r="CD36" i="9"/>
  <c r="CA41" i="9"/>
  <c r="CD37" i="9"/>
  <c r="CF41" i="9"/>
  <c r="CF37" i="9"/>
  <c r="CB42" i="9"/>
  <c r="CA38" i="9"/>
  <c r="CC38" i="9"/>
  <c r="CF38" i="9"/>
  <c r="CW38" i="9" s="1"/>
  <c r="CA34" i="9"/>
  <c r="CD34" i="9"/>
  <c r="CF39" i="9"/>
  <c r="CA42" i="9"/>
  <c r="CA40" i="9"/>
  <c r="BY33" i="9"/>
  <c r="BY40" i="9" s="1"/>
  <c r="BX39" i="9"/>
  <c r="BX38" i="9"/>
  <c r="BX37" i="9"/>
  <c r="BX34" i="9"/>
  <c r="BX36" i="9"/>
  <c r="BX42" i="9"/>
  <c r="BX41" i="9"/>
  <c r="CG36" i="9"/>
  <c r="CG39" i="9"/>
  <c r="CG38" i="9"/>
  <c r="CG35" i="9"/>
  <c r="CG41" i="9"/>
  <c r="CG34" i="9"/>
  <c r="CG37" i="9"/>
  <c r="CH33" i="9"/>
  <c r="CH36" i="9" s="1"/>
  <c r="N2" i="39"/>
  <c r="N1" i="39"/>
  <c r="CW42" i="9" l="1"/>
  <c r="CW37" i="9"/>
  <c r="CX36" i="9"/>
  <c r="CW36" i="9"/>
  <c r="CW39" i="9"/>
  <c r="CW41" i="9"/>
  <c r="BY38" i="9"/>
  <c r="CH41" i="9"/>
  <c r="CX41" i="9" s="1"/>
  <c r="CH35" i="9"/>
  <c r="CX35" i="9" s="1"/>
  <c r="CH38" i="9"/>
  <c r="CX38" i="9" s="1"/>
  <c r="CH34" i="9"/>
  <c r="CX34" i="9" s="1"/>
  <c r="BY41" i="9"/>
  <c r="CH42" i="9"/>
  <c r="CX42" i="9" s="1"/>
  <c r="BY39" i="9"/>
  <c r="CH37" i="9"/>
  <c r="CX37" i="9" s="1"/>
  <c r="BY37" i="9"/>
  <c r="CH39" i="9"/>
  <c r="CX39" i="9" s="1"/>
  <c r="BY36" i="9"/>
  <c r="BZ33" i="9"/>
  <c r="BZ42" i="9" s="1"/>
  <c r="BY34" i="9"/>
  <c r="BY42" i="9"/>
  <c r="CV42" i="9" s="1"/>
  <c r="DC36" i="9" l="1"/>
  <c r="R52" i="33" s="1"/>
  <c r="DB37" i="9"/>
  <c r="K53" i="33" s="1"/>
  <c r="DB39" i="9"/>
  <c r="K55" i="33" s="1"/>
  <c r="DC38" i="9"/>
  <c r="R54" i="33" s="1"/>
  <c r="DC34" i="9"/>
  <c r="R50" i="33" s="1"/>
  <c r="T50" i="33" s="1"/>
  <c r="DC35" i="9"/>
  <c r="R51" i="33" s="1"/>
  <c r="DC41" i="9"/>
  <c r="R57" i="33" s="1"/>
  <c r="T57" i="33" s="1"/>
  <c r="DB41" i="9"/>
  <c r="K57" i="33" s="1"/>
  <c r="M57" i="33" s="1"/>
  <c r="DC39" i="9"/>
  <c r="R55" i="33" s="1"/>
  <c r="DB36" i="9"/>
  <c r="K52" i="33" s="1"/>
  <c r="DC37" i="9"/>
  <c r="R53" i="33" s="1"/>
  <c r="DB34" i="9"/>
  <c r="K50" i="33" s="1"/>
  <c r="M50" i="33" s="1"/>
  <c r="DB42" i="9"/>
  <c r="K58" i="33" s="1"/>
  <c r="M58" i="33" s="1"/>
  <c r="DC42" i="9"/>
  <c r="R58" i="33" s="1"/>
  <c r="T58" i="33" s="1"/>
  <c r="DB38" i="9"/>
  <c r="K54" i="33" s="1"/>
  <c r="BZ36" i="9"/>
  <c r="CV36" i="9" s="1"/>
  <c r="BZ34" i="9"/>
  <c r="CV34" i="9" s="1"/>
  <c r="BZ38" i="9"/>
  <c r="CV38" i="9" s="1"/>
  <c r="BZ39" i="9"/>
  <c r="CV39" i="9" s="1"/>
  <c r="BZ37" i="9"/>
  <c r="CV37" i="9" s="1"/>
  <c r="BZ41" i="9"/>
  <c r="CV41" i="9" s="1"/>
  <c r="BZ40" i="9"/>
  <c r="CV40" i="9" s="1"/>
  <c r="T51" i="33" l="1"/>
  <c r="M55" i="33"/>
  <c r="M53" i="33"/>
  <c r="T53" i="33"/>
  <c r="M52" i="33"/>
  <c r="T55" i="33"/>
  <c r="T54" i="33"/>
  <c r="M54" i="33"/>
  <c r="T52" i="33"/>
  <c r="DA42" i="9"/>
  <c r="D58" i="33" s="1"/>
  <c r="F58" i="33" s="1"/>
  <c r="U56" i="33"/>
  <c r="N56" i="33"/>
  <c r="N51" i="33"/>
  <c r="DA40" i="9"/>
  <c r="D56" i="33" s="1"/>
  <c r="F56" i="33" s="1"/>
  <c r="DA39" i="9"/>
  <c r="D55" i="33" s="1"/>
  <c r="F55" i="33" s="1"/>
  <c r="DA37" i="9"/>
  <c r="D53" i="33" s="1"/>
  <c r="F53" i="33" s="1"/>
  <c r="DA36" i="9"/>
  <c r="D52" i="33" s="1"/>
  <c r="F52" i="33" s="1"/>
  <c r="DA34" i="9"/>
  <c r="D50" i="33" s="1"/>
  <c r="F50" i="33" s="1"/>
  <c r="DA41" i="9"/>
  <c r="D57" i="33" s="1"/>
  <c r="F57" i="33" s="1"/>
  <c r="DA38" i="9"/>
  <c r="D54" i="33" s="1"/>
  <c r="F54" i="33" s="1"/>
  <c r="P3" i="33"/>
  <c r="P9" i="33"/>
  <c r="Q4" i="33"/>
  <c r="Q6" i="33"/>
  <c r="Q7" i="33"/>
  <c r="Q8" i="33"/>
  <c r="Q9" i="33"/>
  <c r="Q10" i="33"/>
  <c r="J7" i="33"/>
  <c r="J11" i="33"/>
  <c r="J8" i="33"/>
  <c r="Q5" i="33"/>
  <c r="J4" i="33"/>
  <c r="J5" i="33"/>
  <c r="J6" i="33"/>
  <c r="J10" i="33"/>
  <c r="Q11" i="33"/>
  <c r="J9" i="33"/>
  <c r="H9" i="33"/>
  <c r="O9" i="33" s="1"/>
  <c r="V9" i="33" s="1"/>
  <c r="AC9" i="33" s="1"/>
  <c r="U58" i="33" l="1"/>
  <c r="N54" i="33"/>
  <c r="N52" i="33"/>
  <c r="U54" i="33"/>
  <c r="U57" i="33"/>
  <c r="U53" i="33"/>
  <c r="N57" i="33"/>
  <c r="N55" i="33"/>
  <c r="N50" i="33"/>
  <c r="N53" i="33"/>
  <c r="U51" i="33"/>
  <c r="N58" i="33"/>
  <c r="U52" i="33"/>
  <c r="U50" i="33"/>
  <c r="U55" i="33"/>
  <c r="G55" i="33"/>
  <c r="G53" i="33"/>
  <c r="G57" i="33"/>
  <c r="G54" i="33"/>
  <c r="G56" i="33"/>
  <c r="G50" i="33"/>
  <c r="G51" i="33"/>
  <c r="G52" i="33"/>
  <c r="G58" i="33"/>
  <c r="C3" i="33"/>
  <c r="J3" i="33"/>
  <c r="K3" i="33"/>
  <c r="R3" i="33"/>
  <c r="D11" i="33"/>
  <c r="K8" i="33"/>
  <c r="R5" i="33"/>
  <c r="D10" i="33"/>
  <c r="K7" i="33"/>
  <c r="R4" i="33"/>
  <c r="D9" i="33"/>
  <c r="K6" i="33"/>
  <c r="D8" i="33"/>
  <c r="K5" i="33"/>
  <c r="D7" i="33"/>
  <c r="K4" i="33"/>
  <c r="D6" i="33"/>
  <c r="D5" i="33"/>
  <c r="R11" i="33"/>
  <c r="D4" i="33"/>
  <c r="R10" i="33"/>
  <c r="R9" i="33"/>
  <c r="T9" i="33" s="1"/>
  <c r="K11" i="33"/>
  <c r="R8" i="33"/>
  <c r="K10" i="33"/>
  <c r="R7" i="33"/>
  <c r="K9" i="33"/>
  <c r="R6" i="33"/>
  <c r="I8" i="33"/>
  <c r="I11" i="33"/>
  <c r="I3" i="33"/>
  <c r="I6" i="33"/>
  <c r="I9" i="33"/>
  <c r="I5" i="33"/>
  <c r="I4" i="33"/>
  <c r="I7" i="33"/>
  <c r="I10" i="33"/>
  <c r="B8" i="33"/>
  <c r="B6" i="33"/>
  <c r="B4" i="33"/>
  <c r="B10" i="33"/>
  <c r="B9" i="33"/>
  <c r="B7" i="33"/>
  <c r="B5" i="33"/>
  <c r="B11" i="33"/>
  <c r="H11" i="33"/>
  <c r="H4" i="33"/>
  <c r="H5" i="33"/>
  <c r="H6" i="33"/>
  <c r="H7" i="33"/>
  <c r="H8" i="33"/>
  <c r="A9" i="33"/>
  <c r="H10" i="33"/>
  <c r="H3" i="33"/>
  <c r="C5" i="33"/>
  <c r="C10" i="33"/>
  <c r="C4" i="33"/>
  <c r="C7" i="33"/>
  <c r="Q3" i="33"/>
  <c r="C6" i="33"/>
  <c r="C9" i="33"/>
  <c r="C8" i="33"/>
  <c r="C11" i="33"/>
  <c r="M7" i="33" l="1"/>
  <c r="F5" i="33"/>
  <c r="F11" i="33"/>
  <c r="F9" i="33"/>
  <c r="F10" i="33"/>
  <c r="F6" i="33"/>
  <c r="F8" i="33"/>
  <c r="F7" i="33"/>
  <c r="F3" i="33"/>
  <c r="U9" i="33"/>
  <c r="M10" i="33"/>
  <c r="T3" i="33"/>
  <c r="M9" i="33"/>
  <c r="M5" i="33"/>
  <c r="M11" i="33"/>
  <c r="M8" i="33"/>
  <c r="M6" i="33"/>
  <c r="M3" i="33"/>
  <c r="A56" i="33"/>
  <c r="H56" i="33" s="1"/>
  <c r="O56" i="33" s="1"/>
  <c r="V56" i="33" s="1"/>
  <c r="AC56" i="33" s="1"/>
  <c r="P8" i="33"/>
  <c r="T8" i="33" s="1"/>
  <c r="A11" i="33"/>
  <c r="O11" i="33"/>
  <c r="V11" i="33" s="1"/>
  <c r="AC11" i="33" s="1"/>
  <c r="P11" i="33"/>
  <c r="T11" i="33" s="1"/>
  <c r="A5" i="33"/>
  <c r="O5" i="33"/>
  <c r="V5" i="33" s="1"/>
  <c r="AC5" i="33" s="1"/>
  <c r="A6" i="33"/>
  <c r="O6" i="33"/>
  <c r="V6" i="33" s="1"/>
  <c r="AC6" i="33" s="1"/>
  <c r="A3" i="33"/>
  <c r="O3" i="33"/>
  <c r="V3" i="33" s="1"/>
  <c r="AC3" i="33" s="1"/>
  <c r="O4" i="33"/>
  <c r="V4" i="33" s="1"/>
  <c r="AC4" i="33" s="1"/>
  <c r="A4" i="33"/>
  <c r="A10" i="33"/>
  <c r="O10" i="33"/>
  <c r="V10" i="33" s="1"/>
  <c r="AC10" i="33" s="1"/>
  <c r="A8" i="33"/>
  <c r="O8" i="33"/>
  <c r="V8" i="33" s="1"/>
  <c r="AC8" i="33" s="1"/>
  <c r="A7" i="33"/>
  <c r="O7" i="33"/>
  <c r="V7" i="33" s="1"/>
  <c r="AC7" i="33" s="1"/>
  <c r="P5" i="33"/>
  <c r="T5" i="33" s="1"/>
  <c r="P7" i="33"/>
  <c r="T7" i="33" s="1"/>
  <c r="P10" i="33"/>
  <c r="T10" i="33" s="1"/>
  <c r="P4" i="33"/>
  <c r="T4" i="33" s="1"/>
  <c r="P6" i="33"/>
  <c r="T6" i="33" s="1"/>
  <c r="P5" i="30"/>
  <c r="M5" i="30"/>
  <c r="P11" i="30"/>
  <c r="M11" i="30"/>
  <c r="P4" i="30"/>
  <c r="M4" i="30"/>
  <c r="P7" i="30"/>
  <c r="M7" i="30"/>
  <c r="P14" i="30"/>
  <c r="M14" i="30"/>
  <c r="P13" i="30"/>
  <c r="M13" i="30"/>
  <c r="P6" i="30"/>
  <c r="M6" i="30"/>
  <c r="P10" i="30"/>
  <c r="M10" i="30"/>
  <c r="H7" i="30"/>
  <c r="I4" i="30"/>
  <c r="I7" i="30"/>
  <c r="D13" i="33" l="1"/>
  <c r="D14" i="33"/>
  <c r="D15" i="33"/>
  <c r="C14" i="33"/>
  <c r="H17" i="33"/>
  <c r="B13" i="33"/>
  <c r="J15" i="33"/>
  <c r="E13" i="33"/>
  <c r="I13" i="33"/>
  <c r="H15" i="33"/>
  <c r="B14" i="33"/>
  <c r="J17" i="33"/>
  <c r="C17" i="33"/>
  <c r="E17" i="33"/>
  <c r="I17" i="33"/>
  <c r="F17" i="33"/>
  <c r="D17" i="33"/>
  <c r="B17" i="33"/>
  <c r="F16" i="33"/>
  <c r="C16" i="33"/>
  <c r="D16" i="33"/>
  <c r="I16" i="33"/>
  <c r="J16" i="33"/>
  <c r="E16" i="33"/>
  <c r="B16" i="33"/>
  <c r="H16" i="33"/>
  <c r="I14" i="33"/>
  <c r="G13" i="33"/>
  <c r="E15" i="33"/>
  <c r="J14" i="33"/>
  <c r="J13" i="33"/>
  <c r="I15" i="33"/>
  <c r="C13" i="33"/>
  <c r="F15" i="33"/>
  <c r="F14" i="33"/>
  <c r="F13" i="33"/>
  <c r="B15" i="33"/>
  <c r="C15" i="33"/>
  <c r="E14" i="33"/>
  <c r="N9" i="33"/>
  <c r="G4" i="33"/>
  <c r="N4" i="33"/>
  <c r="N8" i="33"/>
  <c r="N6" i="33"/>
  <c r="N7" i="33"/>
  <c r="G7" i="33"/>
  <c r="G3" i="33"/>
  <c r="G9" i="33"/>
  <c r="G6" i="33"/>
  <c r="G5" i="33"/>
  <c r="G8" i="33"/>
  <c r="N11" i="33"/>
  <c r="G11" i="33"/>
  <c r="N5" i="33"/>
  <c r="N3" i="33"/>
  <c r="G10" i="33"/>
  <c r="N10" i="33"/>
  <c r="U7" i="33"/>
  <c r="U5" i="33"/>
  <c r="U8" i="33"/>
  <c r="U6" i="33"/>
  <c r="U11" i="33"/>
  <c r="U4" i="33"/>
  <c r="U3" i="33"/>
  <c r="U10" i="33"/>
  <c r="A53" i="33"/>
  <c r="H53" i="33" s="1"/>
  <c r="O53" i="33" s="1"/>
  <c r="V53" i="33" s="1"/>
  <c r="AC53" i="33" s="1"/>
  <c r="A51" i="33"/>
  <c r="H51" i="33" s="1"/>
  <c r="O51" i="33" s="1"/>
  <c r="V51" i="33" s="1"/>
  <c r="AC51" i="33" s="1"/>
  <c r="A50" i="33"/>
  <c r="H23" i="33" s="1"/>
  <c r="A52" i="33"/>
  <c r="H52" i="33" s="1"/>
  <c r="O52" i="33" s="1"/>
  <c r="V52" i="33" s="1"/>
  <c r="AC52" i="33" s="1"/>
  <c r="A57" i="33"/>
  <c r="H57" i="33" s="1"/>
  <c r="O57" i="33" s="1"/>
  <c r="V57" i="33" s="1"/>
  <c r="AC57" i="33" s="1"/>
  <c r="A54" i="33"/>
  <c r="H54" i="33" s="1"/>
  <c r="O54" i="33" s="1"/>
  <c r="V54" i="33" s="1"/>
  <c r="AC54" i="33" s="1"/>
  <c r="A55" i="33"/>
  <c r="H55" i="33" s="1"/>
  <c r="O55" i="33" s="1"/>
  <c r="V55" i="33" s="1"/>
  <c r="AC55" i="33" s="1"/>
  <c r="A58" i="33"/>
  <c r="H58" i="33" s="1"/>
  <c r="O58" i="33" s="1"/>
  <c r="V58" i="33" s="1"/>
  <c r="AC58" i="33" s="1"/>
  <c r="AJ12" i="1"/>
  <c r="AI12" i="1"/>
  <c r="AH12" i="1"/>
  <c r="AG12" i="1"/>
  <c r="AE12" i="1"/>
  <c r="AD12" i="1"/>
  <c r="AC12" i="1"/>
  <c r="AB12" i="1"/>
  <c r="AA12" i="1"/>
  <c r="Y12" i="1"/>
  <c r="D23" i="33" l="1"/>
  <c r="C23" i="33"/>
  <c r="I23" i="33"/>
  <c r="J23" i="33"/>
  <c r="E23" i="33"/>
  <c r="B23" i="33"/>
  <c r="F23" i="33"/>
  <c r="B22" i="33"/>
  <c r="E22" i="33"/>
  <c r="I22" i="33"/>
  <c r="F22" i="33"/>
  <c r="J22" i="33"/>
  <c r="C22" i="33"/>
  <c r="H22" i="33"/>
  <c r="D22" i="33"/>
  <c r="D21" i="33"/>
  <c r="C21" i="33"/>
  <c r="D20" i="33"/>
  <c r="C20" i="33"/>
  <c r="J21" i="33"/>
  <c r="J20" i="33"/>
  <c r="B19" i="33"/>
  <c r="H21" i="33"/>
  <c r="B21" i="33"/>
  <c r="D19" i="33"/>
  <c r="E19" i="33"/>
  <c r="F21" i="33"/>
  <c r="F20" i="33"/>
  <c r="E20" i="33"/>
  <c r="B20" i="33"/>
  <c r="C19" i="33"/>
  <c r="I20" i="33"/>
  <c r="G19" i="33"/>
  <c r="E21" i="33"/>
  <c r="I21" i="33"/>
  <c r="I19" i="33"/>
  <c r="J19" i="33"/>
  <c r="F19" i="33"/>
  <c r="H50" i="33"/>
  <c r="O50" i="33" s="1"/>
  <c r="V50" i="33" s="1"/>
  <c r="AC50" i="33" s="1"/>
  <c r="H4" i="30"/>
  <c r="C4" i="30" l="1"/>
  <c r="D4" i="30"/>
  <c r="E4" i="30"/>
  <c r="F4" i="30"/>
  <c r="G4" i="30"/>
  <c r="B4" i="30"/>
  <c r="C7" i="30"/>
  <c r="D7" i="30"/>
  <c r="E7" i="30"/>
  <c r="F7" i="30"/>
  <c r="G7" i="30"/>
  <c r="B7" i="30"/>
  <c r="AH12" i="9"/>
  <c r="AH13" i="9"/>
  <c r="AF32" i="9"/>
  <c r="AF34" i="9"/>
  <c r="AF35" i="9"/>
  <c r="AD35" i="9"/>
  <c r="AD34" i="9"/>
  <c r="AD32" i="9"/>
  <c r="AB32" i="9"/>
  <c r="AB34" i="9"/>
  <c r="AB35" i="9"/>
  <c r="Z35" i="9"/>
  <c r="Z34" i="9"/>
  <c r="Z32" i="9"/>
  <c r="X32" i="9"/>
  <c r="X34" i="9"/>
  <c r="X35" i="9"/>
  <c r="V35" i="9"/>
  <c r="V34" i="9"/>
  <c r="V32" i="9"/>
  <c r="T32" i="9"/>
  <c r="T34" i="9"/>
  <c r="T35" i="9"/>
  <c r="R35" i="9"/>
  <c r="R34" i="9"/>
  <c r="R32" i="9"/>
  <c r="P32" i="9"/>
  <c r="P34" i="9"/>
  <c r="P35" i="9"/>
  <c r="N35" i="9"/>
  <c r="N34" i="9"/>
  <c r="N32" i="9"/>
  <c r="AF11" i="9"/>
  <c r="AD11" i="9"/>
  <c r="AB11" i="9"/>
  <c r="Z11" i="9"/>
  <c r="X11" i="9"/>
  <c r="V11" i="9"/>
  <c r="T11" i="9"/>
  <c r="R11" i="9"/>
  <c r="P11" i="9"/>
  <c r="N11" i="9"/>
  <c r="AF5" i="9"/>
  <c r="AD5" i="9"/>
  <c r="AB5" i="9"/>
  <c r="Z5" i="9"/>
  <c r="X5" i="9"/>
  <c r="V5" i="9"/>
  <c r="T5" i="9"/>
  <c r="R5" i="9"/>
  <c r="P5" i="9"/>
  <c r="N5" i="9"/>
  <c r="V4" i="9"/>
  <c r="T4" i="9"/>
  <c r="R4" i="9"/>
  <c r="P4" i="9"/>
  <c r="N4" i="9"/>
  <c r="AF4" i="9"/>
  <c r="AD4" i="9"/>
  <c r="AB4" i="9"/>
  <c r="Z4" i="9"/>
  <c r="X4" i="9"/>
  <c r="C27" i="3" l="1"/>
  <c r="R6" i="7"/>
  <c r="R5" i="7"/>
  <c r="R4" i="7"/>
  <c r="AH34" i="9"/>
  <c r="AH33" i="9"/>
  <c r="AH32" i="9"/>
  <c r="AH31" i="9"/>
  <c r="AH30" i="9"/>
  <c r="AH29" i="9"/>
  <c r="AH28" i="9"/>
  <c r="AH27" i="9"/>
  <c r="AH26" i="9"/>
  <c r="AH25" i="9"/>
  <c r="AH24" i="9"/>
  <c r="AH14" i="9"/>
  <c r="AH11" i="9"/>
  <c r="AH10" i="9"/>
  <c r="AH7" i="9"/>
  <c r="AH6" i="9"/>
  <c r="AH5" i="9"/>
  <c r="AH4" i="9"/>
  <c r="L10" i="5"/>
  <c r="L6" i="5" l="1"/>
  <c r="L5" i="5"/>
  <c r="L8" i="5"/>
  <c r="L7" i="5"/>
  <c r="M3" i="22"/>
  <c r="J2" i="22"/>
  <c r="J3" i="22"/>
  <c r="M2" i="22"/>
  <c r="L4" i="5"/>
  <c r="F1" i="24" l="1"/>
  <c r="C3" i="2" l="1"/>
  <c r="C4" i="2"/>
  <c r="C5" i="2"/>
  <c r="C6" i="2"/>
  <c r="C7" i="2"/>
  <c r="C8" i="2"/>
  <c r="C9" i="2"/>
  <c r="C10" i="2"/>
  <c r="C11" i="2"/>
  <c r="C2" i="2"/>
  <c r="D2" i="2"/>
  <c r="D11" i="2"/>
  <c r="B36" i="3" l="1"/>
  <c r="H6" i="13" l="1"/>
  <c r="J6" i="13"/>
  <c r="I6" i="13"/>
  <c r="K6" i="13" s="1"/>
  <c r="L19" i="5"/>
  <c r="B5" i="13" l="1"/>
  <c r="D5" i="13"/>
  <c r="B4" i="6" l="1"/>
  <c r="C2" i="6" l="1"/>
  <c r="E2" i="6"/>
  <c r="E1" i="6"/>
  <c r="C1" i="6"/>
  <c r="C29" i="3"/>
  <c r="C24" i="3"/>
  <c r="C23" i="3"/>
  <c r="C22" i="3"/>
  <c r="C12" i="3"/>
  <c r="C11" i="3"/>
  <c r="C10" i="3"/>
  <c r="D8" i="3"/>
  <c r="C8" i="3"/>
  <c r="D7" i="3"/>
  <c r="C7" i="3"/>
  <c r="C6" i="3"/>
  <c r="E5" i="2"/>
  <c r="E7" i="2"/>
  <c r="D10" i="2"/>
  <c r="D6" i="2"/>
  <c r="D9" i="2"/>
  <c r="E11" i="2"/>
  <c r="E8" i="2"/>
  <c r="E3" i="2"/>
  <c r="E4" i="2"/>
  <c r="E10" i="2"/>
  <c r="D3" i="2"/>
  <c r="D5" i="2"/>
  <c r="E2" i="2"/>
  <c r="D7" i="2"/>
  <c r="D8" i="2"/>
  <c r="E9" i="2"/>
  <c r="D4" i="2"/>
  <c r="E6" i="2"/>
  <c r="G10" i="2" l="1"/>
  <c r="G9" i="2"/>
  <c r="G6" i="2"/>
  <c r="G11" i="2"/>
  <c r="G8" i="2"/>
  <c r="G7" i="2"/>
  <c r="G5" i="2"/>
  <c r="G4" i="2"/>
  <c r="G3" i="2"/>
  <c r="G2" i="2"/>
  <c r="F10" i="2"/>
  <c r="I10" i="2" s="1"/>
  <c r="C72" i="1" s="1"/>
  <c r="F9" i="2"/>
  <c r="I9" i="2" s="1"/>
  <c r="C58" i="1" s="1"/>
  <c r="F6" i="2"/>
  <c r="I6" i="2" s="1"/>
  <c r="F11" i="2"/>
  <c r="I11" i="2" s="1"/>
  <c r="F8" i="2"/>
  <c r="I8" i="2" s="1"/>
  <c r="F7" i="2"/>
  <c r="I7" i="2" s="1"/>
  <c r="C36" i="1" s="1"/>
  <c r="D36" i="1" s="1"/>
  <c r="F5" i="2"/>
  <c r="I5" i="2" s="1"/>
  <c r="F4" i="2"/>
  <c r="I4" i="2" s="1"/>
  <c r="C27" i="1" s="1"/>
  <c r="F3" i="2"/>
  <c r="I3" i="2" s="1"/>
  <c r="C16" i="1" s="1"/>
  <c r="F2" i="2"/>
  <c r="I2" i="2" s="1"/>
  <c r="C2" i="1" s="1"/>
  <c r="D28" i="3"/>
  <c r="C34" i="3" s="1"/>
  <c r="C41" i="1" l="1"/>
  <c r="D41" i="1" s="1"/>
  <c r="C42" i="1"/>
  <c r="D42" i="1" s="1"/>
  <c r="C43" i="1"/>
  <c r="D43" i="1" s="1"/>
  <c r="C47" i="1"/>
  <c r="D47" i="1" s="1"/>
  <c r="C30" i="1"/>
  <c r="D30" i="1" s="1"/>
  <c r="C38" i="1"/>
  <c r="D38" i="1" s="1"/>
  <c r="C37" i="1"/>
  <c r="D37" i="1" s="1"/>
  <c r="C40" i="1"/>
  <c r="D40" i="1" s="1"/>
  <c r="C67" i="1"/>
  <c r="D67" i="1" s="1"/>
  <c r="C33" i="1"/>
  <c r="D33" i="1" s="1"/>
  <c r="C44" i="1"/>
  <c r="D44" i="1" s="1"/>
  <c r="C28" i="1"/>
  <c r="D28" i="1" s="1"/>
  <c r="C65" i="1"/>
  <c r="D65" i="1" s="1"/>
  <c r="C22" i="1"/>
  <c r="D22" i="1" s="1"/>
  <c r="C26" i="1"/>
  <c r="D26" i="1" s="1"/>
  <c r="C25" i="1"/>
  <c r="D25" i="1" s="1"/>
  <c r="C69" i="1"/>
  <c r="D69" i="1" s="1"/>
  <c r="C45" i="1"/>
  <c r="D45" i="1" s="1"/>
  <c r="C53" i="1"/>
  <c r="D53" i="1" s="1"/>
  <c r="C19" i="1"/>
  <c r="D19" i="1" s="1"/>
  <c r="C29" i="1"/>
  <c r="D29" i="1" s="1"/>
  <c r="C21" i="1"/>
  <c r="D21" i="1" s="1"/>
  <c r="C24" i="1"/>
  <c r="D24" i="1" s="1"/>
  <c r="C20" i="1"/>
  <c r="D20" i="1" s="1"/>
  <c r="C34" i="1"/>
  <c r="D34" i="1" s="1"/>
  <c r="C51" i="1"/>
  <c r="D51" i="1" s="1"/>
  <c r="C18" i="1"/>
  <c r="D18" i="1" s="1"/>
  <c r="C15" i="1"/>
  <c r="D15" i="1" s="1"/>
  <c r="C68" i="1"/>
  <c r="D68" i="1" s="1"/>
  <c r="C14" i="1"/>
  <c r="D14" i="1" s="1"/>
  <c r="C23" i="1"/>
  <c r="D23" i="1" s="1"/>
  <c r="C17" i="1"/>
  <c r="D17" i="1" s="1"/>
  <c r="D2" i="1"/>
  <c r="C13" i="1"/>
  <c r="D13" i="1" s="1"/>
  <c r="C73" i="1"/>
  <c r="D73" i="1" s="1"/>
  <c r="C70" i="1"/>
  <c r="D70" i="1" s="1"/>
  <c r="C50" i="1"/>
  <c r="D50" i="1" s="1"/>
  <c r="C57" i="1"/>
  <c r="D57" i="1" s="1"/>
  <c r="C54" i="1"/>
  <c r="D54" i="1" s="1"/>
  <c r="C80" i="1"/>
  <c r="D80" i="1" s="1"/>
  <c r="C76" i="1"/>
  <c r="D76" i="1" s="1"/>
  <c r="C79" i="1"/>
  <c r="D79" i="1" s="1"/>
  <c r="C77" i="1"/>
  <c r="D77" i="1" s="1"/>
  <c r="C71" i="1"/>
  <c r="D71" i="1" s="1"/>
  <c r="C48" i="1"/>
  <c r="D48" i="1" s="1"/>
  <c r="C74" i="1"/>
  <c r="D74" i="1" s="1"/>
  <c r="C62" i="1"/>
  <c r="D62" i="1" s="1"/>
  <c r="C46" i="1"/>
  <c r="D46" i="1" s="1"/>
  <c r="C63" i="1"/>
  <c r="D63" i="1" s="1"/>
  <c r="C66" i="1"/>
  <c r="D66" i="1" s="1"/>
  <c r="C55" i="1"/>
  <c r="D55" i="1" s="1"/>
  <c r="C56" i="1"/>
  <c r="D56" i="1" s="1"/>
  <c r="C81" i="1"/>
  <c r="D81" i="1" s="1"/>
  <c r="C78" i="1"/>
  <c r="D78" i="1" s="1"/>
  <c r="D27" i="1"/>
  <c r="C52" i="1"/>
  <c r="D52" i="1" s="1"/>
  <c r="C61" i="1"/>
  <c r="D61" i="1" s="1"/>
  <c r="C75" i="1"/>
  <c r="D75" i="1" s="1"/>
  <c r="C49" i="1"/>
  <c r="D49" i="1" s="1"/>
  <c r="C7" i="1"/>
  <c r="D7" i="1" s="1"/>
  <c r="C9" i="1"/>
  <c r="D9" i="1" s="1"/>
  <c r="C10" i="1"/>
  <c r="D10" i="1" s="1"/>
  <c r="C8" i="1"/>
  <c r="D8" i="1" s="1"/>
  <c r="C5" i="1"/>
  <c r="D5" i="1" s="1"/>
  <c r="C6" i="1"/>
  <c r="D6" i="1" s="1"/>
  <c r="C3" i="1"/>
  <c r="D3" i="1" s="1"/>
  <c r="C11" i="1"/>
  <c r="D11" i="1" s="1"/>
  <c r="D72" i="1"/>
  <c r="D58" i="1"/>
  <c r="D16" i="1"/>
  <c r="C12" i="1"/>
  <c r="D12" i="1" s="1"/>
  <c r="C4" i="1"/>
  <c r="D4" i="1" s="1"/>
  <c r="H2" i="2"/>
  <c r="H5" i="2"/>
  <c r="H7" i="2"/>
  <c r="H8" i="2"/>
  <c r="H3" i="2"/>
  <c r="H11" i="2"/>
  <c r="H10" i="2"/>
  <c r="H4" i="2"/>
  <c r="H6" i="2"/>
  <c r="H9" i="2"/>
</calcChain>
</file>

<file path=xl/sharedStrings.xml><?xml version="1.0" encoding="utf-8"?>
<sst xmlns="http://schemas.openxmlformats.org/spreadsheetml/2006/main" count="3124" uniqueCount="1217">
  <si>
    <t>Ch</t>
  </si>
  <si>
    <t>Task</t>
  </si>
  <si>
    <t>Cost (NZD)</t>
  </si>
  <si>
    <t>Pending (NZD)</t>
  </si>
  <si>
    <t>Literature research</t>
  </si>
  <si>
    <t>IT Architechtural Design</t>
  </si>
  <si>
    <t>Reference Sampling</t>
  </si>
  <si>
    <t>Tissue Bank</t>
  </si>
  <si>
    <t>Reference DNA Extraccion</t>
  </si>
  <si>
    <t>Reference LibPrep</t>
  </si>
  <si>
    <t>Reference Sequencing</t>
  </si>
  <si>
    <t>Variant Sampling</t>
  </si>
  <si>
    <t>Variant DNA Extraction</t>
  </si>
  <si>
    <t>Variant LibPrep</t>
  </si>
  <si>
    <t>Variant Sequencing</t>
  </si>
  <si>
    <t>1 Read QC</t>
  </si>
  <si>
    <t>2 Assembly</t>
  </si>
  <si>
    <t>2 Assembly QC</t>
  </si>
  <si>
    <t>3 Remove Haplotigs</t>
  </si>
  <si>
    <t>3 Assembly QC</t>
  </si>
  <si>
    <t>4 Hi-C</t>
  </si>
  <si>
    <t>4 Assembly QC</t>
  </si>
  <si>
    <t>Transcriptome Sampling</t>
  </si>
  <si>
    <t>Transcriptome RNA Extraction</t>
  </si>
  <si>
    <t>Transcriptome Lib Prep</t>
  </si>
  <si>
    <t>Transcriptome Sequencing</t>
  </si>
  <si>
    <t>5 Annotation</t>
  </si>
  <si>
    <t>6 Variant Analysis</t>
  </si>
  <si>
    <t>Logistics</t>
  </si>
  <si>
    <t>SUBTOTAL</t>
  </si>
  <si>
    <t>Population Sampling</t>
  </si>
  <si>
    <t>Population DNA Extraction</t>
  </si>
  <si>
    <t>Population LibPrep</t>
  </si>
  <si>
    <t>Population Sequencing</t>
  </si>
  <si>
    <t>7 Population</t>
  </si>
  <si>
    <t>TOTAL</t>
  </si>
  <si>
    <t xml:space="preserve">SNP chip </t>
  </si>
  <si>
    <t>Step</t>
  </si>
  <si>
    <t>No tools</t>
  </si>
  <si>
    <t>No Column in Gantt Chart</t>
  </si>
  <si>
    <t>Start Date</t>
  </si>
  <si>
    <t>Due Date</t>
  </si>
  <si>
    <t>Total No days</t>
  </si>
  <si>
    <t>Remining No days</t>
  </si>
  <si>
    <t>% Remining</t>
  </si>
  <si>
    <t>No days per tool</t>
  </si>
  <si>
    <t>Installation source</t>
  </si>
  <si>
    <t>boolean</t>
  </si>
  <si>
    <t>conda</t>
  </si>
  <si>
    <t>docker</t>
  </si>
  <si>
    <t>singularity</t>
  </si>
  <si>
    <t>grpiccoli</t>
  </si>
  <si>
    <t>custom</t>
  </si>
  <si>
    <t>Tool</t>
  </si>
  <si>
    <t>Due</t>
  </si>
  <si>
    <t>Writing Due</t>
  </si>
  <si>
    <t>Install</t>
  </si>
  <si>
    <t>1DNA</t>
  </si>
  <si>
    <t>2DNA</t>
  </si>
  <si>
    <t>3DNA</t>
  </si>
  <si>
    <t>RNA1</t>
  </si>
  <si>
    <t>RNA2</t>
  </si>
  <si>
    <t>RNA3</t>
  </si>
  <si>
    <t>RNA4</t>
  </si>
  <si>
    <t>Hi-C</t>
  </si>
  <si>
    <t>gen5</t>
  </si>
  <si>
    <t>Chp</t>
  </si>
  <si>
    <t>step 1</t>
  </si>
  <si>
    <t>step 2</t>
  </si>
  <si>
    <t>step 3</t>
  </si>
  <si>
    <t>step 4</t>
  </si>
  <si>
    <t>step 5</t>
  </si>
  <si>
    <t>FastQC+MultiQC</t>
  </si>
  <si>
    <t>DONE 1-3</t>
  </si>
  <si>
    <t>bam2fastx</t>
  </si>
  <si>
    <t>JellyFish + GenomeScope</t>
  </si>
  <si>
    <t>smudgeplot</t>
  </si>
  <si>
    <t>DONE</t>
  </si>
  <si>
    <t>CovEST</t>
  </si>
  <si>
    <t>D</t>
  </si>
  <si>
    <t>ntCard</t>
  </si>
  <si>
    <t>Kmergenie</t>
  </si>
  <si>
    <t>findGSE</t>
  </si>
  <si>
    <t>BGI GCE</t>
  </si>
  <si>
    <t>R</t>
  </si>
  <si>
    <t>LongQC</t>
  </si>
  <si>
    <t>FASTK+GENESCOPE.FK</t>
  </si>
  <si>
    <t>KAT</t>
  </si>
  <si>
    <t>hicanu</t>
  </si>
  <si>
    <t>hifiasm</t>
  </si>
  <si>
    <t>flye</t>
  </si>
  <si>
    <t>pbipa</t>
  </si>
  <si>
    <t>raven</t>
  </si>
  <si>
    <t>peregrine</t>
  </si>
  <si>
    <t>pbassembly</t>
  </si>
  <si>
    <t>nextdenovo/polish</t>
  </si>
  <si>
    <t>DipAsm (peregrine+whdenovo)</t>
  </si>
  <si>
    <t>LJA</t>
  </si>
  <si>
    <t>MGSE</t>
  </si>
  <si>
    <t>quast5</t>
  </si>
  <si>
    <t>Assembly stats</t>
  </si>
  <si>
    <t>LTR_retriever</t>
  </si>
  <si>
    <t>LTRpred</t>
  </si>
  <si>
    <t>Merqury</t>
  </si>
  <si>
    <t>BUSCO3</t>
  </si>
  <si>
    <t>TETOOLS</t>
  </si>
  <si>
    <t>pstools</t>
  </si>
  <si>
    <t>purge_dups</t>
  </si>
  <si>
    <t>purge_haplotigs</t>
  </si>
  <si>
    <t>quast</t>
  </si>
  <si>
    <t>hiCeekR</t>
  </si>
  <si>
    <t>HiCRes</t>
  </si>
  <si>
    <t>HiCup</t>
  </si>
  <si>
    <t>SALSA2</t>
  </si>
  <si>
    <t>InstaGRAAL</t>
  </si>
  <si>
    <t>Juicer</t>
  </si>
  <si>
    <t>Fan-C</t>
  </si>
  <si>
    <t>marginPhase</t>
  </si>
  <si>
    <t>Hicpipe</t>
  </si>
  <si>
    <t>Homer</t>
  </si>
  <si>
    <t>GOTHiC</t>
  </si>
  <si>
    <t>CHiCAGO</t>
  </si>
  <si>
    <t>isoseq3</t>
  </si>
  <si>
    <t>TAMA</t>
  </si>
  <si>
    <t>SQUANTI3</t>
  </si>
  <si>
    <t>IsoAnnot</t>
  </si>
  <si>
    <t>tappAS</t>
  </si>
  <si>
    <t>IsoformSwitchAnalyzerR</t>
  </si>
  <si>
    <t>braker2</t>
  </si>
  <si>
    <t>maker2</t>
  </si>
  <si>
    <t>Benfords complitness</t>
  </si>
  <si>
    <t>Sdip</t>
  </si>
  <si>
    <t>Merfin</t>
  </si>
  <si>
    <t>DeepVariant</t>
  </si>
  <si>
    <t>NanoCaller</t>
  </si>
  <si>
    <t>Clair[voyante]</t>
  </si>
  <si>
    <t>Pbsv</t>
  </si>
  <si>
    <t>Sniffles</t>
  </si>
  <si>
    <t>SURVIVOR_ant</t>
  </si>
  <si>
    <t>SURVIVOR</t>
  </si>
  <si>
    <t>VaPoR</t>
  </si>
  <si>
    <t>Haplotypo</t>
  </si>
  <si>
    <t>WhatsHap</t>
  </si>
  <si>
    <t>step</t>
  </si>
  <si>
    <t>Batch Script</t>
  </si>
  <si>
    <t>Name</t>
  </si>
  <si>
    <t>Version</t>
  </si>
  <si>
    <t>Source</t>
  </si>
  <si>
    <t>jobid</t>
  </si>
  <si>
    <t>RCPUs</t>
  </si>
  <si>
    <t>Eff</t>
  </si>
  <si>
    <t>CPUs used</t>
  </si>
  <si>
    <t>RMem</t>
  </si>
  <si>
    <t>Mem used</t>
  </si>
  <si>
    <t>RTime</t>
  </si>
  <si>
    <t>multiqc</t>
  </si>
  <si>
    <t>1_fastqc.sh</t>
  </si>
  <si>
    <t>fastqc</t>
  </si>
  <si>
    <t>FastQC</t>
  </si>
  <si>
    <t>0.11.9</t>
  </si>
  <si>
    <t>2_multiqc.sh</t>
  </si>
  <si>
    <t>MultiQC</t>
  </si>
  <si>
    <t>bam2fastx.sh</t>
  </si>
  <si>
    <t>1.3.1</t>
  </si>
  <si>
    <t>Input</t>
  </si>
  <si>
    <t>output</t>
  </si>
  <si>
    <t>repo</t>
  </si>
  <si>
    <t>Description</t>
  </si>
  <si>
    <t>InstallType</t>
  </si>
  <si>
    <t>install</t>
  </si>
  <si>
    <t>load</t>
  </si>
  <si>
    <t>run</t>
  </si>
  <si>
    <t>conda create -n bam2fastx -c bioconda bam2fastx</t>
  </si>
  <si>
    <t>conda activate bam2fastx</t>
  </si>
  <si>
    <t>hifi isoseq hic</t>
  </si>
  <si>
    <t>report</t>
  </si>
  <si>
    <t>QC</t>
  </si>
  <si>
    <t>conda create -n multiqc -c bioconda multiqc fastqc</t>
  </si>
  <si>
    <t>conda activate multiqc</t>
  </si>
  <si>
    <t>hifi isoseq</t>
  </si>
  <si>
    <t>git:yfukasawa/LongQC</t>
  </si>
  <si>
    <t>QC for HiFi</t>
  </si>
  <si>
    <t>hifi</t>
  </si>
  <si>
    <t>img</t>
  </si>
  <si>
    <t>k-mer</t>
  </si>
  <si>
    <t>conda create -n genomescope -c bioconda kmer-jellyfish genomescope2 kmc</t>
  </si>
  <si>
    <t>conda activate genomescope</t>
  </si>
  <si>
    <t>gce</t>
  </si>
  <si>
    <t>git clone
export CPATH=/nfs/scratch/rodriggu/miniconda3/envs/gce/include:$CPATH
make</t>
  </si>
  <si>
    <t>kmergenie</t>
  </si>
  <si>
    <t>conda activate kmergenie
module load R/4.0.2</t>
  </si>
  <si>
    <t>conda install -c bioconda smudgeplot</t>
  </si>
  <si>
    <t>covest</t>
  </si>
  <si>
    <t>conda create -n py36 python=3.6 -c conda-forge
module load gcc/8.2.0
pip3 install python-dev-tools
export C_INCLUDE_PATH=$C_INCLUDE_PATH:/nfs/scratch/rodriggu/miniconda3/envs/py36/include
export LD_LIBRARY_PATH=$LD_LIBRARY_PATH:/nfs/scratch/rodriggu/miniconda3/envs/py36/lib:/nfs/scratch/rodriggu/miniconda3/envs/py36/lib/python3.6
/nfs/scratch/rodriggu/miniconda3/envs/py36/bin/pip3 install Pygments covest</t>
  </si>
  <si>
    <t>fingGSE</t>
  </si>
  <si>
    <t>conda create -n findGSE -c r r r-devtools r-optparse
conda install -c conda-forge r-pracma</t>
  </si>
  <si>
    <t>FASTK+GENOSCOPE.FK</t>
  </si>
  <si>
    <t>git:thegenemyers/GENESCOPE.FK</t>
  </si>
  <si>
    <t>k-mer for HiFi</t>
  </si>
  <si>
    <t>conda install -c conda-forge m2-liblzma
git clone fastk
export C_INCLUDE_PATH=/nfs/scratch/rodriggu/miniconda3/envs/fastk/include:$C_INCLUDE_PATH
export LD_LIBRARY_PATH=/nfs/scratch/rodriggu/miniconda3/envs/fastk/lib:$LD_LIBRARY_PATH
export LIBRARY_PATH=/nfs/scratch/rodriggu/miniconda3/envs/fastk/lib:$LIBRARY_PATH
git clone genescopefk</t>
  </si>
  <si>
    <t>git:marbl/canu</t>
  </si>
  <si>
    <t>conda create -n canu -c bioconda canu</t>
  </si>
  <si>
    <t>conda activate hicanu</t>
  </si>
  <si>
    <t>git:chhylp123/hifiasm</t>
  </si>
  <si>
    <t>conda create -n hifiasm -c bioconda hifiasm</t>
  </si>
  <si>
    <t>git:fenderglass/Flye</t>
  </si>
  <si>
    <t>conda create -n flye -c bioconda flye</t>
  </si>
  <si>
    <t>conda create -n ipa -c bioconda pbipa</t>
  </si>
  <si>
    <t>conda activate ipa
module load samtools/1.10</t>
  </si>
  <si>
    <t>git:lbcb-sci/raven</t>
  </si>
  <si>
    <t>conda create -n raven -c bioconda raven-assembler</t>
  </si>
  <si>
    <t>git:cschin/Peregrine</t>
  </si>
  <si>
    <t>conda env create -f /mnt/genomics05/rodriggu/output/recipes/peregrine.yml
module load gcc/8.2.0
wget -O- https://github.com/cschin/Peregrine/archive/refs/tags/pg1.6.3.tar.gz | tar zxvf - &amp;&amp; cd Peregrine-pg1.6.3 &amp;&amp; sed -i '2,6d' install_with_conda.sh &amp;&amp; bash install_with_conda.sh</t>
  </si>
  <si>
    <t>git:PacificBiosciences/pb-assembly</t>
  </si>
  <si>
    <t>conda install pb-assembly \
 nim-falcon==3.0.2 \
 pypeflow \
samtools</t>
  </si>
  <si>
    <t>conda activate pbassembly
module load samtools/1.10</t>
  </si>
  <si>
    <t>git:Nextomics/NextDenovo</t>
  </si>
  <si>
    <t>conda create -n nextdenovo -c biobuilds ncurses-devel python
miniconda/envs/nextenovo/bin/pip install paralleltask
tar zxvf NexDenovo.tgz</t>
  </si>
  <si>
    <t>sdip</t>
  </si>
  <si>
    <t>conda create -n sdip -c bioconda -c conda-forge snakemake</t>
  </si>
  <si>
    <t>whdenovo</t>
  </si>
  <si>
    <t>conda create -n whdenovo -c shilpagarg whdenovo</t>
  </si>
  <si>
    <t>DipAsm</t>
  </si>
  <si>
    <t xml:space="preserve">docker build --no-cache -t grpiccoli/dipasm . --network=host
</t>
  </si>
  <si>
    <t>/usr/bin/time -v bwa index -a bwtsw $scra/peregrine/out/peregrine3/p_ctg_cns.fa 2&gt; bwa.index.log</t>
  </si>
  <si>
    <t>git:dfguan/purge_dups</t>
  </si>
  <si>
    <t>conda install purge_dups
#follow github install</t>
  </si>
  <si>
    <t>conda activate purgedups
export C_INCLUDE_PATH=$C_INCLUDE_PATH:/nfs/home/rodriggu/miniconda3/envs/purgedups/include
export LD_LIBRARY_PATH=$LD_LIBRARY_PATH:/nfs/home/rodriggu/miniconda3/envs/purgedups/lib
export LIBRARY_PATH=/nfs/home/rodriggu/miniconda3/envs/purgedups/lib</t>
  </si>
  <si>
    <t>bitbucket:mroachawri/purge_haplotigs</t>
  </si>
  <si>
    <t>git:ablab/quast</t>
  </si>
  <si>
    <t>conda env config vars set LD_LIBRARY_PATH=$LD_LIBRARY_PATH:/nfs/scratch/rodriggu/miniconda3/envs/quast/lib
wget -O- https://github.com/ablab/quast/releases/download/quast_5.1.0rc1/quast-5.1.0rc1.tar.gz | tar zxvf -
./setup.py install-full
http://topaz.gatech.edu/GeneMark/tmp/GMtool_nd0_x/gm_key_32.gz
http://topaz.gatech.edu/GeneMark/tmp/GMtool_nd0_x/gm_key_64.gz
echo "module load gcc/8.2.0" &gt;&gt; /nfs/scratch/rodriggu/miniconda3/envs/quast/etc/conda/activate.d/glib_activate.sh</t>
  </si>
  <si>
    <t>git:grpiccoli/assemblies-stats</t>
  </si>
  <si>
    <t>git:oushujun/LTR_retriever</t>
  </si>
  <si>
    <t>conda install -c bioconda ltr_retriever genometools ltr_finder
git clone https://github.com/oushujun/LTR_FINDER_parallel.git</t>
  </si>
  <si>
    <t>export LD_LIBRARY_PATH=$LD_LIBRARY_PATH:/nfs/scratch/rodriggu/miniconda3/envs/genometools/lib
export LIBRARY_PATH=/nfs/scratch/rodriggu/miniconda3/envs/genometools/lib
export C_INCLUDE_PATH=$C_INCLUDE_PATH:/nfs/scratch/rodriggu/miniconda3/envs/LTR_retriever/include
export PKG_CONFIG_PATH=/nfs/scratch/rodriggu/miniconda3/envs/LTR_retriever/include</t>
  </si>
  <si>
    <t>singularity exec docker://grpiccoli/assemblyqc cp -r /opt/augustus/augustus-3.3.1/config augustus/
singularity run --env AUGUSTUS_CONFIG_PATH=/software/augustus/3.2.2/config -B /nfs/scratch/rodriggu/augustus/config:/software/augustus/3.2.2/config -B /nfs/scratch/rodriggu/HapSolo:/input -W /input docker://kastman/busco-docker -i /input/output/canu/contigs/$N.fasta -o ${N}_mollusca_odb10_oyster -c 1 -f -m genome -l /input/mollusca_odb10 -sp caenorhabditis -t $W/run_${N}_mollusca_odb10_oyster/tmp</t>
  </si>
  <si>
    <t>HapSolo</t>
  </si>
  <si>
    <t>pre-scaffolding</t>
  </si>
  <si>
    <t>conda env config vars set HAPSOLO=/nfs/scratch/rodriggu/HapSolo
conda env config vars set PATH=$HAPSOLO/scripts:$HAPSOLO:$PATH
conda install -c anaconda gawk
#busco 3.0.2 / ncbi 2.2.31 / augustus 3.2.3 / hmmer 3.1b2
wget https://ftp.ncbi.nlm.nih.gov/blast/executables/blast+/2.2.31/ncbi-blast-2.2.31+-x64-linux.tar.gz
tar zxvf ncbi-blast-2.2.31+-x64-linux.tar.gz
wget https://gitlab.com/ezlab/busco/-/archive/16a811931992e5514fc297207336997b829ebcaf/busco-16a811931992e5514fc297207336997b829ebcaf.tar.gz
tar zxvf busco-16a811931992e5514fc297207336997b829ebcaf.tar.gz
mv busco-16a811931992e5514fc297207336997b829ebcaf busco</t>
  </si>
  <si>
    <t>aeprep
ls /nfs/scratch/rodriggu/output/assemblies/assembler/* | grep -v "_new" | xargs -I{} bash -c "sbatch 1_sbatch_preprocess.sh /nfs/scratch/rodriggu/HapSolo /nfs/scratch/rodriggu/HapSolo/output {}"
conda activate Hapsolo #requires gawk 5
ls /nfs/scratch/rodriggu/output/assemblies/assembler/* | grep -v "_new" | xargs -I{} bash -c "sbatch 2_pre.sh /nfs/scratch/rodriggu/HapSolo/output {}"
conda activate quast
find /nfs/scratch/rodriggu/HapSolo/output/* -maxdepth 0 -type d | xargs -I {} bash -c 'LNG=$(wc -l {}/contigs/buscojobfile.txt | cut -d " " -f1);JOBS=1-$(expr $LNG \/ 100);sbatch -a $JOBS 3_sbatch_quast.sh 100 {} /nfs/scratch/rodriggu/HapSolo/output'
conda activate HapSolo # test for missing reports
find */contigs/ -type f -name "*.fasta" -exec basename {} .fasta \; | awk -F: '{if(system("[ ! -f "$1"_scoresreport.txt ]") = 0) { print $0".fasta" }}' &gt; missing_reports.txt
conda activate busco
sbatch 4_sbatch_busco.sh
//singularity run -B /nfs/scratch/rodriggu/HapSolo/output/canu/contigs:/busco_wd docker://ezlabgva/busco:v5.2.2_cv1 -h
conda activate pbmm2
ls /nfs/scratch/rodriggu/output/assemblies/assembler/* | grep -v "_new" | xargs -I {} bash -c 'sbatch 1_pbmm2_index.sh {} /nfs/scratch/rodriggu/pbmm2/output'
conda activate pbmm2
sbatch 2_pbmm2_align.sh
conda activate pbmm2
sbatch 3_pbmm2_bam2sam.sh
conda activate pbmm2
ls /nfs/scratch/rodriggu/pbmm2/output/*sam | xargs -I {} bash -c 'sbatch 4_pbmm2_sam2paf.sh {}'
conda activate HapSolo
ls /nfs/scratch/rodriggu/output/assemblies/assembler/* | grep -v "_new" | xargs -I {} bash -c 'sbatch 4_hapsolo.sh {} /nfs/scratch/rodriggu/HapSolo/output /nfs/scratch/rodriggu/pbmm2/output'</t>
  </si>
  <si>
    <t>filter hi-c</t>
  </si>
  <si>
    <t>module load bowtie2/2.3.5.1</t>
  </si>
  <si>
    <t>scaffolding</t>
  </si>
  <si>
    <t>post-scaffolding polish</t>
  </si>
  <si>
    <t>HaploConduct/POLYTE</t>
  </si>
  <si>
    <t>illumina only</t>
  </si>
  <si>
    <t>hi-c to contact map</t>
  </si>
  <si>
    <t>prapi</t>
  </si>
  <si>
    <t>isoseq + RNA-Seq</t>
  </si>
  <si>
    <t>Benfords</t>
  </si>
  <si>
    <t>https://www.researchgate.net/publication/225060986_Genome_Sizes_and_the_Benford_Distribution</t>
  </si>
  <si>
    <t>STATS</t>
  </si>
  <si>
    <t>pre-remove haplotigs</t>
  </si>
  <si>
    <t>remove haplotigs</t>
  </si>
  <si>
    <t>Hi-C filtering</t>
  </si>
  <si>
    <t>scasffolding</t>
  </si>
  <si>
    <t>seed cov</t>
  </si>
  <si>
    <t>seed gen size</t>
  </si>
  <si>
    <t>plsh def</t>
  </si>
  <si>
    <t>phased</t>
  </si>
  <si>
    <t>purged</t>
  </si>
  <si>
    <t>hi-c</t>
  </si>
  <si>
    <t>kmer</t>
  </si>
  <si>
    <t>returns</t>
  </si>
  <si>
    <t>JbID</t>
  </si>
  <si>
    <t>MEM (G)</t>
  </si>
  <si>
    <t>CPUs</t>
  </si>
  <si>
    <t>time</t>
  </si>
  <si>
    <t>GenomeQC</t>
  </si>
  <si>
    <t>DFAM_TOOLS</t>
  </si>
  <si>
    <t>Busco3</t>
  </si>
  <si>
    <t>pbmm2</t>
  </si>
  <si>
    <t>hapSolo Quast</t>
  </si>
  <si>
    <t>HapSolo Busco</t>
  </si>
  <si>
    <t>hapSolo+HC</t>
  </si>
  <si>
    <t>2 purge_dups</t>
  </si>
  <si>
    <t>3 purge_haps</t>
  </si>
  <si>
    <t>hicup</t>
  </si>
  <si>
    <t>no</t>
  </si>
  <si>
    <t>yes</t>
  </si>
  <si>
    <t>NA</t>
  </si>
  <si>
    <t>asm + unasm</t>
  </si>
  <si>
    <t>194.05/486</t>
  </si>
  <si>
    <t>33.74% 198</t>
  </si>
  <si>
    <t>all asm</t>
  </si>
  <si>
    <t>set up RM
Dfam dwn
no space move conda</t>
  </si>
  <si>
    <t>repeats+asm</t>
  </si>
  <si>
    <t>corrected references</t>
  </si>
  <si>
    <t>hicup filter</t>
  </si>
  <si>
    <t>43.151/486</t>
  </si>
  <si>
    <t>X</t>
  </si>
  <si>
    <t>1*</t>
  </si>
  <si>
    <t>814.14/486</t>
  </si>
  <si>
    <t>0-6:29:29</t>
  </si>
  <si>
    <t>pbipa kmer 21</t>
  </si>
  <si>
    <t>83.99/486</t>
  </si>
  <si>
    <t>0-0:52:35</t>
  </si>
  <si>
    <t>2*</t>
  </si>
  <si>
    <t>22.93/486</t>
  </si>
  <si>
    <t xml:space="preserve"> </t>
  </si>
  <si>
    <t>213.52/486</t>
  </si>
  <si>
    <t>2-21:36:07</t>
  </si>
  <si>
    <t>assembly</t>
  </si>
  <si>
    <t>0-0:38:33</t>
  </si>
  <si>
    <t>unzip</t>
  </si>
  <si>
    <t>2-16:14:58</t>
  </si>
  <si>
    <t>phase</t>
  </si>
  <si>
    <t>734667;735672</t>
  </si>
  <si>
    <t>nextdenovo</t>
  </si>
  <si>
    <t>268.13/486</t>
  </si>
  <si>
    <t>40.17% 198</t>
  </si>
  <si>
    <t>polish</t>
  </si>
  <si>
    <t>84.21/486</t>
  </si>
  <si>
    <t>11.02% 198</t>
  </si>
  <si>
    <t>var dif = new Date("2021-06-04T02:57:47").getTime() - new Date("2021-06-03T18:37:34").getTime(); var ms = 1000; var mm =60*ms; var mh= mm*60; var md= mh*24; var d = Math.floor(dif/(md)); var h = Math.floor((dif-d*md)/mh); var m = Math.floor((dif-d*md-h*mh)/mm); var s = Math.floor((dif-d*md-h*mh-m*mm)/ms); console.log(d+"-"+h+":"+m+":"+s)</t>
  </si>
  <si>
    <t>lanes</t>
  </si>
  <si>
    <t>Heterozygous</t>
  </si>
  <si>
    <t>Haploid Len</t>
  </si>
  <si>
    <t>Repeat Len</t>
  </si>
  <si>
    <t>Unique Len</t>
  </si>
  <si>
    <t>Fit</t>
  </si>
  <si>
    <t>Read Error Rate</t>
  </si>
  <si>
    <t>min</t>
  </si>
  <si>
    <t>max</t>
  </si>
  <si>
    <t>Homozygous</t>
  </si>
  <si>
    <t>-</t>
  </si>
  <si>
    <t>L</t>
  </si>
  <si>
    <t>U</t>
  </si>
  <si>
    <t>lane</t>
  </si>
  <si>
    <t>k</t>
  </si>
  <si>
    <t>size</t>
  </si>
  <si>
    <t>Lanes</t>
  </si>
  <si>
    <t>Estimated size</t>
  </si>
  <si>
    <t>ERR</t>
  </si>
  <si>
    <t>Estimation finished with status: success.</t>
  </si>
  <si>
    <t>coverage: 1.9299340785940986</t>
  </si>
  <si>
    <t>error_rate: 0.0001</t>
  </si>
  <si>
    <t>genome_size: 26113047460</t>
  </si>
  <si>
    <t>guessed_coverage: 23.513193127950945</t>
  </si>
  <si>
    <t>guessed_error_rate: 0.0001</t>
  </si>
  <si>
    <t>guessed_loglikelihood: -3475625267.1438127</t>
  </si>
  <si>
    <t>hist_size: 19</t>
  </si>
  <si>
    <t>loglikelihood: -2013530687.3285856</t>
  </si>
  <si>
    <t>model: repeats</t>
  </si>
  <si>
    <t>orig_coverage: 1.9299340785940986</t>
  </si>
  <si>
    <t>orig_sample_factor: 1</t>
  </si>
  <si>
    <t>provided_error_rate: 0.0001</t>
  </si>
  <si>
    <t>provided_loglikelihood: -2013530687.3285856</t>
  </si>
  <si>
    <t>q: 0.10256421746930823</t>
  </si>
  <si>
    <t>q1: 0.6521241279703566</t>
  </si>
  <si>
    <t>q2: 3.0467400750115655e-08</t>
  </si>
  <si>
    <t>sample_factor: 2</t>
  </si>
  <si>
    <t>starting_points: 1</t>
  </si>
  <si>
    <t>success: true</t>
  </si>
  <si>
    <t>use_grid_search: false</t>
  </si>
  <si>
    <t>version: 0.5.6</t>
  </si>
  <si>
    <t>k=21    F1      56398206150</t>
  </si>
  <si>
    <t>k=21    F0      1849558088</t>
  </si>
  <si>
    <t>Runtime(sec): 788.7165</t>
  </si>
  <si>
    <t>k=21    F1      39190684479</t>
  </si>
  <si>
    <t>k=21    F0      1566076336</t>
  </si>
  <si>
    <t>Runtime(sec): 681.7354</t>
  </si>
  <si>
    <t>k=21    F1      18304131858</t>
  </si>
  <si>
    <t>k=21    F0      1263258078</t>
  </si>
  <si>
    <t>Runtime(sec): 327.5878</t>
  </si>
  <si>
    <t>https://ucdavis-bioinformatics-training.github.io/2020-Genome_Assembly_Workshop/kmers/kmers</t>
  </si>
  <si>
    <t>https://bioinformatics.uconn.edu/genome-size-estimation-tutorial/#</t>
  </si>
  <si>
    <t>Low</t>
  </si>
  <si>
    <t>HiFi</t>
  </si>
  <si>
    <t>High</t>
  </si>
  <si>
    <t>Illumina</t>
  </si>
  <si>
    <t>collision rate</t>
  </si>
  <si>
    <t>canu</t>
  </si>
  <si>
    <t>all</t>
  </si>
  <si>
    <t>both</t>
  </si>
  <si>
    <t>phased.0</t>
  </si>
  <si>
    <t>phased.1</t>
  </si>
  <si>
    <t>assembler</t>
  </si>
  <si>
    <t>Total</t>
  </si>
  <si>
    <t>unphased</t>
  </si>
  <si>
    <t>hap1</t>
  </si>
  <si>
    <t>hap2</t>
  </si>
  <si>
    <t>hic</t>
  </si>
  <si>
    <t>no hic</t>
  </si>
  <si>
    <t>nextpolish</t>
  </si>
  <si>
    <t>pbassmebly</t>
  </si>
  <si>
    <t>2p</t>
  </si>
  <si>
    <t>4p</t>
  </si>
  <si>
    <t>5hap0</t>
  </si>
  <si>
    <t>5hap1</t>
  </si>
  <si>
    <t>k21</t>
  </si>
  <si>
    <t>no nhc</t>
  </si>
  <si>
    <t>nph</t>
  </si>
  <si>
    <t>nph np</t>
  </si>
  <si>
    <t>nph npd</t>
  </si>
  <si>
    <t>nph np npd</t>
  </si>
  <si>
    <t>NX</t>
  </si>
  <si>
    <t>BUSCO</t>
  </si>
  <si>
    <t>Assembler</t>
  </si>
  <si>
    <t>Runs</t>
  </si>
  <si>
    <t>Curation</t>
  </si>
  <si>
    <t>Contigs</t>
  </si>
  <si>
    <t>N50</t>
  </si>
  <si>
    <t>Length</t>
  </si>
  <si>
    <t>Cov</t>
  </si>
  <si>
    <t>HapSolo+PBMM2</t>
  </si>
  <si>
    <t>HapSolo+BLAT</t>
  </si>
  <si>
    <t>Purge_Dups</t>
  </si>
  <si>
    <t>Purge_Haplotigs</t>
  </si>
  <si>
    <t>share</t>
  </si>
  <si>
    <t>sshare -U -u rodriggu</t>
  </si>
  <si>
    <t>run in node</t>
  </si>
  <si>
    <t>srun --pty --cpus-per-task=48 --mem=500G  --time=0-00:10:00 --partition=bigmem bash</t>
  </si>
  <si>
    <t>view all nodes</t>
  </si>
  <si>
    <t>sinfo</t>
  </si>
  <si>
    <t>kill all user</t>
  </si>
  <si>
    <t>scancel -u rodriggu</t>
  </si>
  <si>
    <t>view node specs</t>
  </si>
  <si>
    <t>scontrol show node amd03n01</t>
  </si>
  <si>
    <t>copy hdd</t>
  </si>
  <si>
    <t>rsync -rlDvhLK --no-perms --no-o --no-g /home/rodriggu/shared-drives/E\: raapoi.vuw.ac.nz:/mnt/genomics05/rodriggu/input/hifi2</t>
  </si>
  <si>
    <t>A combined RAD-Seq and WGS approach reveals the genomic basis of yellow color variation in bumble bee Bombus terrestris</t>
  </si>
  <si>
    <t>https://www.nature.com/articles/s41598-021-87194-y</t>
  </si>
  <si>
    <t>Benchmarking of next and third generation sequencing technologies and their associated algorithms for de novo genome assembly</t>
  </si>
  <si>
    <t>https://www.spandidos-publications.com/10.3892/mmr.2021.11890</t>
  </si>
  <si>
    <t>Good from far, but far from good: The impact of a reference genome on evolutionary inference</t>
  </si>
  <si>
    <t>https://onlinelibrary.wiley.com/doi/abs/10.1111/1755-0998.13531?campaign=wolacceptedarticle</t>
  </si>
  <si>
    <t>species</t>
  </si>
  <si>
    <t>individuals</t>
  </si>
  <si>
    <t>for</t>
  </si>
  <si>
    <t>hybrid:</t>
  </si>
  <si>
    <t>a[1/2]=0.0876117</t>
  </si>
  <si>
    <t>a1=0.208835</t>
  </si>
  <si>
    <t>kmer-species</t>
  </si>
  <si>
    <t>heterozygous</t>
  </si>
  <si>
    <t>ratio</t>
  </si>
  <si>
    <t>is</t>
  </si>
  <si>
    <t>about</t>
  </si>
  <si>
    <t>b[1/2]=0.090954</t>
  </si>
  <si>
    <t>b1=0.172752</t>
  </si>
  <si>
    <t>kmer-individual</t>
  </si>
  <si>
    <t>raw_peak</t>
  </si>
  <si>
    <t>effective_kmer_species</t>
  </si>
  <si>
    <t>effective_kmer_individuals</t>
  </si>
  <si>
    <t>coverage_depth</t>
  </si>
  <si>
    <t>genome_size</t>
  </si>
  <si>
    <t>a[1/2]</t>
  </si>
  <si>
    <t>a[1]</t>
  </si>
  <si>
    <t>b[1/2]</t>
  </si>
  <si>
    <t>b[1]</t>
  </si>
  <si>
    <t>Only estimate genome size, with erroneous k-mers excluded, and float-point estimatation of peak coverage value</t>
  </si>
  <si>
    <t>Estimate genome size as well as repeat and heterozygosity, using discrete model, suitable for theoretic and good sequencing data without coverage bias</t>
  </si>
  <si>
    <t>CPU</t>
  </si>
  <si>
    <t>MEM</t>
  </si>
  <si>
    <t>Time</t>
  </si>
  <si>
    <t>busco3</t>
  </si>
  <si>
    <t>merq</t>
  </si>
  <si>
    <t>stats</t>
  </si>
  <si>
    <t>Id</t>
  </si>
  <si>
    <t>meryl</t>
  </si>
  <si>
    <t>merqury</t>
  </si>
  <si>
    <t>ipa</t>
  </si>
  <si>
    <t>S</t>
  </si>
  <si>
    <t>total</t>
  </si>
  <si>
    <t>real</t>
  </si>
  <si>
    <t>comp</t>
  </si>
  <si>
    <t>QV</t>
  </si>
  <si>
    <t>percentage of nonlow copy vs total</t>
  </si>
  <si>
    <t>inverse to % of non shared kmers</t>
  </si>
  <si>
    <t>haploM</t>
  </si>
  <si>
    <t>purgeD</t>
  </si>
  <si>
    <t>conda install tbb=2020.2</t>
  </si>
  <si>
    <t>Read Err Rate</t>
  </si>
  <si>
    <t>Hap Len</t>
  </si>
  <si>
    <t>Comp</t>
  </si>
  <si>
    <t>C</t>
  </si>
  <si>
    <t>Hicup</t>
  </si>
  <si>
    <t>1 LANE</t>
  </si>
  <si>
    <t>2 LANES</t>
  </si>
  <si>
    <t>3 LANES</t>
  </si>
  <si>
    <t>F</t>
  </si>
  <si>
    <t>M</t>
  </si>
  <si>
    <t>span (bp)</t>
  </si>
  <si>
    <t>N (%)</t>
  </si>
  <si>
    <t>GC (%)</t>
  </si>
  <si>
    <t>AT (%)</t>
  </si>
  <si>
    <t>conda activate nextdenovo
module load nextDenovo
module load samtools
module load gcc
conda install -c anaconda ncurses
conda install -c anaconda libxml2
conda install -c anaconda zlib
export C_INCLUDE_PATH=$C_INCLUDE_PATH:/nfs/home/rodriggu/miniconda3/envs/nextdenovo/include:/nfs/home/rodriggu/miniconda3/envs/nextdenovo/include/ncurses
export LD_LIBRARY_PATH=$LD_LIBRARY_PATH:/nfs/home/rodriggu/miniconda3/envs/nextdenovo/lib
export LIBRARY_PATH=/nfs/home/rodriggu/miniconda3/envs/nextdenovo/lib
cd utils/samtools &amp;&amp; sed -i 's/lcurses/lncurses/' config.mk Makefile Makefile.mingw bam_tview_curses.c
vim utils/bwa/Makefile --&gt; LIBS= -ltinfo -lrt -pthread -lm -lz
vim utils/minimap/Makefile --&gt; IDEM
vim utils/minimap/Makefile.simde --&gt; IDEM
make LIB=-ltinfo
cd util/bwa</t>
  </si>
  <si>
    <t>name</t>
  </si>
  <si>
    <t>asmfa</t>
  </si>
  <si>
    <t>K-MER</t>
  </si>
  <si>
    <t>Canu</t>
  </si>
  <si>
    <t>SCORE</t>
  </si>
  <si>
    <t>RepeatExplorer2</t>
  </si>
  <si>
    <t>REPEX</t>
  </si>
  <si>
    <t>LAI</t>
  </si>
  <si>
    <t>LTR_retriever LAI</t>
  </si>
  <si>
    <t>raw_LAI</t>
  </si>
  <si>
    <t>Total sequence length</t>
  </si>
  <si>
    <t>Total ungapped length</t>
  </si>
  <si>
    <t>Gaps between scaffolds</t>
  </si>
  <si>
    <t>Number of scaffolds</t>
  </si>
  <si>
    <t>Scaffold N50</t>
  </si>
  <si>
    <t>Scaffold L50</t>
  </si>
  <si>
    <t>Number of contigs</t>
  </si>
  <si>
    <t>Contig N50</t>
  </si>
  <si>
    <t>Contig L50</t>
  </si>
  <si>
    <t>Total number of chromosomes and plasmids</t>
  </si>
  <si>
    <t>Number of component sequences (WGS or clone)</t>
  </si>
  <si>
    <t>O.lurida</t>
  </si>
  <si>
    <t>GC%</t>
  </si>
  <si>
    <t>C.virginica</t>
  </si>
  <si>
    <t>Protein count</t>
  </si>
  <si>
    <t>Genes</t>
  </si>
  <si>
    <t>Mean gene length</t>
  </si>
  <si>
    <t>Genes and pseudogenes </t>
  </si>
  <si>
    <t>  protein-coding</t>
  </si>
  <si>
    <t>  non-coding</t>
  </si>
  <si>
    <t>  pseudogenes</t>
  </si>
  <si>
    <t>  genes with variants</t>
  </si>
  <si>
    <t>Number of transcripts per gene</t>
  </si>
  <si>
    <t>Number of exons per transcript</t>
  </si>
  <si>
    <t>C.gigas</t>
  </si>
  <si>
    <t>C.hongkongensis</t>
  </si>
  <si>
    <t>C.ariakensis</t>
  </si>
  <si>
    <t>3 DONE</t>
  </si>
  <si>
    <t>hiceekr</t>
  </si>
  <si>
    <t>isoseq</t>
  </si>
  <si>
    <t>instagraal</t>
  </si>
  <si>
    <t>deephic</t>
  </si>
  <si>
    <t>compare</t>
  </si>
  <si>
    <t>juicer</t>
  </si>
  <si>
    <t>cut -d$'\t' -f1 dipasm/DipAsm/FOG3_output/asm/peregrine/asm-r3-pg0.1.5.3/p_ctg_cns.fa.fai | grep -f processed.list | wc -l</t>
  </si>
  <si>
    <t>wc -l processed.list</t>
  </si>
  <si>
    <t>ls dipasm/DipAsm/FOG3_output/asm/alignment/pacbioccs/vcf/*vcf.gz | xargs -I{} basename {} .vcf.gz | sed 's/pacbioccs.//' &gt; processed.list</t>
  </si>
  <si>
    <t>cut -d$'\t' -f1 dipasm/DipAsm/FOG3_output/asm/peregrine/asm-r3-pg0.1.5.3/p_ctg_cns.fa.fai | sort -u | wc -l</t>
  </si>
  <si>
    <t>wc -l dipasm/DipAsm/FOG3_output/asm/peregrine/asm-r3-pg0.1.5.3/p_ctg_cns.fa.fai</t>
  </si>
  <si>
    <t>ltrdetector</t>
  </si>
  <si>
    <t>ltr_finder_parallel</t>
  </si>
  <si>
    <t>tik</t>
  </si>
  <si>
    <t>cd-hit</t>
  </si>
  <si>
    <t>Telomeric identifier</t>
  </si>
  <si>
    <t>Dipasm</t>
  </si>
  <si>
    <t>L50</t>
  </si>
  <si>
    <t>N90</t>
  </si>
  <si>
    <t>L90</t>
  </si>
  <si>
    <t>dev 1.2Gb</t>
  </si>
  <si>
    <t>longest (bp)</t>
  </si>
  <si>
    <t>count</t>
  </si>
  <si>
    <t>sbatch -p bigmem -c 8 --mem=23GB -t 0-0:45 --wrap="singularity run -B $scra:/home -W /home --env LC_ALL=C /nfs/scratch/rodriggu/singularity/tetools_latest.sif RepeatModeler -LTRStruct -database taes -pa 8"</t>
  </si>
  <si>
    <t>./scripts/pd_config.py -l canu -n canu.json ../../output/2_assemblers/canu/canu.contigs.fasta fastq.fofn
purge_dups/scripts/pd_config.py -l test.pri -n config.test.PB.asm1.json ../input/asm/hifiasm3.asm.hic.p_ctg.fa ../input/10x.fofn</t>
  </si>
  <si>
    <t>wget http://www.repeatmasker.org/RepeatMasker/RepeatMasker-4.1.2-p1.tar.gz
aria2c -c -j 10 -s 10 -x 10 https://www.dfam.org/releases/Dfam_3.5/families/Dfam.h5.gz
tar zxvf RepeatMasker-4.1.2-p1.tar.gz
mv RepeatMasker/Libraries .
rm -R RepeatMasker
cp Dfam.h5.gz Libraries
cd Libraries
gunzip Dfam.h5.gz
singularity pull docker://grpiccoli/tetools
singularity run -B REEMPLAZAR POR TU PATH:/tetools -W /tetools --env LC_ALL="C" --env LIBDIR=/tetools/Libraries tetools_latest.sif addRepBase.pl -libdir /tetools/Libraries</t>
  </si>
  <si>
    <t>genometools</t>
  </si>
  <si>
    <t>conda install -c conda-forge libgcc-ng
conda install -c bioconda genometools-genometools</t>
  </si>
  <si>
    <t>awk '/^&gt;/ {printf("\n%s\n",$0);next; } { printf("%s",$0);}  END {printf("\n");}' &lt; file.fa</t>
  </si>
  <si>
    <t>multiline fasta to one line fa</t>
  </si>
  <si>
    <t>3 lanes</t>
  </si>
  <si>
    <t>1 lane</t>
  </si>
  <si>
    <t>2 lanes</t>
  </si>
  <si>
    <t>RANK</t>
  </si>
  <si>
    <t>SD</t>
  </si>
  <si>
    <t>z score</t>
  </si>
  <si>
    <t>Title</t>
  </si>
  <si>
    <t>Sb</t>
  </si>
  <si>
    <t>SSb</t>
  </si>
  <si>
    <t>PR</t>
  </si>
  <si>
    <t>ZH</t>
  </si>
  <si>
    <t>JG</t>
  </si>
  <si>
    <t>Rev1</t>
  </si>
  <si>
    <t>Rev2</t>
  </si>
  <si>
    <t>2.1. Abstract</t>
  </si>
  <si>
    <t>2.2. Introduction</t>
  </si>
  <si>
    <t>2.2.1. Sampling criteria</t>
  </si>
  <si>
    <t>2.2.2. Sequencing Technologies</t>
  </si>
  <si>
    <t>2.2.3. Assembly and quality control</t>
  </si>
  <si>
    <t>2.2.4. Assembly structural analysis and characterization</t>
  </si>
  <si>
    <t>2.3. Method</t>
  </si>
  <si>
    <t>2.3.1. Sample collection</t>
  </si>
  <si>
    <t>2.3.2. Quality control</t>
  </si>
  <si>
    <t>2.3.3. Genome size estimation</t>
  </si>
  <si>
    <t>2.3.4. Assemblers and completeness</t>
  </si>
  <si>
    <t>2.3.5. Structural analysis</t>
  </si>
  <si>
    <t>2.4. Results</t>
  </si>
  <si>
    <t>2.4.1. Quality control</t>
  </si>
  <si>
    <t>2.4.2. Genome size estimation</t>
  </si>
  <si>
    <t>2.4.3. Assemblers and completeness</t>
  </si>
  <si>
    <t>2.4.4. Structural analysis</t>
  </si>
  <si>
    <t>2.5. Conclusion</t>
  </si>
  <si>
    <t>2.6. Supplementary material</t>
  </si>
  <si>
    <t>Chapter 1. General Introduction</t>
  </si>
  <si>
    <t>1.1. Genetic population structure</t>
  </si>
  <si>
    <t>1.1.1. Evolutionary process</t>
  </si>
  <si>
    <t>1.1.2. Genetics</t>
  </si>
  <si>
    <t>1.2. Oyster Fisheries</t>
  </si>
  <si>
    <t>1.2.1. New Zealand flat oyster fishery, O. chilensis</t>
  </si>
  <si>
    <t>1.2.2. Management of Ostrea chilensis fisheries in New Zealand</t>
  </si>
  <si>
    <t>1.2.3. Oyster genetics and selective breeding</t>
  </si>
  <si>
    <t>1.3. Background to the study species</t>
  </si>
  <si>
    <t>1.3.1. Biological characterization of O. chilensis</t>
  </si>
  <si>
    <t>1.3.2. Genomic characterization of O. chilensis</t>
  </si>
  <si>
    <t>1.4. Aims of the present research</t>
  </si>
  <si>
    <t>Chapter 2. Genome assembly and Reference Genome</t>
  </si>
  <si>
    <t>Chapter 3. Transcriptome assembly and annotation</t>
  </si>
  <si>
    <t>3.1. Abstract</t>
  </si>
  <si>
    <t>3.2. Introduction</t>
  </si>
  <si>
    <t>3.2.1. Sampling criteria</t>
  </si>
  <si>
    <t>3.2.2. Sequencing technologies</t>
  </si>
  <si>
    <t>3.2.3. Transcriptome assembly and quality control</t>
  </si>
  <si>
    <t>3.2.4. Gene annotation and functional analysis</t>
  </si>
  <si>
    <t>3.3. Methods</t>
  </si>
  <si>
    <t>3.3.1. Sampling</t>
  </si>
  <si>
    <t>3.3.2. Quality control</t>
  </si>
  <si>
    <t>3.3.3. Consensus</t>
  </si>
  <si>
    <t>3.3.4. Annotation</t>
  </si>
  <si>
    <t>3.3.5. Functional analysis and novel genes</t>
  </si>
  <si>
    <t>3.4. Results</t>
  </si>
  <si>
    <t>3.4.1. Quality control</t>
  </si>
  <si>
    <t>3.4.2. Consensus</t>
  </si>
  <si>
    <t>3.4.3. Annotation</t>
  </si>
  <si>
    <t>3.4.4. Functional analysis and novel genes</t>
  </si>
  <si>
    <t>3.5. Conclusion</t>
  </si>
  <si>
    <t>3.6. Supplemental Material</t>
  </si>
  <si>
    <t>Chapter 4. Population genomics</t>
  </si>
  <si>
    <t>4.1. Abstract</t>
  </si>
  <si>
    <t>4.2. Introduction</t>
  </si>
  <si>
    <t>4.3. Methods</t>
  </si>
  <si>
    <t>4.3.1. Sampling</t>
  </si>
  <si>
    <t>4.3.2. Sequencing</t>
  </si>
  <si>
    <t>4.3.3. Quality Control</t>
  </si>
  <si>
    <t>4.3.4. Genotyping</t>
  </si>
  <si>
    <t>4.3.5. Genetic Diversity</t>
  </si>
  <si>
    <t>4.4. Results</t>
  </si>
  <si>
    <t>4.5. Conclusion</t>
  </si>
  <si>
    <t>4.6. Supplemental Material</t>
  </si>
  <si>
    <t>Chapter 5. General Discussion</t>
  </si>
  <si>
    <t>5.1. Main findings</t>
  </si>
  <si>
    <t>5.2. Relevance</t>
  </si>
  <si>
    <t>5.3. Recommendations for future research</t>
  </si>
  <si>
    <t>5.4. Conclusion</t>
  </si>
  <si>
    <t>%Ch</t>
  </si>
  <si>
    <t>%Sb</t>
  </si>
  <si>
    <t>%Ssb</t>
  </si>
  <si>
    <t>4.4.1. Quality Control</t>
  </si>
  <si>
    <t>4.4.2. Genotyping</t>
  </si>
  <si>
    <t>4.4.3. Genetic Diversity</t>
  </si>
  <si>
    <t>5.5. References</t>
  </si>
  <si>
    <t>Section</t>
  </si>
  <si>
    <t>Progress</t>
  </si>
  <si>
    <t>Reviewers</t>
  </si>
  <si>
    <t>*NK</t>
  </si>
  <si>
    <t>Notation</t>
  </si>
  <si>
    <t>Issue</t>
  </si>
  <si>
    <t>Reviewing</t>
  </si>
  <si>
    <t>Done</t>
  </si>
  <si>
    <t>Drafting</t>
  </si>
  <si>
    <t>MBA</t>
  </si>
  <si>
    <t>AMA</t>
  </si>
  <si>
    <t>IA</t>
  </si>
  <si>
    <t>BA</t>
  </si>
  <si>
    <t>Tissues</t>
  </si>
  <si>
    <t>Mantle</t>
  </si>
  <si>
    <t>Blanco</t>
  </si>
  <si>
    <t>Manto Borde</t>
  </si>
  <si>
    <t>Abductor Músculo</t>
  </si>
  <si>
    <t>Nombres</t>
  </si>
  <si>
    <t>Intestinal</t>
  </si>
  <si>
    <t>Catch</t>
  </si>
  <si>
    <t>Quick</t>
  </si>
  <si>
    <t>Visceral Mass</t>
  </si>
  <si>
    <t>V</t>
  </si>
  <si>
    <t>Q</t>
  </si>
  <si>
    <t>Population</t>
  </si>
  <si>
    <t>Wild</t>
  </si>
  <si>
    <t>Sample</t>
  </si>
  <si>
    <t>ACACACGCGAGACAGAT</t>
  </si>
  <si>
    <t>ACGCGCTATCTCAGAGT</t>
  </si>
  <si>
    <t>CTATACGTATATCTATT</t>
  </si>
  <si>
    <t>ACACTAGATCGCGTGTT</t>
  </si>
  <si>
    <t>TCTCTCTCTTTTCCTCCTCCTCCGTTGTTGTTGTTGAGAGAGAT</t>
  </si>
  <si>
    <t>Barcode 5p</t>
  </si>
  <si>
    <t>AAGCAGTGGTATCAACGCAGAGTACATGGGG</t>
  </si>
  <si>
    <t>Sample Code</t>
  </si>
  <si>
    <t>1 Letter Code</t>
  </si>
  <si>
    <t>&gt;NEB_5p</t>
  </si>
  <si>
    <t>GCAATGAAGTCGCAGGGTTGGG</t>
  </si>
  <si>
    <t>&gt;Clontech_5p</t>
  </si>
  <si>
    <t>&gt;NEB_Clontech_3p</t>
  </si>
  <si>
    <t>GTACTCTGCGTTGATACCACTGCTT</t>
  </si>
  <si>
    <t>&gt;SMRT primer 5p</t>
  </si>
  <si>
    <t>sudo docker pull dfam/tetools:latest</t>
  </si>
  <si>
    <t>sudo docker images</t>
  </si>
  <si>
    <t>sudo docker run -it 56d88f8ad58a bin/bash</t>
  </si>
  <si>
    <t>my $useLtrDet = 0;</t>
  </si>
  <si>
    <t>my $useLtrDet = 1;</t>
  </si>
  <si>
    <t>my $LTR_DETECTOR_DIR = $config-&gt;{'LTR_DETECTOR_DIR'}-&gt;{'value'}</t>
  </si>
  <si>
    <t>#my $LTR_DETECTOR_DIR;</t>
  </si>
  <si>
    <t>L175</t>
  </si>
  <si>
    <t>L176</t>
  </si>
  <si>
    <t>vim /opt/RepeatModeler/LTRPipeline</t>
  </si>
  <si>
    <t>vim /opt/RepeatModeler/RepModelConfig.pm</t>
  </si>
  <si>
    <t>+L90</t>
  </si>
  <si>
    <t>cd /opt</t>
  </si>
  <si>
    <t>git clone https://github.com/BioinformaticsToolsmith/LtrDetector.git</t>
  </si>
  <si>
    <t>cd LtrDetector/src</t>
  </si>
  <si>
    <t>make bin</t>
  </si>
  <si>
    <t>make tr -j</t>
  </si>
  <si>
    <t>cd ../bin</t>
  </si>
  <si>
    <t>chmod +x LtrDetector</t>
  </si>
  <si>
    <t>apt update</t>
  </si>
  <si>
    <t>apt install gcc build-essential git</t>
  </si>
  <si>
    <t>vim configure</t>
  </si>
  <si>
    <t>+L273</t>
  </si>
  <si>
    <t>if ( ! $options{'ltr_detector_dir'} ) {
    RepModelConfig::promptForParam('LTR_DETECTOR_DIR');
  }</t>
  </si>
  <si>
    <t>sudo docker ps -a</t>
  </si>
  <si>
    <t>exit</t>
  </si>
  <si>
    <t>sudo docker commit 7b44bdd78639 grpiccoli/tetools</t>
  </si>
  <si>
    <t>sudo docker push grpiccoli/tetools:latest</t>
  </si>
  <si>
    <t>sudo docker login</t>
  </si>
  <si>
    <t>-L97</t>
  </si>
  <si>
    <t>+L97</t>
  </si>
  <si>
    <t>LTR_DETECTOR_DIR' =&gt; { 'command_line_override' =&gt; 'ltr_detector_dir', 'description' =&gt; 'The path to the installation of the LtrDetector.', 'environment_override' =&gt; 'LTR_DETECTOR_DIR', 'expected_binaries' =&gt; [ 'LtrDetector' ], 'param_type' =&gt; 'directory', 'required' =&gt; 0, 'value' =&gt; '/opt/LtrDetector/bin' },</t>
  </si>
  <si>
    <t>No</t>
  </si>
  <si>
    <t>Batch</t>
  </si>
  <si>
    <t>Pop</t>
  </si>
  <si>
    <t>FS</t>
  </si>
  <si>
    <t>h</t>
  </si>
  <si>
    <t>p</t>
  </si>
  <si>
    <t>nanodrop</t>
  </si>
  <si>
    <t>260/280</t>
  </si>
  <si>
    <t>260/230</t>
  </si>
  <si>
    <t>qubit 1:25</t>
  </si>
  <si>
    <t>qubit 1:5</t>
  </si>
  <si>
    <t>qubit 1:1</t>
  </si>
  <si>
    <t>ng/uL</t>
  </si>
  <si>
    <t>s</t>
  </si>
  <si>
    <t>nM</t>
  </si>
  <si>
    <t>docker pull biocontainers/mitohifi:2.2_cv1</t>
  </si>
  <si>
    <t>singularity pull docker://biocontainers/mitohifi:2.2_cv1</t>
  </si>
  <si>
    <t>singularity exec --bind /nesi/nobackup/vuw03529/mitohifi/out/:/data/ ../mitohifi_2.2_cv1.sif findMitoReference.py --species "Ostrea chilensis" --email guillermo.rodriguezpiccoli@vuw.ac.nz --outfolder /data/ --min_length 16000</t>
  </si>
  <si>
    <t>https://www.ncbi.nlm.nih.gov/Taxonomy/Utils/wprintgc.cgi</t>
  </si>
  <si>
    <t>contig_id             frameshifts_found     genbank_file          length(bp)            number_of_genes       was_circular</t>
  </si>
  <si>
    <t>final_mitogenome      No frameshift found   final_mitogenome.gb   16375                 39                    True</t>
  </si>
  <si>
    <t>singularity run -B /nesi/nobackup/vuw03529/:/data/ -W /data/mitohifi/out/hifiasm3.hap1 ../../mitohifi_2.2_cv1.sif /bin/bash -c 'cd /data/mitohifi/out/hifiasm3.hap1 &amp;&amp; mitohifi.py -c /data/input/asm/hifiasm3.p.fa -f /data/mitohifi/out/NC_022688.1.fasta -g /data/mitohifi/out/NC_022688.1.gb -t 10 -o 5'</t>
  </si>
  <si>
    <t>h1tg000390l</t>
  </si>
  <si>
    <t>h2tg000426l</t>
  </si>
  <si>
    <t>ptg000367l</t>
  </si>
  <si>
    <t>design</t>
  </si>
  <si>
    <t>T-8U-17B</t>
  </si>
  <si>
    <t xml:space="preserve">../scripts/pd_config.py -l /nesi/nobackup/vuw03529/purge_dups/out/ -s </t>
  </si>
  <si>
    <t>haplotypo</t>
  </si>
  <si>
    <t>DONE 1-5</t>
  </si>
  <si>
    <t>GraphUnzip</t>
  </si>
  <si>
    <t>*opt visualizer</t>
  </si>
  <si>
    <t>haplomerger2</t>
  </si>
  <si>
    <t>dipasm</t>
  </si>
  <si>
    <t>hicstuff</t>
  </si>
  <si>
    <t>HiC reads quality</t>
  </si>
  <si>
    <t>HiC scaffolding quality</t>
  </si>
  <si>
    <t>Geographical origin</t>
  </si>
  <si>
    <t>Extraction technique</t>
  </si>
  <si>
    <t>Unshelled premium Barnes oysters from Wellington Cuba Fish Market</t>
  </si>
  <si>
    <t>Flash Frozen Tissue (-80C)</t>
  </si>
  <si>
    <t>Shells (-4C)</t>
  </si>
  <si>
    <t>Fresh oysters from Ngai Tahu Fisheries</t>
  </si>
  <si>
    <t>Geneaid DNA Mini Kit</t>
  </si>
  <si>
    <t>Manukau Harbour, Auckland</t>
  </si>
  <si>
    <t>Unknown, Foveaux Strait</t>
  </si>
  <si>
    <t>Chatham Islands</t>
  </si>
  <si>
    <t>Fresh oysters scuba fished by hand</t>
  </si>
  <si>
    <t>Shells oysters collected in October 2021 by Keith Michaels from NIWA through the annual MPI Bonamia survey and stored at -4C until clearance in July 2022 (8 months)</t>
  </si>
  <si>
    <t>DNA
(-20C)</t>
  </si>
  <si>
    <t>Sufficient quality DNA (10+nM)</t>
  </si>
  <si>
    <t>Item</t>
  </si>
  <si>
    <t>Cost</t>
  </si>
  <si>
    <t>Flights</t>
  </si>
  <si>
    <t>Accommodation</t>
  </si>
  <si>
    <t>Registration Fee</t>
  </si>
  <si>
    <t>Funding Source</t>
  </si>
  <si>
    <t>VUW Grants and Scholarships Coordination SHEADI</t>
  </si>
  <si>
    <t>ISGA 2022</t>
  </si>
  <si>
    <t xml:space="preserve">Type of Funding </t>
  </si>
  <si>
    <t>Registration Fee + Accommodation</t>
  </si>
  <si>
    <t>Status / Response</t>
  </si>
  <si>
    <t>Funding only available through VUW supervisor</t>
  </si>
  <si>
    <t>NZ Royal Society</t>
  </si>
  <si>
    <t>Funding for Post Doc and international research project only</t>
  </si>
  <si>
    <t>NZ Marine Society</t>
  </si>
  <si>
    <t>"First Overseas Conference Travel Fund" No longer available</t>
  </si>
  <si>
    <t>Pending until August 30th</t>
  </si>
  <si>
    <t>PGSA Academic Conference Grant</t>
  </si>
  <si>
    <t>No longer available</t>
  </si>
  <si>
    <t>BECAS CHILE</t>
  </si>
  <si>
    <t>*This could potentially be covered by ISGA</t>
  </si>
  <si>
    <t>A</t>
  </si>
  <si>
    <t>---</t>
  </si>
  <si>
    <t>Contact</t>
  </si>
  <si>
    <t>Phone</t>
  </si>
  <si>
    <t>NPI</t>
  </si>
  <si>
    <t>Chatham Islands Council</t>
  </si>
  <si>
    <t>03 305 0033</t>
  </si>
  <si>
    <t>027 388 4222</t>
  </si>
  <si>
    <t>Waitangi Seafoods Tm Trading Group</t>
  </si>
  <si>
    <t>027 441 1089</t>
  </si>
  <si>
    <t>Stan Edmon Ex CI Fisherman</t>
  </si>
  <si>
    <t>Response</t>
  </si>
  <si>
    <t>Call NPI</t>
  </si>
  <si>
    <t>03 305 0004
027 493 3895</t>
  </si>
  <si>
    <t>Will contact me when fresh oysters are available</t>
  </si>
  <si>
    <t>george.ririnui@npi.govt.nz</t>
  </si>
  <si>
    <t>Retroelements</t>
  </si>
  <si>
    <t>GC level</t>
  </si>
  <si>
    <t>bases masked</t>
  </si>
  <si>
    <t>hifiasm3</t>
  </si>
  <si>
    <t>%</t>
  </si>
  <si>
    <t>No elements</t>
  </si>
  <si>
    <t>length (bp)</t>
  </si>
  <si>
    <t>SINEs:</t>
  </si>
  <si>
    <t>Penelope</t>
  </si>
  <si>
    <t>LINEs:</t>
  </si>
  <si>
    <t>CRE/SLACS</t>
  </si>
  <si>
    <t>L2/CR1/Rex</t>
  </si>
  <si>
    <t>R1/LOA/Jockey</t>
  </si>
  <si>
    <t>R2/R4/NeSL</t>
  </si>
  <si>
    <t>RTE/Bov-B</t>
  </si>
  <si>
    <t>L1/CIN4</t>
  </si>
  <si>
    <t>LTR</t>
  </si>
  <si>
    <t>BEL/Pao</t>
  </si>
  <si>
    <t>Ty1/Copia</t>
  </si>
  <si>
    <t>Gypsy/DIRS1</t>
  </si>
  <si>
    <t>Retroviral</t>
  </si>
  <si>
    <t>hobo-Activator</t>
  </si>
  <si>
    <t>Tc1-IS630-Pogo</t>
  </si>
  <si>
    <t>En-Spm</t>
  </si>
  <si>
    <t>MuDR-IS905</t>
  </si>
  <si>
    <t>PiggyBac</t>
  </si>
  <si>
    <t>Tourist/Harbinger</t>
  </si>
  <si>
    <t>Rolling-circles</t>
  </si>
  <si>
    <t>Unclassified:</t>
  </si>
  <si>
    <t>Satellites:</t>
  </si>
  <si>
    <t>Low omplexity</t>
  </si>
  <si>
    <t>Simple repeats</t>
  </si>
  <si>
    <t>Small RNA</t>
  </si>
  <si>
    <t>Total interspread repeats</t>
  </si>
  <si>
    <t>Other (Mirage, p-element, translib)</t>
  </si>
  <si>
    <t>DNA transposons</t>
  </si>
  <si>
    <t>SINE</t>
  </si>
  <si>
    <t>LINE</t>
  </si>
  <si>
    <t>LTR Unclassified</t>
  </si>
  <si>
    <t>LINE Unclassified</t>
  </si>
  <si>
    <t>LTR elements:</t>
  </si>
  <si>
    <t>genes</t>
  </si>
  <si>
    <t>vs genome size</t>
  </si>
  <si>
    <t>no repeats</t>
  </si>
  <si>
    <t>for oyster species</t>
  </si>
  <si>
    <t>gauss bell of intron size distribution</t>
  </si>
  <si>
    <t>completeness</t>
  </si>
  <si>
    <t>double check gene number if they are including pseudo gene</t>
  </si>
  <si>
    <t>to standarize use same annotation pipeline over each genome</t>
  </si>
  <si>
    <t>sacct -S 2022-05-01 | grep "Rmasker" | grep "COMPLETED" | awk '{print $1}' | xargs -I{} seff {} | awk -v m=0 -v t=0 -v c=0 '{if($0 ~ /^Memory Utilized/ &amp;&amp; $3 &gt; m){ m=$3 }else if($0 ~ /Job Wall-clock/ &amp;&amp; $4 &gt; t){t = $4}else if($0 ~ /Cores per node/){cn=$4}else if($0 ~ /CPU Efficiency/ &amp;&amp; $3 &gt; c){c=$3}}END{print m,t,c*cn/100}'</t>
  </si>
  <si>
    <t>Highest mem, cpu, time per task</t>
  </si>
  <si>
    <t>processing: aln.bam.cov</t>
  </si>
  <si>
    <t>average coverage in reference regions (median): 3.0</t>
  </si>
  <si>
    <t>average coverage in reference regions (mean):   17.36681578</t>
  </si>
  <si>
    <t>total coverage (combined length of all mapped reads):   20065120665.0</t>
  </si>
  <si>
    <t>total sequence length:  1248992043</t>
  </si>
  <si>
    <t>estimated genome size based on mean [Mbp]:      1155.37130808</t>
  </si>
  <si>
    <t>estimated genome size based on median [Mbp]:    6688.373555</t>
  </si>
  <si>
    <t>EDTA</t>
  </si>
  <si>
    <t>X EDTA</t>
  </si>
  <si>
    <t>RUN</t>
  </si>
  <si>
    <t>total uniq candidates</t>
  </si>
  <si>
    <t>LTR-RT intact</t>
  </si>
  <si>
    <t>Total library sequences</t>
  </si>
  <si>
    <t>reatained clean sequence</t>
  </si>
  <si>
    <t>unique lib sequence</t>
  </si>
  <si>
    <t>raw internal region size</t>
  </si>
  <si>
    <t>clean internal region size</t>
  </si>
  <si>
    <t>Sequence number of redundant LTR-RT library</t>
  </si>
  <si>
    <t>The redundant LTR-RT library size (bit)</t>
  </si>
  <si>
    <t>Final LTR-RT library entries</t>
  </si>
  <si>
    <t>Total intact LTR-RTs found</t>
  </si>
  <si>
    <t>Total intact non-TGCA LTR-RTs found</t>
  </si>
  <si>
    <t>Total candidates</t>
  </si>
  <si>
    <t>Final LTR-RT library size (bit)</t>
  </si>
  <si>
    <t>LAI cmd</t>
  </si>
  <si>
    <t>The identity of LTR sequences</t>
  </si>
  <si>
    <t>-genome hifiasm3.p.fa.mod -intact hifiasm3.p.fa.mod.pass.list -all hifiasm3.p.fa.mod.out -blast /opt/rmblast/bin/ -t 20</t>
  </si>
  <si>
    <t>-genome hifiasm3.fa -intact hifiasm3.fa.pass.list -all hifiasm3.fa.out -blast /scale_wlg_persistent/filesets/opt_nesi/CS400_centos7_bdw/RMBlast/2.10.0-GCC-9.2.0/bin/ -t 20</t>
  </si>
  <si>
    <t>ERROR</t>
  </si>
  <si>
    <t>Date</t>
  </si>
  <si>
    <t>Fri Aug 12 15:20:33 NZST 2022</t>
  </si>
  <si>
    <t>Thu Aug  4 14:50:20 NZST 2022</t>
  </si>
  <si>
    <t>Retriever cmd</t>
  </si>
  <si>
    <t>Thu Aug 11 17:57:57 NZST 2022</t>
  </si>
  <si>
    <t>-genome hifiasm3.fa -inharvest hifiasm3.fa.rawLTR.scn -threads 20 -repeatmasker /scale_wlg_persistent/filesets/opt_nesi/CS400_centos7_bdw/RepeatMasker/4.1.0-gimkl-2020a/ -blastplus /scale_wlg_persistent/filesets/opt_nesi/CS400_centos7_bdw/RMBlast/2.10.0-GCC-9.2.0/bin/ -hmmer /scale_wlg_persistent/filesets/opt_nesi/CS400_centos7_bdw/HMMER/3.3-GCC-9.2.0/bin/ -trf_path /scale_wlg_persistent/filesets/opt_nesi/CS400_centos7_bdw/trf/4.09/trf -u 1.39e-9</t>
  </si>
  <si>
    <t>Thu Aug 11 22:01:14 NZST 2022</t>
  </si>
  <si>
    <t>Fri Aug 12 08:50:51 NZST 2022</t>
  </si>
  <si>
    <t>Fri Aug 12 22:47:09 NZST 2022</t>
  </si>
  <si>
    <t>-genome hifiasm3.fa -inharvest hifiasm3.fa.rawLTR.scn -threads 18 -repeatmasker /scale_wlg_persistent/filesets/opt_nesi/CS400_centos7_bdw/RepeatMasker/4.1.0-gimkl-2020a/ -blastplus /scale_wlg_persistent/filesets/opt_nesi/CS400_centos7_bdw/RMBlast/2.10.0-GCC-9.2.0/bin/ -hmmer /scale_wlg_persistent/filesets/opt_nesi/CS400_centos7_bdw/HMMER/3.3-GCC-9.2.0/bin/ -trf_path /scale_wlg_persistent/filesets/opt_nesi/CS400_centos7_bdw/trf/4.09/trf -u 1.39e-9</t>
  </si>
  <si>
    <t>clean candidates remained</t>
  </si>
  <si>
    <t>truncated LTR-RTs found</t>
  </si>
  <si>
    <t>truncated LTR sequences have added to the library</t>
  </si>
  <si>
    <t>-genome hifiasm3.fa -inharvest hifiasm3.fa.rawLTR.scn -threads 12 -repeatmasker /scale_wlg_persistent/filesets/opt_nesi/CS400_centos7_bdw/RepeatMasker/4.1.0-gimkl-2020a/ -blastplus /scale_wlg_persistent/filesets/opt_nesi/CS400_centos7_bdw/RMBlast/2.10.0-GCC-9.2.0/bin/ -hmmer /scale_wlg_persistent/filesets/opt_nesi/CS400_centos7_bdw/HMMER/3.3-GCC-9.2.0/bin/ -trf_path /scale_wlg_persistent/filesets/opt_nesi/CS400_centos7_bdw/trf/4.09/trf -u 1.39e-9</t>
  </si>
  <si>
    <t>Sun Aug 14 14:20:18 NZST 2022</t>
  </si>
  <si>
    <t>JOIB ID</t>
  </si>
  <si>
    <t>COSEG</t>
  </si>
  <si>
    <t>DONE coseg1</t>
  </si>
  <si>
    <t>X coseg2</t>
  </si>
  <si>
    <t>X 5</t>
  </si>
  <si>
    <t>hap</t>
  </si>
  <si>
    <t>B</t>
  </si>
  <si>
    <t>dipasm3A</t>
  </si>
  <si>
    <t>dipasm3B</t>
  </si>
  <si>
    <t>flye1</t>
  </si>
  <si>
    <t>flye2</t>
  </si>
  <si>
    <t>-s 52 -c -x 16 -j 52</t>
  </si>
  <si>
    <t>aria2c</t>
  </si>
  <si>
    <t>canu1</t>
  </si>
  <si>
    <t>canu2</t>
  </si>
  <si>
    <t>canu3</t>
  </si>
  <si>
    <t>flye3</t>
  </si>
  <si>
    <t>hifiasm1A</t>
  </si>
  <si>
    <t>hifiasm1B</t>
  </si>
  <si>
    <t>hifiasm2A</t>
  </si>
  <si>
    <t>hifiasm2B</t>
  </si>
  <si>
    <t>hifiasm2</t>
  </si>
  <si>
    <t>hifiasm3A</t>
  </si>
  <si>
    <t>hifiasm3B</t>
  </si>
  <si>
    <t>ipa1</t>
  </si>
  <si>
    <t>ipa2A</t>
  </si>
  <si>
    <t>ipa2B</t>
  </si>
  <si>
    <t>ipa3A</t>
  </si>
  <si>
    <t>ipa3B</t>
  </si>
  <si>
    <t>nextpolish1</t>
  </si>
  <si>
    <t>nextpolish2</t>
  </si>
  <si>
    <t>peregrine1</t>
  </si>
  <si>
    <t>peregrine2</t>
  </si>
  <si>
    <t>peregrine3</t>
  </si>
  <si>
    <t>raven1</t>
  </si>
  <si>
    <t>raven2</t>
  </si>
  <si>
    <t>raven3</t>
  </si>
  <si>
    <t>tair9</t>
  </si>
  <si>
    <t>**LtrDetector</t>
  </si>
  <si>
    <t>ls out/*/*.LAI | xargs -I{} bash -c "head -n 2 {} | tail -n 1 | awk '"'{cmd="basename {} .fa.out.LAI"; cmd | getline name; print name,$6,$7}'"'"</t>
  </si>
  <si>
    <t>OK</t>
  </si>
  <si>
    <t>JOBID</t>
  </si>
  <si>
    <t>Seg Flt RM</t>
  </si>
  <si>
    <t>total uniq</t>
  </si>
  <si>
    <t>total cand</t>
  </si>
  <si>
    <t>clean</t>
  </si>
  <si>
    <t>intact</t>
  </si>
  <si>
    <t>total lib</t>
  </si>
  <si>
    <t>trunc found</t>
  </si>
  <si>
    <t>trunc add</t>
  </si>
  <si>
    <t>retained</t>
  </si>
  <si>
    <t>uniq lib</t>
  </si>
  <si>
    <t>raw size</t>
  </si>
  <si>
    <t>clean size</t>
  </si>
  <si>
    <t>final entries</t>
  </si>
  <si>
    <t>final size</t>
  </si>
  <si>
    <t>intact LTR</t>
  </si>
  <si>
    <t>intact non-TGCA</t>
  </si>
  <si>
    <t>ID%</t>
  </si>
  <si>
    <t>seq NoReddnt</t>
  </si>
  <si>
    <t>rddnt size</t>
  </si>
  <si>
    <t>Intact</t>
  </si>
  <si>
    <t>raw</t>
  </si>
  <si>
    <t>corr</t>
  </si>
  <si>
    <t>nextpolish3</t>
  </si>
  <si>
    <t>pbassembly1B</t>
  </si>
  <si>
    <t>pbassembly1A</t>
  </si>
  <si>
    <t>tair9 NeSI</t>
  </si>
  <si>
    <t>timedout</t>
  </si>
  <si>
    <t>cancelled</t>
  </si>
  <si>
    <t>rawLTR</t>
  </si>
  <si>
    <t>New</t>
  </si>
  <si>
    <t>DONE 4 hifiasm3</t>
  </si>
  <si>
    <t>UPDATED</t>
  </si>
  <si>
    <t>index</t>
  </si>
  <si>
    <t>Software</t>
  </si>
  <si>
    <t>Commit</t>
  </si>
  <si>
    <t>Reference</t>
  </si>
  <si>
    <t>Singularity</t>
  </si>
  <si>
    <t>3.10.0</t>
  </si>
  <si>
    <t>module</t>
  </si>
  <si>
    <t>11.3.0</t>
  </si>
  <si>
    <t>4.12.0</t>
  </si>
  <si>
    <t>GCC</t>
  </si>
  <si>
    <t>3.10.5</t>
  </si>
  <si>
    <t>pip</t>
  </si>
  <si>
    <t>Python</t>
  </si>
  <si>
    <t>22.0.4</t>
  </si>
  <si>
    <t>CPAN::Mini</t>
  </si>
  <si>
    <t>Perl</t>
  </si>
  <si>
    <t>5.34.1</t>
  </si>
  <si>
    <t>Miniconda</t>
  </si>
  <si>
    <t>Dfam</t>
  </si>
  <si>
    <t>Sub-version</t>
  </si>
  <si>
    <t>Nov 20, 2021</t>
  </si>
  <si>
    <t>LTR_finder</t>
  </si>
  <si>
    <t>7c6af28</t>
  </si>
  <si>
    <t>LTR_FINDER_parallel</t>
  </si>
  <si>
    <t>Jan 28, 2020</t>
  </si>
  <si>
    <t>eefef6a</t>
  </si>
  <si>
    <t>May 11, 2022</t>
  </si>
  <si>
    <t>GenomeTools</t>
  </si>
  <si>
    <t>5ed0bea</t>
  </si>
  <si>
    <t>Jul 17, 2022</t>
  </si>
  <si>
    <t>020b8cc</t>
  </si>
  <si>
    <t>Repo</t>
  </si>
  <si>
    <t>Branch</t>
  </si>
  <si>
    <t>patch 1</t>
  </si>
  <si>
    <t>RepeatMasker</t>
  </si>
  <si>
    <t>4.1.2</t>
  </si>
  <si>
    <t>HMMER</t>
  </si>
  <si>
    <t>3.3.2</t>
  </si>
  <si>
    <t>RMBlast</t>
  </si>
  <si>
    <t>TRF</t>
  </si>
  <si>
    <t>355c1f9</t>
  </si>
  <si>
    <t>Jun 30, 2020</t>
  </si>
  <si>
    <t>github.com/Benson-Genomics-Lab/TRF</t>
  </si>
  <si>
    <t>master</t>
  </si>
  <si>
    <t>Apr 21, 2021</t>
  </si>
  <si>
    <t>CDHIT</t>
  </si>
  <si>
    <t>4f6720f</t>
  </si>
  <si>
    <t>Aug 22, 2022</t>
  </si>
  <si>
    <t>26ba35e</t>
  </si>
  <si>
    <t>PURGE DUPS</t>
  </si>
  <si>
    <t>1.2.6</t>
  </si>
  <si>
    <t>XZ</t>
  </si>
  <si>
    <t>5.4.2</t>
  </si>
  <si>
    <t>Minimap2</t>
  </si>
  <si>
    <t>BWA</t>
  </si>
  <si>
    <t>0.7.17</t>
  </si>
  <si>
    <t>Prodigal</t>
  </si>
  <si>
    <t>2.6.3</t>
  </si>
  <si>
    <t>busco to contig dictionary is empty</t>
  </si>
  <si>
    <t>c</t>
  </si>
  <si>
    <t>1m31.748s</t>
  </si>
  <si>
    <t>5.2.0</t>
  </si>
  <si>
    <t>https://github.com/ablab/quast</t>
  </si>
  <si>
    <t>98e0bec</t>
  </si>
  <si>
    <t>Jun 8, 2022</t>
  </si>
  <si>
    <t>busco</t>
  </si>
  <si>
    <t>5.4.3</t>
  </si>
  <si>
    <t>Used for</t>
  </si>
  <si>
    <t>General</t>
  </si>
  <si>
    <t>Chapter</t>
  </si>
  <si>
    <t>Read Quality Control</t>
  </si>
  <si>
    <t>Genome Length Estimation</t>
  </si>
  <si>
    <t>slurm</t>
  </si>
  <si>
    <t>21.08.8</t>
  </si>
  <si>
    <t>Mahuika NeSI CentOS Linux release (Core)</t>
  </si>
  <si>
    <t>7.4.1708</t>
  </si>
  <si>
    <t>113f60c</t>
  </si>
  <si>
    <t>1.2.0</t>
  </si>
  <si>
    <t>https://github.com/yfukasawa/LongQC</t>
  </si>
  <si>
    <t>Initial Assembly</t>
  </si>
  <si>
    <t>https://github.com/s-andrews/FastQC</t>
  </si>
  <si>
    <t>f61eee7</t>
  </si>
  <si>
    <t>https://github.com/ewels/MultiQC</t>
  </si>
  <si>
    <t>4aede39</t>
  </si>
  <si>
    <t>10.1093/bioinformatics/btw354</t>
  </si>
  <si>
    <t>Andrews S. (2010). FastQC: a quality control tool for high throughput sequence data. Available online at: http://www.bioinformatics.babraham.ac.uk/projects/fastqc</t>
  </si>
  <si>
    <t>X LTR FAILED</t>
  </si>
  <si>
    <t>Test 1 latest releases</t>
  </si>
  <si>
    <t>Test 2 latest commits</t>
  </si>
  <si>
    <t>1.6.2</t>
  </si>
  <si>
    <t>2.0.1</t>
  </si>
  <si>
    <t>EDTA (LTR_harvest_parallel)</t>
  </si>
  <si>
    <t>1.0.7</t>
  </si>
  <si>
    <t>4.8.1</t>
  </si>
  <si>
    <t>2.9.0</t>
  </si>
  <si>
    <t>Test 2</t>
  </si>
  <si>
    <t>coverage</t>
  </si>
  <si>
    <t>haplotig</t>
  </si>
  <si>
    <t>Test 1</t>
  </si>
  <si>
    <t>BUSCO C</t>
  </si>
  <si>
    <t>BUSCO D</t>
  </si>
  <si>
    <t>BUSCO M</t>
  </si>
  <si>
    <t>haps have different sizes for hifiasm</t>
  </si>
  <si>
    <t>dipasm3</t>
  </si>
  <si>
    <t>before</t>
  </si>
  <si>
    <t>INDEX</t>
  </si>
  <si>
    <t>PD</t>
  </si>
  <si>
    <t>Z-scores</t>
  </si>
  <si>
    <t>x</t>
  </si>
  <si>
    <t>1/x</t>
  </si>
  <si>
    <t>Normalized Z-scores</t>
  </si>
  <si>
    <t>Z-score</t>
  </si>
  <si>
    <t>(x-max)^2</t>
  </si>
  <si>
    <t>o=SQRT(E(x-max)^2/N)</t>
  </si>
  <si>
    <t>raw LAI</t>
  </si>
  <si>
    <t>ID</t>
  </si>
  <si>
    <t>purge dups</t>
  </si>
  <si>
    <t>cicle</t>
  </si>
  <si>
    <t>date</t>
  </si>
  <si>
    <t>-l 3 -s .45</t>
  </si>
  <si>
    <t>-l 3 -s .45 --hom-cov 60</t>
  </si>
  <si>
    <t>map all snps</t>
  </si>
  <si>
    <t>map oyster assemblies</t>
  </si>
  <si>
    <t>map genes</t>
  </si>
  <si>
    <t>map QTLs</t>
  </si>
  <si>
    <t>WAIT GIT ISSUE</t>
  </si>
  <si>
    <t>DONE 4</t>
  </si>
  <si>
    <t>stringtie2</t>
  </si>
  <si>
    <t>PASA</t>
  </si>
  <si>
    <t>GenomeThreader</t>
  </si>
  <si>
    <t>Exonerator</t>
  </si>
  <si>
    <t>Genewise</t>
  </si>
  <si>
    <t>EVidenceModeler</t>
  </si>
  <si>
    <t>-l 3 -s .3</t>
  </si>
  <si>
    <t>-l 3 -s .3 --hom-cov 28</t>
  </si>
  <si>
    <t>-l 3 -s .4</t>
  </si>
  <si>
    <t>HapCUT2</t>
  </si>
  <si>
    <t>WAIT SCAFFOLDING</t>
  </si>
  <si>
    <t>&gt;1kb</t>
  </si>
  <si>
    <t>&gt;10kb</t>
  </si>
  <si>
    <t>Hetezygous peak</t>
  </si>
  <si>
    <t>-l 3</t>
  </si>
  <si>
    <t>direct av</t>
  </si>
  <si>
    <t>z-score</t>
  </si>
  <si>
    <t/>
  </si>
  <si>
    <t>pseudohaploid</t>
  </si>
  <si>
    <t>Pilon</t>
  </si>
  <si>
    <t>HIFIASM33,PURGEDUPS33</t>
  </si>
  <si>
    <t>no pd</t>
  </si>
  <si>
    <t>pd p</t>
  </si>
  <si>
    <t>PH</t>
  </si>
  <si>
    <t>pd h</t>
  </si>
  <si>
    <t>pd+a</t>
  </si>
  <si>
    <t>pd</t>
  </si>
  <si>
    <t>pd+hap</t>
  </si>
  <si>
    <t>R3</t>
  </si>
  <si>
    <t>WAIT FOR HAPCUT2</t>
  </si>
  <si>
    <t>3A</t>
  </si>
  <si>
    <t>canu3ph</t>
  </si>
  <si>
    <t>dipasm3ph</t>
  </si>
  <si>
    <t>Busco</t>
  </si>
  <si>
    <t>Kmer</t>
  </si>
  <si>
    <t>Contig</t>
  </si>
  <si>
    <t>cariakensis</t>
  </si>
  <si>
    <t>cgigas</t>
  </si>
  <si>
    <t>chongkongensis</t>
  </si>
  <si>
    <t>cvirginica</t>
  </si>
  <si>
    <t>oedulis</t>
  </si>
  <si>
    <t>odenselamellosa</t>
  </si>
  <si>
    <t>olurida</t>
  </si>
  <si>
    <t>sglomerata</t>
  </si>
  <si>
    <t>raven3ph</t>
  </si>
  <si>
    <t>hifiasm33ph</t>
  </si>
  <si>
    <t>s07</t>
  </si>
  <si>
    <t>s148</t>
  </si>
  <si>
    <t>s179</t>
  </si>
  <si>
    <t>s212</t>
  </si>
  <si>
    <t>s243</t>
  </si>
  <si>
    <t>s260</t>
  </si>
  <si>
    <t>s27</t>
  </si>
  <si>
    <t>s29</t>
  </si>
  <si>
    <t>s62</t>
  </si>
  <si>
    <t>s80</t>
  </si>
  <si>
    <t>s92</t>
  </si>
  <si>
    <t>s02</t>
  </si>
  <si>
    <t>s03</t>
  </si>
  <si>
    <t>s1032</t>
  </si>
  <si>
    <t>s1143</t>
  </si>
  <si>
    <t>s114</t>
  </si>
  <si>
    <t>s1254</t>
  </si>
  <si>
    <t>s477</t>
  </si>
  <si>
    <t>s588</t>
  </si>
  <si>
    <t>s699</t>
  </si>
  <si>
    <t>s810</t>
  </si>
  <si>
    <t>s921</t>
  </si>
  <si>
    <t>Phy</t>
  </si>
  <si>
    <t>NW_026038639.1</t>
  </si>
  <si>
    <t>NW_026038640.1</t>
  </si>
  <si>
    <t>NW_026039669.1</t>
  </si>
  <si>
    <t>NW_026039780.1</t>
  </si>
  <si>
    <t>NW_026038751.1</t>
  </si>
  <si>
    <t>NW_026039891.1</t>
  </si>
  <si>
    <t>NW_026039114.1</t>
  </si>
  <si>
    <t>NW_026039225.1</t>
  </si>
  <si>
    <t>NW_026039336.1</t>
  </si>
  <si>
    <t>NW_026039447.1</t>
  </si>
  <si>
    <t>NW_026039558.1</t>
  </si>
  <si>
    <t>ptg000008l_1</t>
  </si>
  <si>
    <t>ptg000166l_1</t>
  </si>
  <si>
    <t>ptg000206l_1</t>
  </si>
  <si>
    <t>ptg000247l_1</t>
  </si>
  <si>
    <t>ptg000281l_1</t>
  </si>
  <si>
    <t>ptg000300l_1</t>
  </si>
  <si>
    <t>ptg000029l_1</t>
  </si>
  <si>
    <t>ptg000033l_1</t>
  </si>
  <si>
    <t>ptg000070l_1</t>
  </si>
  <si>
    <t>ptg000091l_1</t>
  </si>
  <si>
    <t>ptg000104l_1</t>
  </si>
  <si>
    <t>ochilensis</t>
  </si>
  <si>
    <t>hap1,2</t>
  </si>
  <si>
    <t>hifiasmA</t>
  </si>
  <si>
    <t>hifiasmB</t>
  </si>
  <si>
    <t>PLN</t>
  </si>
  <si>
    <t>hifiasm33pln</t>
  </si>
  <si>
    <t>hifiasm33Bph</t>
  </si>
  <si>
    <t>hifiasm33Aph</t>
  </si>
  <si>
    <t>Sum</t>
  </si>
  <si>
    <t>Average</t>
  </si>
  <si>
    <t>Running Total</t>
  </si>
  <si>
    <t>Count</t>
  </si>
  <si>
    <t>promer</t>
  </si>
  <si>
    <t>graphunzip</t>
  </si>
  <si>
    <t>3 month</t>
  </si>
  <si>
    <t>3 month writing</t>
  </si>
  <si>
    <t>1 month suspension</t>
  </si>
  <si>
    <t>1 month</t>
  </si>
  <si>
    <t>mscaffolder</t>
  </si>
  <si>
    <t>WAIT FOR InstaGRAAL</t>
  </si>
  <si>
    <t>roscoff</t>
  </si>
  <si>
    <t>Roscoff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</si>
</sst>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d\,\ dd\ mmm\,\ yyyy"/>
    <numFmt numFmtId="165" formatCode="mmm"/>
    <numFmt numFmtId="166" formatCode="_-* #,##0_-;\-* #,##0_-;_-* &quot;-&quot;??_-;_-@_-"/>
    <numFmt numFmtId="167" formatCode="0.00000%"/>
    <numFmt numFmtId="168" formatCode="#,##0.0,,\ &quot;Mb&quot;"/>
    <numFmt numFmtId="169" formatCode="#,##0.0"/>
    <numFmt numFmtId="170" formatCode="0.0%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sz val="8"/>
      <color theme="1"/>
      <name val="Consolas"/>
      <family val="3"/>
    </font>
    <font>
      <b/>
      <sz val="9"/>
      <color theme="1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rgb="FF333333"/>
      <name val="Consolas"/>
      <family val="3"/>
    </font>
    <font>
      <b/>
      <sz val="20"/>
      <color rgb="FF000000"/>
      <name val="Calibri"/>
      <family val="2"/>
    </font>
    <font>
      <sz val="20"/>
      <color rgb="FF000000"/>
      <name val="Calibri"/>
      <family val="2"/>
    </font>
    <font>
      <sz val="8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7"/>
      <color rgb="FF000000"/>
      <name val="Arial"/>
      <family val="2"/>
    </font>
    <font>
      <sz val="11"/>
      <color theme="1"/>
      <name val="Arial"/>
      <family val="2"/>
    </font>
    <font>
      <b/>
      <i/>
      <sz val="13.5"/>
      <color rgb="FF985735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Times New Roman"/>
      <family val="1"/>
    </font>
    <font>
      <b/>
      <sz val="11"/>
      <color rgb="FF0061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358C3F"/>
        <bgColor indexed="64"/>
      </patternFill>
    </fill>
    <fill>
      <patternFill patternType="solid">
        <fgColor rgb="FF07AB4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D5DEE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double">
        <color rgb="FF3F3F3F"/>
      </left>
      <right/>
      <top/>
      <bottom/>
      <diagonal/>
    </border>
    <border>
      <left style="double">
        <color rgb="FF3F3F3F"/>
      </left>
      <right style="double">
        <color rgb="FF3F3F3F"/>
      </right>
      <top/>
      <bottom/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thin">
        <color indexed="64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double">
        <color rgb="FF3F3F3F"/>
      </right>
      <top/>
      <bottom/>
      <diagonal/>
    </border>
    <border>
      <left style="double">
        <color rgb="FF3F3F3F"/>
      </left>
      <right style="thin">
        <color indexed="64"/>
      </right>
      <top/>
      <bottom/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</borders>
  <cellStyleXfs count="11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6" fillId="0" borderId="0" applyNumberFormat="0" applyFill="0" applyBorder="0" applyAlignment="0" applyProtection="0"/>
    <xf numFmtId="0" fontId="10" fillId="5" borderId="12" applyNumberFormat="0" applyAlignment="0" applyProtection="0"/>
    <xf numFmtId="0" fontId="11" fillId="6" borderId="13" applyNumberFormat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</cellStyleXfs>
  <cellXfs count="371">
    <xf numFmtId="0" fontId="0" fillId="0" borderId="0" xfId="0"/>
    <xf numFmtId="0" fontId="6" fillId="0" borderId="0" xfId="6"/>
    <xf numFmtId="0" fontId="2" fillId="2" borderId="0" xfId="3"/>
    <xf numFmtId="0" fontId="4" fillId="4" borderId="0" xfId="5"/>
    <xf numFmtId="0" fontId="3" fillId="3" borderId="0" xfId="4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wrapText="1"/>
    </xf>
    <xf numFmtId="0" fontId="8" fillId="0" borderId="0" xfId="0" applyFont="1"/>
    <xf numFmtId="14" fontId="0" fillId="0" borderId="0" xfId="0" applyNumberFormat="1"/>
    <xf numFmtId="1" fontId="0" fillId="0" borderId="0" xfId="0" applyNumberFormat="1"/>
    <xf numFmtId="9" fontId="0" fillId="0" borderId="0" xfId="2" applyFont="1"/>
    <xf numFmtId="164" fontId="0" fillId="0" borderId="0" xfId="0" applyNumberFormat="1"/>
    <xf numFmtId="0" fontId="0" fillId="0" borderId="4" xfId="0" applyBorder="1"/>
    <xf numFmtId="44" fontId="0" fillId="0" borderId="4" xfId="1" applyFont="1" applyBorder="1"/>
    <xf numFmtId="0" fontId="2" fillId="2" borderId="3" xfId="3" applyBorder="1"/>
    <xf numFmtId="0" fontId="2" fillId="2" borderId="4" xfId="3" applyBorder="1"/>
    <xf numFmtId="0" fontId="2" fillId="2" borderId="5" xfId="3" applyBorder="1"/>
    <xf numFmtId="0" fontId="0" fillId="0" borderId="7" xfId="0" applyBorder="1"/>
    <xf numFmtId="44" fontId="0" fillId="0" borderId="7" xfId="1" applyFont="1" applyBorder="1"/>
    <xf numFmtId="0" fontId="0" fillId="0" borderId="6" xfId="0" applyBorder="1"/>
    <xf numFmtId="0" fontId="2" fillId="2" borderId="7" xfId="3" applyBorder="1"/>
    <xf numFmtId="0" fontId="2" fillId="2" borderId="8" xfId="3" applyBorder="1"/>
    <xf numFmtId="0" fontId="2" fillId="2" borderId="6" xfId="3" applyBorder="1"/>
    <xf numFmtId="0" fontId="0" fillId="0" borderId="8" xfId="0" applyBorder="1"/>
    <xf numFmtId="0" fontId="0" fillId="0" borderId="3" xfId="0" applyBorder="1"/>
    <xf numFmtId="0" fontId="0" fillId="0" borderId="5" xfId="0" applyBorder="1"/>
    <xf numFmtId="44" fontId="0" fillId="0" borderId="0" xfId="1" applyFont="1" applyBorder="1"/>
    <xf numFmtId="0" fontId="0" fillId="0" borderId="1" xfId="0" applyBorder="1"/>
    <xf numFmtId="0" fontId="2" fillId="2" borderId="0" xfId="3" applyBorder="1"/>
    <xf numFmtId="0" fontId="0" fillId="0" borderId="2" xfId="0" applyBorder="1"/>
    <xf numFmtId="0" fontId="2" fillId="2" borderId="2" xfId="3" applyBorder="1"/>
    <xf numFmtId="44" fontId="5" fillId="0" borderId="0" xfId="1" applyFont="1" applyBorder="1"/>
    <xf numFmtId="0" fontId="5" fillId="0" borderId="9" xfId="0" applyFont="1" applyBorder="1"/>
    <xf numFmtId="165" fontId="9" fillId="0" borderId="1" xfId="0" applyNumberFormat="1" applyFont="1" applyBorder="1"/>
    <xf numFmtId="2" fontId="0" fillId="0" borderId="0" xfId="2" applyNumberFormat="1" applyFont="1"/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2" fillId="2" borderId="0" xfId="3" applyAlignment="1">
      <alignment horizontal="right"/>
    </xf>
    <xf numFmtId="0" fontId="0" fillId="0" borderId="0" xfId="0" applyAlignment="1">
      <alignment horizontal="right"/>
    </xf>
    <xf numFmtId="21" fontId="2" fillId="2" borderId="0" xfId="3" applyNumberFormat="1" applyAlignment="1">
      <alignment horizontal="right"/>
    </xf>
    <xf numFmtId="21" fontId="2" fillId="2" borderId="0" xfId="3" applyNumberFormat="1" applyAlignment="1">
      <alignment horizontal="right" wrapText="1"/>
    </xf>
    <xf numFmtId="21" fontId="0" fillId="0" borderId="0" xfId="0" applyNumberFormat="1" applyAlignment="1">
      <alignment horizontal="right"/>
    </xf>
    <xf numFmtId="0" fontId="2" fillId="2" borderId="0" xfId="3" applyAlignment="1"/>
    <xf numFmtId="0" fontId="2" fillId="2" borderId="0" xfId="3" applyAlignment="1">
      <alignment wrapText="1"/>
    </xf>
    <xf numFmtId="0" fontId="4" fillId="4" borderId="0" xfId="5" applyAlignment="1">
      <alignment wrapText="1"/>
    </xf>
    <xf numFmtId="0" fontId="10" fillId="5" borderId="12" xfId="7"/>
    <xf numFmtId="0" fontId="11" fillId="6" borderId="13" xfId="8"/>
    <xf numFmtId="0" fontId="11" fillId="6" borderId="13" xfId="8" applyAlignment="1">
      <alignment horizontal="right"/>
    </xf>
    <xf numFmtId="10" fontId="11" fillId="6" borderId="13" xfId="8" applyNumberFormat="1" applyAlignment="1">
      <alignment horizontal="right"/>
    </xf>
    <xf numFmtId="21" fontId="11" fillId="6" borderId="13" xfId="8" applyNumberFormat="1" applyAlignment="1">
      <alignment horizontal="right"/>
    </xf>
    <xf numFmtId="0" fontId="11" fillId="6" borderId="13" xfId="8" applyAlignment="1">
      <alignment wrapText="1"/>
    </xf>
    <xf numFmtId="0" fontId="3" fillId="3" borderId="0" xfId="4" applyAlignment="1">
      <alignment wrapText="1"/>
    </xf>
    <xf numFmtId="0" fontId="10" fillId="5" borderId="12" xfId="7" applyAlignment="1"/>
    <xf numFmtId="0" fontId="12" fillId="0" borderId="0" xfId="0" applyFont="1"/>
    <xf numFmtId="0" fontId="3" fillId="3" borderId="13" xfId="4" applyBorder="1"/>
    <xf numFmtId="0" fontId="4" fillId="4" borderId="13" xfId="5" applyBorder="1"/>
    <xf numFmtId="0" fontId="4" fillId="4" borderId="13" xfId="5" applyBorder="1" applyAlignment="1">
      <alignment wrapText="1"/>
    </xf>
    <xf numFmtId="0" fontId="4" fillId="4" borderId="0" xfId="5" applyAlignment="1">
      <alignment horizontal="center"/>
    </xf>
    <xf numFmtId="0" fontId="3" fillId="3" borderId="12" xfId="4" applyBorder="1"/>
    <xf numFmtId="0" fontId="6" fillId="0" borderId="0" xfId="6" quotePrefix="1"/>
    <xf numFmtId="166" fontId="0" fillId="0" borderId="0" xfId="10" applyNumberFormat="1" applyFont="1"/>
    <xf numFmtId="167" fontId="0" fillId="0" borderId="0" xfId="2" applyNumberFormat="1" applyFont="1"/>
    <xf numFmtId="166" fontId="0" fillId="0" borderId="0" xfId="0" applyNumberFormat="1"/>
    <xf numFmtId="43" fontId="0" fillId="0" borderId="0" xfId="0" applyNumberFormat="1"/>
    <xf numFmtId="44" fontId="0" fillId="0" borderId="0" xfId="1" applyFont="1" applyFill="1" applyBorder="1"/>
    <xf numFmtId="3" fontId="0" fillId="0" borderId="0" xfId="0" applyNumberFormat="1"/>
    <xf numFmtId="10" fontId="0" fillId="0" borderId="0" xfId="0" applyNumberFormat="1"/>
    <xf numFmtId="21" fontId="0" fillId="0" borderId="0" xfId="0" applyNumberFormat="1"/>
    <xf numFmtId="0" fontId="13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46" fontId="0" fillId="0" borderId="0" xfId="0" applyNumberFormat="1"/>
    <xf numFmtId="0" fontId="5" fillId="0" borderId="15" xfId="0" applyFont="1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10" fontId="0" fillId="0" borderId="0" xfId="2" applyNumberFormat="1" applyFont="1"/>
    <xf numFmtId="168" fontId="0" fillId="0" borderId="0" xfId="10" applyNumberFormat="1" applyFont="1"/>
    <xf numFmtId="2" fontId="0" fillId="0" borderId="0" xfId="0" applyNumberFormat="1"/>
    <xf numFmtId="164" fontId="0" fillId="0" borderId="4" xfId="0" applyNumberFormat="1" applyBorder="1"/>
    <xf numFmtId="164" fontId="0" fillId="0" borderId="0" xfId="0" applyNumberFormat="1" applyBorder="1"/>
    <xf numFmtId="164" fontId="0" fillId="0" borderId="7" xfId="0" applyNumberFormat="1" applyBorder="1"/>
    <xf numFmtId="9" fontId="0" fillId="0" borderId="0" xfId="2" applyFont="1" applyBorder="1"/>
    <xf numFmtId="9" fontId="0" fillId="0" borderId="2" xfId="2" applyFont="1" applyBorder="1"/>
    <xf numFmtId="9" fontId="0" fillId="0" borderId="7" xfId="2" applyFont="1" applyBorder="1"/>
    <xf numFmtId="9" fontId="0" fillId="0" borderId="8" xfId="2" applyFont="1" applyBorder="1"/>
    <xf numFmtId="0" fontId="0" fillId="0" borderId="15" xfId="0" applyBorder="1" applyAlignment="1">
      <alignment horizontal="center"/>
    </xf>
    <xf numFmtId="9" fontId="0" fillId="0" borderId="1" xfId="2" applyFont="1" applyBorder="1"/>
    <xf numFmtId="9" fontId="0" fillId="0" borderId="6" xfId="2" applyFon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0" xfId="0" applyNumberFormat="1" applyBorder="1"/>
    <xf numFmtId="2" fontId="0" fillId="0" borderId="2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3" xfId="0" applyNumberFormat="1" applyBorder="1"/>
    <xf numFmtId="2" fontId="0" fillId="0" borderId="1" xfId="0" applyNumberFormat="1" applyBorder="1"/>
    <xf numFmtId="2" fontId="0" fillId="0" borderId="6" xfId="0" applyNumberFormat="1" applyBorder="1"/>
    <xf numFmtId="0" fontId="0" fillId="0" borderId="17" xfId="0" applyBorder="1"/>
    <xf numFmtId="0" fontId="0" fillId="0" borderId="18" xfId="0" applyBorder="1"/>
    <xf numFmtId="0" fontId="5" fillId="0" borderId="17" xfId="0" applyFont="1" applyFill="1" applyBorder="1"/>
    <xf numFmtId="0" fontId="0" fillId="0" borderId="0" xfId="0" applyAlignment="1"/>
    <xf numFmtId="0" fontId="14" fillId="0" borderId="15" xfId="0" applyFont="1" applyBorder="1" applyAlignment="1">
      <alignment horizontal="left" wrapText="1" readingOrder="1"/>
    </xf>
    <xf numFmtId="0" fontId="15" fillId="0" borderId="15" xfId="0" applyFont="1" applyBorder="1" applyAlignment="1">
      <alignment horizontal="center" wrapText="1" readingOrder="1"/>
    </xf>
    <xf numFmtId="0" fontId="15" fillId="0" borderId="15" xfId="0" applyFont="1" applyFill="1" applyBorder="1" applyAlignment="1">
      <alignment horizontal="center" wrapText="1" readingOrder="1"/>
    </xf>
    <xf numFmtId="0" fontId="15" fillId="0" borderId="15" xfId="0" applyFont="1" applyBorder="1" applyAlignment="1">
      <alignment horizontal="left" wrapText="1" readingOrder="1"/>
    </xf>
    <xf numFmtId="0" fontId="16" fillId="11" borderId="19" xfId="0" applyFont="1" applyFill="1" applyBorder="1" applyAlignment="1">
      <alignment vertical="center" wrapText="1"/>
    </xf>
    <xf numFmtId="3" fontId="16" fillId="11" borderId="19" xfId="0" applyNumberFormat="1" applyFont="1" applyFill="1" applyBorder="1" applyAlignment="1">
      <alignment horizontal="right" vertical="center" wrapText="1"/>
    </xf>
    <xf numFmtId="0" fontId="16" fillId="11" borderId="19" xfId="0" applyFont="1" applyFill="1" applyBorder="1" applyAlignment="1">
      <alignment horizontal="right" vertical="center" wrapText="1"/>
    </xf>
    <xf numFmtId="0" fontId="17" fillId="0" borderId="0" xfId="0" applyFont="1"/>
    <xf numFmtId="0" fontId="16" fillId="11" borderId="20" xfId="0" applyFont="1" applyFill="1" applyBorder="1" applyAlignment="1">
      <alignment vertical="center" wrapText="1"/>
    </xf>
    <xf numFmtId="169" fontId="16" fillId="11" borderId="20" xfId="0" applyNumberFormat="1" applyFont="1" applyFill="1" applyBorder="1" applyAlignment="1">
      <alignment horizontal="right" vertical="center" wrapText="1"/>
    </xf>
    <xf numFmtId="0" fontId="18" fillId="0" borderId="0" xfId="0" applyFont="1"/>
    <xf numFmtId="3" fontId="16" fillId="12" borderId="21" xfId="0" applyNumberFormat="1" applyFont="1" applyFill="1" applyBorder="1" applyAlignment="1">
      <alignment horizontal="right" vertical="top" wrapText="1"/>
    </xf>
    <xf numFmtId="3" fontId="16" fillId="0" borderId="0" xfId="0" applyNumberFormat="1" applyFont="1"/>
    <xf numFmtId="0" fontId="16" fillId="11" borderId="0" xfId="0" applyFont="1" applyFill="1" applyBorder="1" applyAlignment="1">
      <alignment vertical="center" wrapText="1"/>
    </xf>
    <xf numFmtId="3" fontId="16" fillId="11" borderId="21" xfId="0" applyNumberFormat="1" applyFont="1" applyFill="1" applyBorder="1" applyAlignment="1">
      <alignment horizontal="right" vertical="top" wrapText="1"/>
    </xf>
    <xf numFmtId="0" fontId="16" fillId="11" borderId="21" xfId="0" applyFont="1" applyFill="1" applyBorder="1" applyAlignment="1">
      <alignment horizontal="right" vertical="top" wrapText="1"/>
    </xf>
    <xf numFmtId="0" fontId="16" fillId="12" borderId="23" xfId="0" applyFont="1" applyFill="1" applyBorder="1" applyAlignment="1">
      <alignment vertical="top" wrapText="1"/>
    </xf>
    <xf numFmtId="3" fontId="16" fillId="12" borderId="24" xfId="0" applyNumberFormat="1" applyFont="1" applyFill="1" applyBorder="1" applyAlignment="1">
      <alignment horizontal="right" vertical="top" wrapText="1"/>
    </xf>
    <xf numFmtId="0" fontId="16" fillId="11" borderId="20" xfId="0" applyFont="1" applyFill="1" applyBorder="1" applyAlignment="1">
      <alignment vertical="top" wrapText="1"/>
    </xf>
    <xf numFmtId="0" fontId="16" fillId="12" borderId="20" xfId="0" applyFont="1" applyFill="1" applyBorder="1" applyAlignment="1">
      <alignment vertical="top" wrapText="1"/>
    </xf>
    <xf numFmtId="0" fontId="16" fillId="12" borderId="25" xfId="0" applyFont="1" applyFill="1" applyBorder="1" applyAlignment="1">
      <alignment vertical="top" wrapText="1"/>
    </xf>
    <xf numFmtId="3" fontId="16" fillId="12" borderId="26" xfId="0" applyNumberFormat="1" applyFont="1" applyFill="1" applyBorder="1" applyAlignment="1">
      <alignment horizontal="right" vertical="top" wrapText="1"/>
    </xf>
    <xf numFmtId="0" fontId="16" fillId="13" borderId="19" xfId="0" applyFont="1" applyFill="1" applyBorder="1" applyAlignment="1">
      <alignment vertical="top" wrapText="1"/>
    </xf>
    <xf numFmtId="0" fontId="16" fillId="13" borderId="22" xfId="0" applyFont="1" applyFill="1" applyBorder="1" applyAlignment="1">
      <alignment horizontal="right" vertical="top" wrapText="1"/>
    </xf>
    <xf numFmtId="0" fontId="16" fillId="11" borderId="19" xfId="0" applyFont="1" applyFill="1" applyBorder="1" applyAlignment="1">
      <alignment vertical="top" wrapText="1"/>
    </xf>
    <xf numFmtId="0" fontId="16" fillId="11" borderId="22" xfId="0" applyFont="1" applyFill="1" applyBorder="1" applyAlignment="1">
      <alignment horizontal="right" vertical="top" wrapText="1"/>
    </xf>
    <xf numFmtId="0" fontId="16" fillId="0" borderId="0" xfId="0" applyFont="1"/>
    <xf numFmtId="0" fontId="16" fillId="12" borderId="21" xfId="0" applyFont="1" applyFill="1" applyBorder="1" applyAlignment="1">
      <alignment horizontal="right" vertical="top" wrapText="1"/>
    </xf>
    <xf numFmtId="0" fontId="16" fillId="11" borderId="25" xfId="0" applyFont="1" applyFill="1" applyBorder="1" applyAlignment="1">
      <alignment vertical="top" wrapText="1"/>
    </xf>
    <xf numFmtId="0" fontId="16" fillId="11" borderId="26" xfId="0" applyFont="1" applyFill="1" applyBorder="1" applyAlignment="1">
      <alignment horizontal="right" vertical="top" wrapText="1"/>
    </xf>
    <xf numFmtId="3" fontId="16" fillId="13" borderId="19" xfId="0" applyNumberFormat="1" applyFont="1" applyFill="1" applyBorder="1" applyAlignment="1">
      <alignment horizontal="right" vertical="top" wrapText="1"/>
    </xf>
    <xf numFmtId="3" fontId="19" fillId="0" borderId="19" xfId="0" applyNumberFormat="1" applyFont="1" applyBorder="1" applyAlignment="1">
      <alignment horizontal="right" vertical="center" wrapText="1"/>
    </xf>
    <xf numFmtId="0" fontId="19" fillId="0" borderId="19" xfId="0" applyFont="1" applyBorder="1" applyAlignment="1">
      <alignment horizontal="right" vertical="center" wrapText="1"/>
    </xf>
    <xf numFmtId="3" fontId="16" fillId="13" borderId="19" xfId="0" applyNumberFormat="1" applyFont="1" applyFill="1" applyBorder="1" applyAlignment="1">
      <alignment horizontal="right" vertical="center" wrapText="1"/>
    </xf>
    <xf numFmtId="0" fontId="20" fillId="0" borderId="0" xfId="0" applyFont="1" applyAlignment="1">
      <alignment horizontal="left" vertical="center" wrapText="1"/>
    </xf>
    <xf numFmtId="0" fontId="5" fillId="0" borderId="0" xfId="0" applyFont="1" applyFill="1" applyBorder="1"/>
    <xf numFmtId="0" fontId="0" fillId="0" borderId="17" xfId="0" applyFill="1" applyBorder="1"/>
    <xf numFmtId="2" fontId="0" fillId="0" borderId="2" xfId="0" applyNumberFormat="1" applyFill="1" applyBorder="1"/>
    <xf numFmtId="2" fontId="0" fillId="0" borderId="0" xfId="0" applyNumberFormat="1" applyFill="1" applyBorder="1"/>
    <xf numFmtId="0" fontId="0" fillId="0" borderId="1" xfId="0" applyFill="1" applyBorder="1"/>
    <xf numFmtId="0" fontId="21" fillId="0" borderId="15" xfId="0" applyFont="1" applyBorder="1"/>
    <xf numFmtId="0" fontId="22" fillId="0" borderId="15" xfId="0" applyFont="1" applyBorder="1"/>
    <xf numFmtId="166" fontId="21" fillId="0" borderId="15" xfId="10" applyNumberFormat="1" applyFont="1" applyBorder="1"/>
    <xf numFmtId="9" fontId="21" fillId="0" borderId="15" xfId="2" applyFont="1" applyBorder="1"/>
    <xf numFmtId="0" fontId="21" fillId="2" borderId="15" xfId="3" applyFont="1" applyBorder="1"/>
    <xf numFmtId="0" fontId="22" fillId="0" borderId="15" xfId="0" applyFont="1" applyFill="1" applyBorder="1"/>
    <xf numFmtId="166" fontId="21" fillId="0" borderId="15" xfId="10" applyNumberFormat="1" applyFont="1" applyFill="1" applyBorder="1"/>
    <xf numFmtId="166" fontId="21" fillId="2" borderId="15" xfId="10" applyNumberFormat="1" applyFont="1" applyFill="1" applyBorder="1"/>
    <xf numFmtId="9" fontId="0" fillId="0" borderId="1" xfId="0" applyNumberFormat="1" applyBorder="1"/>
    <xf numFmtId="9" fontId="0" fillId="0" borderId="0" xfId="0" applyNumberFormat="1" applyBorder="1"/>
    <xf numFmtId="9" fontId="0" fillId="0" borderId="2" xfId="0" applyNumberFormat="1" applyBorder="1"/>
    <xf numFmtId="0" fontId="22" fillId="0" borderId="17" xfId="0" applyFont="1" applyFill="1" applyBorder="1"/>
    <xf numFmtId="43" fontId="0" fillId="0" borderId="0" xfId="10" applyFont="1"/>
    <xf numFmtId="43" fontId="15" fillId="9" borderId="15" xfId="10" applyFont="1" applyFill="1" applyBorder="1" applyAlignment="1">
      <alignment horizontal="right" wrapText="1" readingOrder="1"/>
    </xf>
    <xf numFmtId="43" fontId="15" fillId="10" borderId="15" xfId="10" applyFont="1" applyFill="1" applyBorder="1" applyAlignment="1">
      <alignment horizontal="right" wrapText="1" readingOrder="1"/>
    </xf>
    <xf numFmtId="43" fontId="15" fillId="8" borderId="15" xfId="10" applyFont="1" applyFill="1" applyBorder="1" applyAlignment="1">
      <alignment horizontal="right" wrapText="1" readingOrder="1"/>
    </xf>
    <xf numFmtId="43" fontId="23" fillId="0" borderId="15" xfId="10" applyFont="1" applyBorder="1"/>
    <xf numFmtId="43" fontId="0" fillId="0" borderId="0" xfId="10" applyFont="1" applyBorder="1"/>
    <xf numFmtId="43" fontId="0" fillId="0" borderId="0" xfId="10" applyFont="1" applyFill="1" applyBorder="1"/>
    <xf numFmtId="43" fontId="15" fillId="10" borderId="15" xfId="0" applyNumberFormat="1" applyFont="1" applyFill="1" applyBorder="1" applyAlignment="1">
      <alignment horizontal="right" wrapText="1" readingOrder="1"/>
    </xf>
    <xf numFmtId="0" fontId="0" fillId="0" borderId="4" xfId="0" applyFill="1" applyBorder="1"/>
    <xf numFmtId="43" fontId="15" fillId="8" borderId="15" xfId="0" applyNumberFormat="1" applyFont="1" applyFill="1" applyBorder="1" applyAlignment="1">
      <alignment horizontal="right" wrapText="1" readingOrder="1"/>
    </xf>
    <xf numFmtId="43" fontId="15" fillId="9" borderId="15" xfId="0" applyNumberFormat="1" applyFont="1" applyFill="1" applyBorder="1" applyAlignment="1">
      <alignment horizontal="right" wrapText="1" readingOrder="1"/>
    </xf>
    <xf numFmtId="0" fontId="24" fillId="0" borderId="0" xfId="0" applyFont="1"/>
    <xf numFmtId="0" fontId="0" fillId="0" borderId="15" xfId="0" applyBorder="1" applyAlignment="1">
      <alignment horizontal="center"/>
    </xf>
    <xf numFmtId="0" fontId="21" fillId="2" borderId="17" xfId="3" applyFont="1" applyBorder="1"/>
    <xf numFmtId="0" fontId="21" fillId="2" borderId="1" xfId="3" applyFont="1" applyBorder="1"/>
    <xf numFmtId="0" fontId="21" fillId="2" borderId="0" xfId="3" applyFont="1" applyBorder="1"/>
    <xf numFmtId="0" fontId="0" fillId="0" borderId="0" xfId="0" applyFill="1" applyBorder="1"/>
    <xf numFmtId="0" fontId="15" fillId="0" borderId="17" xfId="0" applyFont="1" applyFill="1" applyBorder="1" applyAlignment="1">
      <alignment horizontal="center" wrapText="1" readingOrder="1"/>
    </xf>
    <xf numFmtId="0" fontId="23" fillId="0" borderId="0" xfId="0" applyFont="1" applyAlignment="1">
      <alignment horizontal="center"/>
    </xf>
    <xf numFmtId="43" fontId="0" fillId="0" borderId="0" xfId="0" applyNumberFormat="1" applyFill="1" applyBorder="1"/>
    <xf numFmtId="0" fontId="5" fillId="0" borderId="10" xfId="0" applyFont="1" applyBorder="1"/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9" fontId="0" fillId="0" borderId="4" xfId="2" applyFont="1" applyBorder="1"/>
    <xf numFmtId="9" fontId="5" fillId="0" borderId="10" xfId="2" applyFont="1" applyBorder="1"/>
    <xf numFmtId="0" fontId="5" fillId="0" borderId="3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9" fontId="5" fillId="0" borderId="0" xfId="2" applyFont="1" applyBorder="1"/>
    <xf numFmtId="0" fontId="26" fillId="0" borderId="16" xfId="0" applyFont="1" applyBorder="1"/>
    <xf numFmtId="9" fontId="26" fillId="0" borderId="3" xfId="2" applyFont="1" applyBorder="1"/>
    <xf numFmtId="9" fontId="26" fillId="0" borderId="4" xfId="2" applyFont="1" applyBorder="1"/>
    <xf numFmtId="0" fontId="28" fillId="0" borderId="17" xfId="0" applyFont="1" applyBorder="1"/>
    <xf numFmtId="9" fontId="26" fillId="0" borderId="1" xfId="2" applyFont="1" applyBorder="1"/>
    <xf numFmtId="9" fontId="26" fillId="0" borderId="0" xfId="2" applyFont="1" applyBorder="1"/>
    <xf numFmtId="0" fontId="29" fillId="0" borderId="17" xfId="0" applyFont="1" applyBorder="1"/>
    <xf numFmtId="9" fontId="27" fillId="0" borderId="0" xfId="2" applyFont="1" applyBorder="1"/>
    <xf numFmtId="0" fontId="5" fillId="0" borderId="16" xfId="0" applyFont="1" applyBorder="1"/>
    <xf numFmtId="0" fontId="25" fillId="0" borderId="17" xfId="0" applyFont="1" applyBorder="1"/>
    <xf numFmtId="0" fontId="0" fillId="0" borderId="17" xfId="0" applyFont="1" applyBorder="1"/>
    <xf numFmtId="0" fontId="0" fillId="0" borderId="18" xfId="0" applyFont="1" applyBorder="1"/>
    <xf numFmtId="9" fontId="26" fillId="0" borderId="6" xfId="2" applyFont="1" applyBorder="1"/>
    <xf numFmtId="9" fontId="26" fillId="0" borderId="7" xfId="2" applyFont="1" applyBorder="1"/>
    <xf numFmtId="0" fontId="0" fillId="0" borderId="2" xfId="0" applyFill="1" applyBorder="1"/>
    <xf numFmtId="9" fontId="5" fillId="0" borderId="9" xfId="2" applyFont="1" applyBorder="1"/>
    <xf numFmtId="0" fontId="5" fillId="0" borderId="11" xfId="0" applyFont="1" applyBorder="1"/>
    <xf numFmtId="165" fontId="9" fillId="0" borderId="9" xfId="0" applyNumberFormat="1" applyFont="1" applyBorder="1"/>
    <xf numFmtId="165" fontId="9" fillId="0" borderId="15" xfId="0" applyNumberFormat="1" applyFont="1" applyBorder="1"/>
    <xf numFmtId="0" fontId="0" fillId="0" borderId="5" xfId="0" applyFill="1" applyBorder="1"/>
    <xf numFmtId="0" fontId="0" fillId="0" borderId="8" xfId="0" applyFill="1" applyBorder="1"/>
    <xf numFmtId="0" fontId="0" fillId="0" borderId="7" xfId="0" applyFill="1" applyBorder="1"/>
    <xf numFmtId="0" fontId="0" fillId="0" borderId="0" xfId="0" quotePrefix="1"/>
    <xf numFmtId="0" fontId="0" fillId="0" borderId="0" xfId="0" quotePrefix="1" applyAlignment="1">
      <alignment wrapText="1"/>
    </xf>
    <xf numFmtId="0" fontId="0" fillId="14" borderId="0" xfId="0" applyFill="1"/>
    <xf numFmtId="0" fontId="19" fillId="0" borderId="0" xfId="0" applyFont="1" applyAlignment="1">
      <alignment vertical="center"/>
    </xf>
    <xf numFmtId="0" fontId="0" fillId="0" borderId="15" xfId="0" applyBorder="1" applyAlignment="1">
      <alignment wrapText="1"/>
    </xf>
    <xf numFmtId="0" fontId="5" fillId="0" borderId="15" xfId="0" applyFont="1" applyBorder="1" applyAlignment="1">
      <alignment wrapText="1"/>
    </xf>
    <xf numFmtId="0" fontId="0" fillId="15" borderId="0" xfId="0" applyFill="1"/>
    <xf numFmtId="0" fontId="4" fillId="15" borderId="0" xfId="5" applyFill="1"/>
    <xf numFmtId="0" fontId="4" fillId="15" borderId="13" xfId="5" applyFill="1" applyBorder="1"/>
    <xf numFmtId="0" fontId="0" fillId="16" borderId="0" xfId="0" applyFill="1"/>
    <xf numFmtId="0" fontId="4" fillId="16" borderId="0" xfId="5" applyFill="1"/>
    <xf numFmtId="0" fontId="4" fillId="4" borderId="0" xfId="5" applyFont="1" applyFill="1"/>
    <xf numFmtId="0" fontId="10" fillId="5" borderId="12" xfId="7" applyFont="1" applyFill="1" applyBorder="1"/>
    <xf numFmtId="164" fontId="0" fillId="0" borderId="15" xfId="0" applyNumberFormat="1" applyBorder="1"/>
    <xf numFmtId="164" fontId="10" fillId="5" borderId="15" xfId="7" applyNumberFormat="1" applyBorder="1"/>
    <xf numFmtId="164" fontId="0" fillId="14" borderId="15" xfId="0" applyNumberFormat="1" applyFont="1" applyFill="1" applyBorder="1"/>
    <xf numFmtId="0" fontId="12" fillId="0" borderId="15" xfId="0" applyFont="1" applyBorder="1"/>
    <xf numFmtId="0" fontId="4" fillId="4" borderId="15" xfId="5" applyBorder="1"/>
    <xf numFmtId="0" fontId="11" fillId="6" borderId="15" xfId="8" applyBorder="1"/>
    <xf numFmtId="0" fontId="0" fillId="0" borderId="15" xfId="0" applyBorder="1" applyAlignment="1">
      <alignment horizontal="center"/>
    </xf>
    <xf numFmtId="0" fontId="30" fillId="2" borderId="0" xfId="3" applyFont="1"/>
    <xf numFmtId="0" fontId="10" fillId="5" borderId="12" xfId="7" applyFont="1"/>
    <xf numFmtId="0" fontId="11" fillId="6" borderId="13" xfId="8" applyFont="1"/>
    <xf numFmtId="0" fontId="10" fillId="5" borderId="0" xfId="7" applyBorder="1"/>
    <xf numFmtId="0" fontId="10" fillId="5" borderId="28" xfId="7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0" fillId="5" borderId="29" xfId="7" applyBorder="1"/>
    <xf numFmtId="0" fontId="11" fillId="6" borderId="30" xfId="8" applyBorder="1"/>
    <xf numFmtId="0" fontId="10" fillId="5" borderId="31" xfId="7" applyBorder="1"/>
    <xf numFmtId="0" fontId="11" fillId="6" borderId="32" xfId="8" applyBorder="1"/>
    <xf numFmtId="0" fontId="5" fillId="0" borderId="1" xfId="0" applyFont="1" applyBorder="1"/>
    <xf numFmtId="0" fontId="5" fillId="0" borderId="0" xfId="0" applyFont="1" applyBorder="1"/>
    <xf numFmtId="0" fontId="5" fillId="0" borderId="2" xfId="0" applyFont="1" applyBorder="1"/>
    <xf numFmtId="0" fontId="10" fillId="5" borderId="33" xfId="7" applyBorder="1"/>
    <xf numFmtId="0" fontId="10" fillId="5" borderId="34" xfId="7" applyBorder="1"/>
    <xf numFmtId="0" fontId="10" fillId="5" borderId="35" xfId="7" applyBorder="1"/>
    <xf numFmtId="0" fontId="10" fillId="5" borderId="36" xfId="7" applyBorder="1"/>
    <xf numFmtId="0" fontId="11" fillId="6" borderId="37" xfId="8" applyBorder="1"/>
    <xf numFmtId="0" fontId="11" fillId="6" borderId="13" xfId="8" applyBorder="1"/>
    <xf numFmtId="0" fontId="11" fillId="6" borderId="38" xfId="8" applyBorder="1"/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4" fillId="4" borderId="0" xfId="5" applyBorder="1"/>
    <xf numFmtId="166" fontId="31" fillId="0" borderId="0" xfId="10" applyNumberFormat="1" applyFont="1" applyAlignment="1">
      <alignment vertical="center"/>
    </xf>
    <xf numFmtId="166" fontId="0" fillId="0" borderId="0" xfId="10" applyNumberFormat="1" applyFont="1" applyBorder="1"/>
    <xf numFmtId="166" fontId="33" fillId="0" borderId="0" xfId="10" applyNumberFormat="1" applyFont="1" applyAlignment="1">
      <alignment vertical="center"/>
    </xf>
    <xf numFmtId="0" fontId="6" fillId="0" borderId="0" xfId="6" applyAlignment="1">
      <alignment horizontal="left" vertical="center"/>
    </xf>
    <xf numFmtId="0" fontId="6" fillId="0" borderId="0" xfId="6" applyAlignment="1"/>
    <xf numFmtId="166" fontId="5" fillId="0" borderId="0" xfId="10" applyNumberFormat="1" applyFont="1"/>
    <xf numFmtId="0" fontId="5" fillId="0" borderId="15" xfId="0" applyFont="1" applyBorder="1" applyAlignment="1">
      <alignment horizontal="center"/>
    </xf>
    <xf numFmtId="0" fontId="34" fillId="0" borderId="15" xfId="0" applyFont="1" applyBorder="1" applyAlignment="1">
      <alignment vertical="center"/>
    </xf>
    <xf numFmtId="0" fontId="22" fillId="0" borderId="15" xfId="0" applyFont="1" applyBorder="1" applyAlignment="1">
      <alignment vertical="center"/>
    </xf>
    <xf numFmtId="0" fontId="21" fillId="17" borderId="15" xfId="0" applyFont="1" applyFill="1" applyBorder="1"/>
    <xf numFmtId="0" fontId="21" fillId="17" borderId="15" xfId="4" applyFont="1" applyFill="1" applyBorder="1"/>
    <xf numFmtId="0" fontId="21" fillId="17" borderId="15" xfId="3" applyFont="1" applyFill="1" applyBorder="1"/>
    <xf numFmtId="0" fontId="21" fillId="17" borderId="15" xfId="7" applyFont="1" applyFill="1" applyBorder="1"/>
    <xf numFmtId="0" fontId="22" fillId="17" borderId="15" xfId="0" applyFont="1" applyFill="1" applyBorder="1"/>
    <xf numFmtId="0" fontId="21" fillId="17" borderId="0" xfId="7" applyFont="1" applyFill="1" applyBorder="1"/>
    <xf numFmtId="0" fontId="22" fillId="17" borderId="15" xfId="4" applyFont="1" applyFill="1" applyBorder="1"/>
    <xf numFmtId="0" fontId="22" fillId="17" borderId="15" xfId="7" applyFont="1" applyFill="1" applyBorder="1"/>
    <xf numFmtId="9" fontId="0" fillId="17" borderId="15" xfId="2" applyFont="1" applyFill="1" applyBorder="1"/>
    <xf numFmtId="0" fontId="0" fillId="17" borderId="15" xfId="0" applyFill="1" applyBorder="1"/>
    <xf numFmtId="9" fontId="0" fillId="17" borderId="15" xfId="0" applyNumberFormat="1" applyFill="1" applyBorder="1"/>
    <xf numFmtId="0" fontId="21" fillId="17" borderId="1" xfId="0" applyFont="1" applyFill="1" applyBorder="1"/>
    <xf numFmtId="0" fontId="3" fillId="18" borderId="15" xfId="4" applyFill="1" applyBorder="1"/>
    <xf numFmtId="9" fontId="0" fillId="0" borderId="0" xfId="2" applyFont="1" applyBorder="1" applyAlignment="1"/>
    <xf numFmtId="0" fontId="0" fillId="0" borderId="15" xfId="0" applyBorder="1" applyAlignment="1"/>
    <xf numFmtId="0" fontId="0" fillId="0" borderId="9" xfId="0" applyBorder="1" applyAlignment="1"/>
    <xf numFmtId="0" fontId="0" fillId="0" borderId="7" xfId="0" applyBorder="1" applyAlignment="1"/>
    <xf numFmtId="22" fontId="0" fillId="0" borderId="0" xfId="0" applyNumberFormat="1"/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166" fontId="21" fillId="0" borderId="0" xfId="10" applyNumberFormat="1" applyFont="1" applyFill="1" applyBorder="1"/>
    <xf numFmtId="0" fontId="23" fillId="0" borderId="15" xfId="0" applyFont="1" applyBorder="1" applyAlignment="1">
      <alignment horizontal="center"/>
    </xf>
    <xf numFmtId="9" fontId="0" fillId="0" borderId="0" xfId="0" applyNumberFormat="1"/>
    <xf numFmtId="0" fontId="0" fillId="0" borderId="0" xfId="2" applyNumberFormat="1" applyFont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Border="1" applyAlignment="1">
      <alignment horizontal="center"/>
    </xf>
    <xf numFmtId="2" fontId="25" fillId="0" borderId="0" xfId="0" applyNumberFormat="1" applyFont="1" applyBorder="1"/>
    <xf numFmtId="2" fontId="21" fillId="0" borderId="0" xfId="0" applyNumberFormat="1" applyFont="1" applyBorder="1"/>
    <xf numFmtId="166" fontId="21" fillId="0" borderId="0" xfId="10" applyNumberFormat="1" applyFont="1" applyBorder="1"/>
    <xf numFmtId="2" fontId="0" fillId="0" borderId="4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25" fillId="0" borderId="0" xfId="0" applyNumberFormat="1" applyFont="1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1" xfId="0" quotePrefix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21" fillId="0" borderId="0" xfId="0" applyNumberFormat="1" applyFont="1" applyBorder="1" applyAlignment="1">
      <alignment horizontal="center"/>
    </xf>
    <xf numFmtId="2" fontId="21" fillId="0" borderId="2" xfId="0" applyNumberFormat="1" applyFon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" xfId="0" quotePrefix="1" applyNumberFormat="1" applyBorder="1" applyAlignment="1">
      <alignment horizontal="center"/>
    </xf>
    <xf numFmtId="2" fontId="0" fillId="0" borderId="0" xfId="0" quotePrefix="1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170" fontId="0" fillId="0" borderId="0" xfId="2" applyNumberFormat="1" applyFont="1" applyBorder="1"/>
    <xf numFmtId="9" fontId="21" fillId="0" borderId="0" xfId="2" applyFont="1" applyBorder="1"/>
    <xf numFmtId="170" fontId="21" fillId="0" borderId="0" xfId="4" applyNumberFormat="1" applyFont="1" applyFill="1" applyBorder="1"/>
    <xf numFmtId="2" fontId="21" fillId="0" borderId="0" xfId="0" applyNumberFormat="1" applyFont="1" applyFill="1" applyBorder="1" applyAlignment="1">
      <alignment horizontal="center"/>
    </xf>
    <xf numFmtId="2" fontId="21" fillId="0" borderId="0" xfId="0" quotePrefix="1" applyNumberFormat="1" applyFont="1" applyBorder="1" applyAlignment="1">
      <alignment horizontal="center"/>
    </xf>
    <xf numFmtId="2" fontId="21" fillId="3" borderId="0" xfId="4" applyNumberFormat="1" applyFont="1" applyBorder="1"/>
    <xf numFmtId="0" fontId="0" fillId="0" borderId="9" xfId="0" applyBorder="1"/>
    <xf numFmtId="2" fontId="0" fillId="0" borderId="1" xfId="0" applyNumberFormat="1" applyFill="1" applyBorder="1"/>
    <xf numFmtId="2" fontId="21" fillId="0" borderId="1" xfId="0" applyNumberFormat="1" applyFont="1" applyBorder="1"/>
    <xf numFmtId="0" fontId="21" fillId="0" borderId="2" xfId="0" applyFont="1" applyBorder="1"/>
    <xf numFmtId="0" fontId="0" fillId="0" borderId="1" xfId="0" applyBorder="1" applyAlignment="1"/>
    <xf numFmtId="0" fontId="3" fillId="3" borderId="17" xfId="4" applyBorder="1"/>
    <xf numFmtId="9" fontId="21" fillId="0" borderId="2" xfId="2" applyFont="1" applyBorder="1"/>
    <xf numFmtId="0" fontId="5" fillId="0" borderId="0" xfId="0" applyFont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4" fontId="5" fillId="0" borderId="10" xfId="1" applyFont="1" applyBorder="1" applyAlignment="1">
      <alignment horizontal="center"/>
    </xf>
    <xf numFmtId="44" fontId="5" fillId="0" borderId="11" xfId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Border="1" applyAlignment="1">
      <alignment horizontal="center"/>
    </xf>
    <xf numFmtId="0" fontId="0" fillId="0" borderId="1" xfId="0" applyBorder="1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7" borderId="0" xfId="9" applyFont="1" applyAlignment="1">
      <alignment horizontal="center"/>
    </xf>
    <xf numFmtId="0" fontId="1" fillId="7" borderId="0" xfId="9" applyAlignment="1">
      <alignment horizontal="center"/>
    </xf>
    <xf numFmtId="0" fontId="0" fillId="0" borderId="14" xfId="0" applyBorder="1" applyAlignment="1">
      <alignment horizontal="center"/>
    </xf>
    <xf numFmtId="0" fontId="4" fillId="4" borderId="0" xfId="5" applyAlignment="1">
      <alignment horizontal="center"/>
    </xf>
    <xf numFmtId="0" fontId="0" fillId="0" borderId="1" xfId="0" applyBorder="1" applyAlignment="1">
      <alignment horizontal="center" wrapText="1"/>
    </xf>
    <xf numFmtId="0" fontId="5" fillId="0" borderId="1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70" fontId="0" fillId="0" borderId="0" xfId="0" applyNumberFormat="1" applyBorder="1"/>
    <xf numFmtId="17" fontId="0" fillId="0" borderId="0" xfId="0" applyNumberFormat="1"/>
    <xf numFmtId="0" fontId="21" fillId="0" borderId="0" xfId="0" applyFont="1"/>
    <xf numFmtId="0" fontId="25" fillId="3" borderId="0" xfId="4" applyFont="1"/>
    <xf numFmtId="9" fontId="0" fillId="0" borderId="0" xfId="2" applyFont="1" applyFill="1" applyBorder="1"/>
    <xf numFmtId="2" fontId="21" fillId="0" borderId="0" xfId="0" applyNumberFormat="1" applyFont="1" applyFill="1" applyBorder="1"/>
    <xf numFmtId="0" fontId="0" fillId="0" borderId="0" xfId="0" applyFont="1" applyFill="1" applyBorder="1"/>
    <xf numFmtId="170" fontId="0" fillId="0" borderId="0" xfId="2" applyNumberFormat="1" applyFont="1" applyFill="1" applyBorder="1"/>
  </cellXfs>
  <cellStyles count="11">
    <cellStyle name="20% - Accent6" xfId="9" builtinId="50"/>
    <cellStyle name="Bad" xfId="4" builtinId="27"/>
    <cellStyle name="Calculation" xfId="8" builtinId="22"/>
    <cellStyle name="Check Cell" xfId="7" builtinId="23"/>
    <cellStyle name="Comma" xfId="10" builtinId="3"/>
    <cellStyle name="Currency" xfId="1" builtinId="4"/>
    <cellStyle name="Good" xfId="3" builtinId="26"/>
    <cellStyle name="Hyperlink" xfId="6" builtinId="8"/>
    <cellStyle name="Neutral" xfId="5" builtinId="28"/>
    <cellStyle name="Normal" xfId="0" builtinId="0"/>
    <cellStyle name="Percent" xfId="2" builtinId="5"/>
  </cellStyles>
  <dxfs count="1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FF0000"/>
      </font>
      <fill>
        <patternFill>
          <bgColor rgb="FFFFD3D3"/>
        </patternFill>
      </fill>
    </dxf>
    <dxf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FF0000"/>
      </font>
      <fill>
        <patternFill>
          <bgColor rgb="FFFFD3D3"/>
        </patternFill>
      </fill>
    </dxf>
    <dxf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rgb="FFC00000"/>
      </font>
      <fill>
        <patternFill>
          <bgColor rgb="FFFFCCCC"/>
        </patternFill>
      </fill>
    </dxf>
    <dxf>
      <font>
        <color theme="0"/>
      </font>
      <fill>
        <patternFill>
          <bgColor theme="9"/>
        </patternFill>
      </fill>
    </dxf>
    <dxf>
      <font>
        <color theme="9"/>
      </font>
      <fill>
        <patternFill>
          <bgColor theme="9"/>
        </patternFill>
      </fill>
    </dxf>
    <dxf>
      <fill>
        <patternFill patternType="none">
          <bgColor auto="1"/>
        </patternFill>
      </fill>
    </dxf>
    <dxf>
      <font>
        <color theme="9"/>
      </font>
      <fill>
        <patternFill>
          <bgColor theme="9"/>
        </patternFill>
      </fill>
    </dxf>
    <dxf>
      <font>
        <color rgb="FFFFC000"/>
      </font>
      <fill>
        <patternFill>
          <bgColor rgb="FFFFC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C000"/>
      </font>
      <fill>
        <patternFill>
          <bgColor rgb="FFFFC000"/>
        </patternFill>
      </fill>
    </dxf>
    <dxf>
      <font>
        <color theme="9"/>
      </font>
      <fill>
        <patternFill>
          <bgColor theme="9"/>
        </patternFill>
      </fill>
    </dxf>
    <dxf>
      <font>
        <color rgb="FFFFC000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C7CE"/>
      <color rgb="FFFFD3D3"/>
      <color rgb="FFFFCCCC"/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96478565179353"/>
                  <c:y val="-4.74066783318751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'Overall Comp'!$A$62:$A$63</c:f>
              <c:numCache>
                <c:formatCode>General</c:formatCode>
                <c:ptCount val="2"/>
                <c:pt idx="0">
                  <c:v>1</c:v>
                </c:pt>
                <c:pt idx="1">
                  <c:v>20</c:v>
                </c:pt>
              </c:numCache>
            </c:numRef>
          </c:xVal>
          <c:yVal>
            <c:numRef>
              <c:f>'Overall Comp'!$B$62:$B$63</c:f>
              <c:numCache>
                <c:formatCode>General</c:formatCode>
                <c:ptCount val="2"/>
                <c:pt idx="0">
                  <c:v>3.3333333333333333E-2</c:v>
                </c:pt>
                <c:pt idx="1">
                  <c:v>2.5666666666666664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1-469C-9B3B-63A564B58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020128"/>
        <c:axId val="857019472"/>
      </c:scatterChart>
      <c:valAx>
        <c:axId val="85702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19472"/>
        <c:crosses val="autoZero"/>
        <c:crossBetween val="midCat"/>
      </c:valAx>
      <c:valAx>
        <c:axId val="857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2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'Overall Comp'!$A$53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('Overall Comp'!$F$53,'Overall Comp'!$M$53,'Overall Comp'!$T$53)</c:f>
              <c:numCache>
                <c:formatCode>_(* #,##0.00_);_(* \(#,##0.00\);_(* "-"??_);_(@_)</c:formatCode>
                <c:ptCount val="3"/>
                <c:pt idx="0">
                  <c:v>0.9749489894349761</c:v>
                </c:pt>
                <c:pt idx="1">
                  <c:v>0.99660493117842808</c:v>
                </c:pt>
                <c:pt idx="2">
                  <c:v>0.93147555124018333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66-498B-8ABD-A05D88537589}"/>
            </c:ext>
          </c:extLst>
        </c:ser>
        <c:ser>
          <c:idx val="7"/>
          <c:order val="1"/>
          <c:tx>
            <c:strRef>
              <c:f>'Overall Comp'!$A$57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('Overall Comp'!$F$57,'Overall Comp'!$M$57,'Overall Comp'!$T$57)</c:f>
              <c:numCache>
                <c:formatCode>_(* #,##0.00_);_(* \(#,##0.00\);_(* "-"??_);_(@_)</c:formatCode>
                <c:ptCount val="3"/>
                <c:pt idx="0">
                  <c:v>0.91072675766608757</c:v>
                </c:pt>
                <c:pt idx="1">
                  <c:v>0.8035662857063548</c:v>
                </c:pt>
                <c:pt idx="2">
                  <c:v>0.76944952331113747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66-498B-8ABD-A05D88537589}"/>
            </c:ext>
          </c:extLst>
        </c:ser>
        <c:ser>
          <c:idx val="2"/>
          <c:order val="2"/>
          <c:tx>
            <c:strRef>
              <c:f>'Overall Comp'!$A$50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'Overall Comp'!$B$27:$G$27</c:f>
              <c:numCache>
                <c:formatCode>General</c:formatCode>
                <c:ptCount val="6"/>
                <c:pt idx="0">
                  <c:v>1996773</c:v>
                </c:pt>
                <c:pt idx="1">
                  <c:v>496354</c:v>
                </c:pt>
                <c:pt idx="2">
                  <c:v>385302</c:v>
                </c:pt>
                <c:pt idx="3">
                  <c:v>394142</c:v>
                </c:pt>
                <c:pt idx="4">
                  <c:v>223514</c:v>
                </c:pt>
              </c:numCache>
            </c:numRef>
          </c:cat>
          <c:val>
            <c:numRef>
              <c:f>('Overall Comp'!$F$50,'Overall Comp'!$M$50,'Overall Comp'!$T$50)</c:f>
              <c:numCache>
                <c:formatCode>_(* #,##0.00_);_(* \(#,##0.00\);_(* "-"??_);_(@_)</c:formatCode>
                <c:ptCount val="3"/>
                <c:pt idx="0">
                  <c:v>0.51819981985790042</c:v>
                </c:pt>
                <c:pt idx="1">
                  <c:v>0.49557090100961759</c:v>
                </c:pt>
                <c:pt idx="2">
                  <c:v>0.49358772621596064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66-498B-8ABD-A05D88537589}"/>
            </c:ext>
          </c:extLst>
        </c:ser>
        <c:ser>
          <c:idx val="4"/>
          <c:order val="3"/>
          <c:tx>
            <c:strRef>
              <c:f>'Overall Comp'!$A$54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('Overall Comp'!$F$54,'Overall Comp'!$M$54,'Overall Comp'!$T$54)</c:f>
              <c:numCache>
                <c:formatCode>_(* #,##0.00_);_(* \(#,##0.00\);_(* "-"??_);_(@_)</c:formatCode>
                <c:ptCount val="3"/>
                <c:pt idx="0">
                  <c:v>0.79701421566247665</c:v>
                </c:pt>
                <c:pt idx="1">
                  <c:v>0.77605946791412028</c:v>
                </c:pt>
                <c:pt idx="2">
                  <c:v>0.83029407074116013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66-498B-8ABD-A05D88537589}"/>
            </c:ext>
          </c:extLst>
        </c:ser>
        <c:ser>
          <c:idx val="0"/>
          <c:order val="4"/>
          <c:tx>
            <c:strRef>
              <c:f>'Overall Comp'!$A$51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('Overall Comp'!$F$51,'Overall Comp'!$M$51,'Overall Comp'!$T$51)</c:f>
              <c:numCache>
                <c:formatCode>_(* #,##0.00_);_(* \(#,##0.00\);_(* "-"??_);_(@_)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0.62430727327455504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66-498B-8ABD-A05D88537589}"/>
            </c:ext>
          </c:extLst>
        </c:ser>
        <c:ser>
          <c:idx val="1"/>
          <c:order val="5"/>
          <c:tx>
            <c:strRef>
              <c:f>'Overall Comp'!$A$52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('Overall Comp'!$F$52,'Overall Comp'!$M$52,'Overall Comp'!$T$52)</c:f>
              <c:numCache>
                <c:formatCode>_(* #,##0.00_);_(* \(#,##0.00\);_(* "-"??_);_(@_)</c:formatCode>
                <c:ptCount val="3"/>
                <c:pt idx="0">
                  <c:v>0.47206837808983665</c:v>
                </c:pt>
                <c:pt idx="1">
                  <c:v>0.5067889204892283</c:v>
                </c:pt>
                <c:pt idx="2">
                  <c:v>0.49332069381253252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66-498B-8ABD-A05D88537589}"/>
            </c:ext>
          </c:extLst>
        </c:ser>
        <c:ser>
          <c:idx val="5"/>
          <c:order val="6"/>
          <c:tx>
            <c:strRef>
              <c:f>'Overall Comp'!$A$55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('Overall Comp'!$F$55,'Overall Comp'!$M$55,'Overall Comp'!$T$55)</c:f>
              <c:numCache>
                <c:formatCode>_(* #,##0.00_);_(* \(#,##0.00\);_(* "-"??_);_(@_)</c:formatCode>
                <c:ptCount val="3"/>
                <c:pt idx="0">
                  <c:v>0.63411606487360628</c:v>
                </c:pt>
                <c:pt idx="1">
                  <c:v>0.36761736507344395</c:v>
                </c:pt>
                <c:pt idx="2">
                  <c:v>0.31990771703427867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66-498B-8ABD-A05D88537589}"/>
            </c:ext>
          </c:extLst>
        </c:ser>
        <c:ser>
          <c:idx val="8"/>
          <c:order val="7"/>
          <c:tx>
            <c:strRef>
              <c:f>'Overall Comp'!$A$58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('Overall Comp'!$F$58,'Overall Comp'!$M$58,'Overall Comp'!$T$58)</c:f>
              <c:numCache>
                <c:formatCode>_(* #,##0.00_);_(* \(#,##0.00\);_(* "-"??_);_(@_)</c:formatCode>
                <c:ptCount val="3"/>
                <c:pt idx="0">
                  <c:v>0.16350229709913708</c:v>
                </c:pt>
                <c:pt idx="1">
                  <c:v>0.12331978796641432</c:v>
                </c:pt>
                <c:pt idx="2">
                  <c:v>0.11919932419410445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66-498B-8ABD-A05D88537589}"/>
            </c:ext>
          </c:extLst>
        </c:ser>
        <c:ser>
          <c:idx val="6"/>
          <c:order val="8"/>
          <c:tx>
            <c:strRef>
              <c:f>'Overall Comp'!$A$56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('Overall Comp'!$F$56,'Overall Comp'!$M$56,'Overall Comp'!$T$56)</c:f>
              <c:numCache>
                <c:formatCode>_(* #,##0.00_);_(* \(#,##0.00\);_(* "-"??_);_(@_)</c:formatCode>
                <c:ptCount val="3"/>
                <c:pt idx="0">
                  <c:v>0.69526302927045758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66-498B-8ABD-A05D88537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737600"/>
        <c:axId val="779736288"/>
      </c:lineChart>
      <c:catAx>
        <c:axId val="77973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Coverage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36288"/>
        <c:crosses val="autoZero"/>
        <c:auto val="1"/>
        <c:lblAlgn val="ctr"/>
        <c:lblOffset val="100"/>
        <c:noMultiLvlLbl val="0"/>
      </c:catAx>
      <c:valAx>
        <c:axId val="779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376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Direct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'Overall Comp'!$B$12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Comp'!$B$13:$B$17</c:f>
              <c:numCache>
                <c:formatCode>General</c:formatCode>
                <c:ptCount val="5"/>
                <c:pt idx="0">
                  <c:v>0.78938746059477449</c:v>
                </c:pt>
                <c:pt idx="1">
                  <c:v>0.90220203615275241</c:v>
                </c:pt>
                <c:pt idx="2">
                  <c:v>0.85669033117077176</c:v>
                </c:pt>
                <c:pt idx="3">
                  <c:v>0.86272295949962374</c:v>
                </c:pt>
                <c:pt idx="4">
                  <c:v>0.85355173150769048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66-4EA6-9F6B-FF2008AB08A2}"/>
            </c:ext>
          </c:extLst>
        </c:ser>
        <c:ser>
          <c:idx val="0"/>
          <c:order val="1"/>
          <c:tx>
            <c:strRef>
              <c:f>'Overall Comp'!$D$12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330B-4D8E-9ED4-6FC201A6AB18}"/>
              </c:ext>
            </c:extLst>
          </c:dPt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Comp'!$D$13:$D$17</c:f>
              <c:numCache>
                <c:formatCode>General</c:formatCode>
                <c:ptCount val="5"/>
                <c:pt idx="0">
                  <c:v>0.54443414276500979</c:v>
                </c:pt>
                <c:pt idx="1">
                  <c:v>0.54805126120275316</c:v>
                </c:pt>
                <c:pt idx="2">
                  <c:v>0.54906581892687545</c:v>
                </c:pt>
                <c:pt idx="3">
                  <c:v>0.67562772156223361</c:v>
                </c:pt>
                <c:pt idx="4">
                  <c:v>0.69138197684022651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6-4EA6-9F6B-FF2008AB08A2}"/>
            </c:ext>
          </c:extLst>
        </c:ser>
        <c:ser>
          <c:idx val="7"/>
          <c:order val="2"/>
          <c:tx>
            <c:strRef>
              <c:f>'Overall Comp'!$C$12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Comp'!$C$13:$C$17</c:f>
              <c:numCache>
                <c:formatCode>General</c:formatCode>
                <c:ptCount val="5"/>
                <c:pt idx="0">
                  <c:v>0.76295381399470275</c:v>
                </c:pt>
                <c:pt idx="1">
                  <c:v>0.63689626675224797</c:v>
                </c:pt>
                <c:pt idx="2">
                  <c:v>0.61535741626944762</c:v>
                </c:pt>
                <c:pt idx="3">
                  <c:v>0.66532487733960199</c:v>
                </c:pt>
                <c:pt idx="4">
                  <c:v>0.69417591695072089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66-4EA6-9F6B-FF2008AB08A2}"/>
            </c:ext>
          </c:extLst>
        </c:ser>
        <c:ser>
          <c:idx val="4"/>
          <c:order val="3"/>
          <c:tx>
            <c:strRef>
              <c:f>'Overall Comp'!$E$12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Comp'!$E$13:$E$17</c:f>
              <c:numCache>
                <c:formatCode>General</c:formatCode>
                <c:ptCount val="5"/>
                <c:pt idx="0">
                  <c:v>0.63456198918588602</c:v>
                </c:pt>
                <c:pt idx="1">
                  <c:v>0.60099369770864453</c:v>
                </c:pt>
                <c:pt idx="2">
                  <c:v>0.66770148473394952</c:v>
                </c:pt>
                <c:pt idx="3">
                  <c:v>0.6030179534544905</c:v>
                </c:pt>
                <c:pt idx="4">
                  <c:v>0.60003940935484934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66-4EA6-9F6B-FF2008AB08A2}"/>
            </c:ext>
          </c:extLst>
        </c:ser>
        <c:ser>
          <c:idx val="2"/>
          <c:order val="4"/>
          <c:tx>
            <c:strRef>
              <c:f>'Overall Comp'!$F$12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Comp'!$F$13:$F$17</c:f>
              <c:numCache>
                <c:formatCode>General</c:formatCode>
                <c:ptCount val="5"/>
                <c:pt idx="0">
                  <c:v>0.41499039172985031</c:v>
                </c:pt>
                <c:pt idx="1">
                  <c:v>0.45703248744796049</c:v>
                </c:pt>
                <c:pt idx="2">
                  <c:v>0.45374238657541427</c:v>
                </c:pt>
                <c:pt idx="3">
                  <c:v>0.56762762152635826</c:v>
                </c:pt>
                <c:pt idx="4">
                  <c:v>0.56922480640168271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66-4EA6-9F6B-FF2008AB08A2}"/>
            </c:ext>
          </c:extLst>
        </c:ser>
        <c:ser>
          <c:idx val="6"/>
          <c:order val="5"/>
          <c:tx>
            <c:strRef>
              <c:f>'Overall Comp'!$G$12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Comp'!$G$13:$G$17</c:f>
              <c:numCache>
                <c:formatCode>General</c:formatCode>
                <c:ptCount val="5"/>
                <c:pt idx="0">
                  <c:v>0.54428220110310832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66-4EA6-9F6B-FF2008AB08A2}"/>
            </c:ext>
          </c:extLst>
        </c:ser>
        <c:ser>
          <c:idx val="1"/>
          <c:order val="6"/>
          <c:tx>
            <c:strRef>
              <c:f>'Overall Comp'!$H$12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Comp'!$H$13:$H$17</c:f>
              <c:numCache>
                <c:formatCode>General</c:formatCode>
                <c:ptCount val="5"/>
                <c:pt idx="2">
                  <c:v>0.53261735691463652</c:v>
                </c:pt>
                <c:pt idx="3">
                  <c:v>0.46349145856168922</c:v>
                </c:pt>
                <c:pt idx="4">
                  <c:v>0.51674605590245315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6-4EA6-9F6B-FF2008AB08A2}"/>
            </c:ext>
          </c:extLst>
        </c:ser>
        <c:ser>
          <c:idx val="5"/>
          <c:order val="7"/>
          <c:tx>
            <c:strRef>
              <c:f>'Overall Comp'!$I$12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Comp'!$I$13:$I$17</c:f>
              <c:numCache>
                <c:formatCode>General</c:formatCode>
                <c:ptCount val="5"/>
                <c:pt idx="0">
                  <c:v>0.52193553320713826</c:v>
                </c:pt>
                <c:pt idx="1">
                  <c:v>0.38192585325012202</c:v>
                </c:pt>
                <c:pt idx="2">
                  <c:v>0.36187363325360955</c:v>
                </c:pt>
                <c:pt idx="3">
                  <c:v>0.38823179240084149</c:v>
                </c:pt>
                <c:pt idx="4">
                  <c:v>0.38261852524976736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66-4EA6-9F6B-FF2008AB08A2}"/>
            </c:ext>
          </c:extLst>
        </c:ser>
        <c:ser>
          <c:idx val="8"/>
          <c:order val="8"/>
          <c:tx>
            <c:strRef>
              <c:f>'Overall Comp'!$J$12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Comp'!$A$13:$A$17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Comp'!$J$13:$J$17</c:f>
              <c:numCache>
                <c:formatCode>General</c:formatCode>
                <c:ptCount val="5"/>
                <c:pt idx="0">
                  <c:v>0.28859768365285343</c:v>
                </c:pt>
                <c:pt idx="1">
                  <c:v>0.2591241000307356</c:v>
                </c:pt>
                <c:pt idx="2">
                  <c:v>0.2609909709514</c:v>
                </c:pt>
                <c:pt idx="3">
                  <c:v>0.2556029109579398</c:v>
                </c:pt>
                <c:pt idx="4">
                  <c:v>0.21679096427602967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66-4EA6-9F6B-FF2008AB0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12832"/>
        <c:axId val="395163920"/>
      </c:lineChart>
      <c:catAx>
        <c:axId val="5189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63920"/>
        <c:crosses val="autoZero"/>
        <c:auto val="1"/>
        <c:lblAlgn val="ctr"/>
        <c:lblOffset val="100"/>
        <c:noMultiLvlLbl val="0"/>
      </c:catAx>
      <c:valAx>
        <c:axId val="3951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Z-score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'Overall Comp'!$B$18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Comp'!$B$19:$B$23</c:f>
              <c:numCache>
                <c:formatCode>General</c:formatCode>
                <c:ptCount val="5"/>
                <c:pt idx="0">
                  <c:v>0.9749489894349761</c:v>
                </c:pt>
                <c:pt idx="1">
                  <c:v>0.99660493117842808</c:v>
                </c:pt>
                <c:pt idx="2">
                  <c:v>0.93147555124018333</c:v>
                </c:pt>
                <c:pt idx="3">
                  <c:v>0.97748146257281188</c:v>
                </c:pt>
                <c:pt idx="4">
                  <c:v>0.95064569039332358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B5-46B6-8639-F3145F97D329}"/>
            </c:ext>
          </c:extLst>
        </c:ser>
        <c:ser>
          <c:idx val="0"/>
          <c:order val="1"/>
          <c:tx>
            <c:strRef>
              <c:f>'Overall Comp'!$D$18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Comp'!$D$19:$D$23</c:f>
              <c:numCache>
                <c:formatCode>General</c:formatCode>
                <c:ptCount val="5"/>
                <c:pt idx="0">
                  <c:v>0.51819981985790042</c:v>
                </c:pt>
                <c:pt idx="1">
                  <c:v>0.49557090100961759</c:v>
                </c:pt>
                <c:pt idx="2">
                  <c:v>0.49358772621596064</c:v>
                </c:pt>
                <c:pt idx="3">
                  <c:v>0.77268270352669233</c:v>
                </c:pt>
                <c:pt idx="4">
                  <c:v>0.81181656831906113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5-46B6-8639-F3145F97D329}"/>
            </c:ext>
          </c:extLst>
        </c:ser>
        <c:ser>
          <c:idx val="7"/>
          <c:order val="2"/>
          <c:tx>
            <c:strRef>
              <c:f>'Overall Comp'!$C$18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Comp'!$C$19:$C$23</c:f>
              <c:numCache>
                <c:formatCode>General</c:formatCode>
                <c:ptCount val="5"/>
                <c:pt idx="0">
                  <c:v>0.91072675766608757</c:v>
                </c:pt>
                <c:pt idx="1">
                  <c:v>0.8035662857063548</c:v>
                </c:pt>
                <c:pt idx="2">
                  <c:v>0.76944952331113747</c:v>
                </c:pt>
                <c:pt idx="3">
                  <c:v>0.86068962326802323</c:v>
                </c:pt>
                <c:pt idx="4">
                  <c:v>0.8950604575032588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B5-46B6-8639-F3145F97D329}"/>
            </c:ext>
          </c:extLst>
        </c:ser>
        <c:ser>
          <c:idx val="4"/>
          <c:order val="3"/>
          <c:tx>
            <c:strRef>
              <c:f>'Overall Comp'!$E$18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Comp'!$E$19:$E$23</c:f>
              <c:numCache>
                <c:formatCode>General</c:formatCode>
                <c:ptCount val="5"/>
                <c:pt idx="0">
                  <c:v>0.79701421566247665</c:v>
                </c:pt>
                <c:pt idx="1">
                  <c:v>0.77605946791412028</c:v>
                </c:pt>
                <c:pt idx="2">
                  <c:v>0.83029407074116013</c:v>
                </c:pt>
                <c:pt idx="3">
                  <c:v>0.78643822900828231</c:v>
                </c:pt>
                <c:pt idx="4">
                  <c:v>0.80085416476935412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B5-46B6-8639-F3145F97D329}"/>
            </c:ext>
          </c:extLst>
        </c:ser>
        <c:ser>
          <c:idx val="2"/>
          <c:order val="4"/>
          <c:tx>
            <c:strRef>
              <c:f>'Overall Comp'!$F$18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Comp'!$F$19:$F$23</c:f>
              <c:numCache>
                <c:formatCode>General</c:formatCode>
                <c:ptCount val="5"/>
                <c:pt idx="0">
                  <c:v>0.47206837808983665</c:v>
                </c:pt>
                <c:pt idx="1">
                  <c:v>0.5067889204892283</c:v>
                </c:pt>
                <c:pt idx="2">
                  <c:v>0.49332069381253252</c:v>
                </c:pt>
                <c:pt idx="3">
                  <c:v>0.75136609533547416</c:v>
                </c:pt>
                <c:pt idx="4">
                  <c:v>0.76440975390134192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B5-46B6-8639-F3145F97D329}"/>
            </c:ext>
          </c:extLst>
        </c:ser>
        <c:ser>
          <c:idx val="6"/>
          <c:order val="5"/>
          <c:tx>
            <c:strRef>
              <c:f>'Overall Comp'!$G$18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Comp'!$G$19:$G$23</c:f>
              <c:numCache>
                <c:formatCode>General</c:formatCode>
                <c:ptCount val="5"/>
                <c:pt idx="0">
                  <c:v>0.69526302927045758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B5-46B6-8639-F3145F97D329}"/>
            </c:ext>
          </c:extLst>
        </c:ser>
        <c:ser>
          <c:idx val="1"/>
          <c:order val="6"/>
          <c:tx>
            <c:strRef>
              <c:f>'Overall Comp'!$H$18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Comp'!$H$19:$H$23</c:f>
              <c:numCache>
                <c:formatCode>General</c:formatCode>
                <c:ptCount val="5"/>
                <c:pt idx="2">
                  <c:v>0.62430727327455504</c:v>
                </c:pt>
                <c:pt idx="3">
                  <c:v>0.47661994256571111</c:v>
                </c:pt>
                <c:pt idx="4">
                  <c:v>0.63867761615864893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5-46B6-8639-F3145F97D329}"/>
            </c:ext>
          </c:extLst>
        </c:ser>
        <c:ser>
          <c:idx val="5"/>
          <c:order val="7"/>
          <c:tx>
            <c:strRef>
              <c:f>'Overall Comp'!$I$18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Comp'!$I$19:$I$23</c:f>
              <c:numCache>
                <c:formatCode>General</c:formatCode>
                <c:ptCount val="5"/>
                <c:pt idx="0">
                  <c:v>0.63411606487360628</c:v>
                </c:pt>
                <c:pt idx="1">
                  <c:v>0.36761736507344395</c:v>
                </c:pt>
                <c:pt idx="2">
                  <c:v>0.31990771703427867</c:v>
                </c:pt>
                <c:pt idx="3">
                  <c:v>0.41922134947903184</c:v>
                </c:pt>
                <c:pt idx="4">
                  <c:v>0.44007709153781843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B5-46B6-8639-F3145F97D329}"/>
            </c:ext>
          </c:extLst>
        </c:ser>
        <c:ser>
          <c:idx val="8"/>
          <c:order val="8"/>
          <c:tx>
            <c:strRef>
              <c:f>'Overall Comp'!$J$18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Comp'!$A$19:$A$23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Comp'!$J$19:$J$23</c:f>
              <c:numCache>
                <c:formatCode>General</c:formatCode>
                <c:ptCount val="5"/>
                <c:pt idx="0">
                  <c:v>0.16350229709913708</c:v>
                </c:pt>
                <c:pt idx="1">
                  <c:v>0.12331978796641432</c:v>
                </c:pt>
                <c:pt idx="2">
                  <c:v>0.11919932419410445</c:v>
                </c:pt>
                <c:pt idx="3">
                  <c:v>0.1454651165715854</c:v>
                </c:pt>
                <c:pt idx="4">
                  <c:v>0.12021511421162119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B5-46B6-8639-F3145F97D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868152"/>
        <c:axId val="685874056"/>
      </c:lineChart>
      <c:catAx>
        <c:axId val="68586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74056"/>
        <c:crosses val="autoZero"/>
        <c:auto val="1"/>
        <c:lblAlgn val="ctr"/>
        <c:lblOffset val="100"/>
        <c:noMultiLvlLbl val="0"/>
      </c:catAx>
      <c:valAx>
        <c:axId val="6858740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Z-score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6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N50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'Overall Comp'!$B$24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Comp'!$B$25:$B$29</c:f>
              <c:numCache>
                <c:formatCode>General</c:formatCode>
                <c:ptCount val="5"/>
                <c:pt idx="0">
                  <c:v>201518</c:v>
                </c:pt>
                <c:pt idx="1">
                  <c:v>1202159</c:v>
                </c:pt>
                <c:pt idx="2">
                  <c:v>1996773</c:v>
                </c:pt>
                <c:pt idx="3">
                  <c:v>2215799</c:v>
                </c:pt>
                <c:pt idx="4">
                  <c:v>2215799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6D-40AC-A573-A92AE1817455}"/>
            </c:ext>
          </c:extLst>
        </c:ser>
        <c:ser>
          <c:idx val="8"/>
          <c:order val="1"/>
          <c:tx>
            <c:strRef>
              <c:f>'Overall Comp'!$C$24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Comp'!$C$25:$C$29</c:f>
              <c:numCache>
                <c:formatCode>General</c:formatCode>
                <c:ptCount val="5"/>
                <c:pt idx="0">
                  <c:v>274056</c:v>
                </c:pt>
                <c:pt idx="1">
                  <c:v>442480</c:v>
                </c:pt>
                <c:pt idx="2">
                  <c:v>496354</c:v>
                </c:pt>
                <c:pt idx="3">
                  <c:v>751391</c:v>
                </c:pt>
                <c:pt idx="4">
                  <c:v>753958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6D-40AC-A573-A92AE1817455}"/>
            </c:ext>
          </c:extLst>
        </c:ser>
        <c:ser>
          <c:idx val="1"/>
          <c:order val="2"/>
          <c:tx>
            <c:strRef>
              <c:f>'Overall Comp'!$D$24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Comp'!$D$25:$D$29</c:f>
              <c:numCache>
                <c:formatCode>General</c:formatCode>
                <c:ptCount val="5"/>
                <c:pt idx="0">
                  <c:v>116405</c:v>
                </c:pt>
                <c:pt idx="1">
                  <c:v>280201</c:v>
                </c:pt>
                <c:pt idx="2">
                  <c:v>385302</c:v>
                </c:pt>
                <c:pt idx="3">
                  <c:v>665857</c:v>
                </c:pt>
                <c:pt idx="4">
                  <c:v>673506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D-40AC-A573-A92AE1817455}"/>
            </c:ext>
          </c:extLst>
        </c:ser>
        <c:ser>
          <c:idx val="5"/>
          <c:order val="3"/>
          <c:tx>
            <c:strRef>
              <c:f>'Overall Comp'!$E$24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Comp'!$E$25:$E$29</c:f>
              <c:numCache>
                <c:formatCode>General</c:formatCode>
                <c:ptCount val="5"/>
                <c:pt idx="0">
                  <c:v>147888</c:v>
                </c:pt>
                <c:pt idx="1">
                  <c:v>147888</c:v>
                </c:pt>
                <c:pt idx="2">
                  <c:v>394142</c:v>
                </c:pt>
                <c:pt idx="3">
                  <c:v>422288</c:v>
                </c:pt>
                <c:pt idx="4">
                  <c:v>422354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D-40AC-A573-A92AE1817455}"/>
            </c:ext>
          </c:extLst>
        </c:ser>
        <c:ser>
          <c:idx val="3"/>
          <c:order val="4"/>
          <c:tx>
            <c:strRef>
              <c:f>'Overall Comp'!$F$24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Comp'!$F$25:$F$29</c:f>
              <c:numCache>
                <c:formatCode>General</c:formatCode>
                <c:ptCount val="5"/>
                <c:pt idx="0">
                  <c:v>78233</c:v>
                </c:pt>
                <c:pt idx="1">
                  <c:v>194001</c:v>
                </c:pt>
                <c:pt idx="2">
                  <c:v>223514</c:v>
                </c:pt>
                <c:pt idx="3">
                  <c:v>284374</c:v>
                </c:pt>
                <c:pt idx="4">
                  <c:v>285807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D-40AC-A573-A92AE1817455}"/>
            </c:ext>
          </c:extLst>
        </c:ser>
        <c:ser>
          <c:idx val="2"/>
          <c:order val="5"/>
          <c:tx>
            <c:strRef>
              <c:f>'Overall Comp'!$H$24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Comp'!$H$25:$H$29</c:f>
              <c:numCache>
                <c:formatCode>General</c:formatCode>
                <c:ptCount val="5"/>
                <c:pt idx="2">
                  <c:v>243009</c:v>
                </c:pt>
                <c:pt idx="3">
                  <c:v>243009</c:v>
                </c:pt>
                <c:pt idx="4">
                  <c:v>302872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D-40AC-A573-A92AE1817455}"/>
            </c:ext>
          </c:extLst>
        </c:ser>
        <c:ser>
          <c:idx val="6"/>
          <c:order val="6"/>
          <c:tx>
            <c:strRef>
              <c:f>'Overall Comp'!$I$24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Comp'!$I$25:$I$29</c:f>
              <c:numCache>
                <c:formatCode>General</c:formatCode>
                <c:ptCount val="5"/>
                <c:pt idx="0">
                  <c:v>111088</c:v>
                </c:pt>
                <c:pt idx="1">
                  <c:v>112434</c:v>
                </c:pt>
                <c:pt idx="2">
                  <c:v>123461</c:v>
                </c:pt>
                <c:pt idx="3">
                  <c:v>151898</c:v>
                </c:pt>
                <c:pt idx="4">
                  <c:v>152025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6D-40AC-A573-A92AE1817455}"/>
            </c:ext>
          </c:extLst>
        </c:ser>
        <c:ser>
          <c:idx val="7"/>
          <c:order val="7"/>
          <c:tx>
            <c:strRef>
              <c:f>'Overall Comp'!$G$24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Comp'!$G$25:$G$29</c:f>
              <c:numCache>
                <c:formatCode>General</c:formatCode>
                <c:ptCount val="5"/>
                <c:pt idx="0">
                  <c:v>105556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6D-40AC-A573-A92AE1817455}"/>
            </c:ext>
          </c:extLst>
        </c:ser>
        <c:ser>
          <c:idx val="9"/>
          <c:order val="8"/>
          <c:tx>
            <c:strRef>
              <c:f>'Overall Comp'!$J$24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Comp'!$A$25:$A$29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Comp'!$J$25:$J$29</c:f>
              <c:numCache>
                <c:formatCode>General</c:formatCode>
                <c:ptCount val="5"/>
                <c:pt idx="0">
                  <c:v>68446</c:v>
                </c:pt>
                <c:pt idx="1">
                  <c:v>89707</c:v>
                </c:pt>
                <c:pt idx="2">
                  <c:v>96435</c:v>
                </c:pt>
                <c:pt idx="3">
                  <c:v>101507</c:v>
                </c:pt>
                <c:pt idx="4">
                  <c:v>101527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6D-40AC-A573-A92AE181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767896"/>
        <c:axId val="723767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9"/>
                <c:tx>
                  <c:strRef>
                    <c:extLst>
                      <c:ext uri="{02D57815-91ED-43cb-92C2-25804820EDAC}">
                        <c15:formulaRef>
                          <c15:sqref>'Overall Comp'!$O$24</c15:sqref>
                        </c15:formulaRef>
                      </c:ext>
                    </c:extLst>
                    <c:strCache>
                      <c:ptCount val="1"/>
                      <c:pt idx="0">
                        <c:v>oedulis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'Overall Comp'!$A$25:$A$29</c15:sqref>
                        </c15:formulaRef>
                      </c:ext>
                    </c:extLst>
                    <c:strCache>
                      <c:ptCount val="5"/>
                      <c:pt idx="0">
                        <c:v>11</c:v>
                      </c:pt>
                      <c:pt idx="1">
                        <c:v>19</c:v>
                      </c:pt>
                      <c:pt idx="2">
                        <c:v>28</c:v>
                      </c:pt>
                      <c:pt idx="3">
                        <c:v>PD</c:v>
                      </c:pt>
                      <c:pt idx="4">
                        <c:v>PH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'Overall Comp'!$O$25:$O$29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95564955</c:v>
                      </c:pt>
                      <c:pt idx="1">
                        <c:v>95564955</c:v>
                      </c:pt>
                      <c:pt idx="2">
                        <c:v>95564955</c:v>
                      </c:pt>
                      <c:pt idx="3">
                        <c:v>95564955</c:v>
                      </c:pt>
                      <c:pt idx="4">
                        <c:v>95564955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14-4BAA-9C98-9DACDCA480C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'Overall Comp'!$P$24</c15:sqref>
                        </c15:formulaRef>
                      </c:ext>
                    </c:extLst>
                    <c:strCache>
                      <c:ptCount val="1"/>
                      <c:pt idx="0">
                        <c:v>odenselamellosa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'Overall Comp'!$A$25:$A$29</c15:sqref>
                        </c15:formulaRef>
                      </c:ext>
                    </c:extLst>
                    <c:strCache>
                      <c:ptCount val="5"/>
                      <c:pt idx="0">
                        <c:v>11</c:v>
                      </c:pt>
                      <c:pt idx="1">
                        <c:v>19</c:v>
                      </c:pt>
                      <c:pt idx="2">
                        <c:v>28</c:v>
                      </c:pt>
                      <c:pt idx="3">
                        <c:v>PD</c:v>
                      </c:pt>
                      <c:pt idx="4">
                        <c:v>PH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'Overall Comp'!$P$25:$P$29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13952798</c:v>
                      </c:pt>
                      <c:pt idx="1">
                        <c:v>13952798</c:v>
                      </c:pt>
                      <c:pt idx="2">
                        <c:v>13952798</c:v>
                      </c:pt>
                      <c:pt idx="3">
                        <c:v>13952798</c:v>
                      </c:pt>
                      <c:pt idx="4">
                        <c:v>13952798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114-4BAA-9C98-9DACDCA480C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'Overall Comp'!$Q$24</c15:sqref>
                        </c15:formulaRef>
                      </c:ext>
                    </c:extLst>
                    <c:strCache>
                      <c:ptCount val="1"/>
                      <c:pt idx="0">
                        <c:v>olurida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'Overall Comp'!$A$25:$A$29</c15:sqref>
                        </c15:formulaRef>
                      </c:ext>
                    </c:extLst>
                    <c:strCache>
                      <c:ptCount val="5"/>
                      <c:pt idx="0">
                        <c:v>11</c:v>
                      </c:pt>
                      <c:pt idx="1">
                        <c:v>19</c:v>
                      </c:pt>
                      <c:pt idx="2">
                        <c:v>28</c:v>
                      </c:pt>
                      <c:pt idx="3">
                        <c:v>PD</c:v>
                      </c:pt>
                      <c:pt idx="4">
                        <c:v>PH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'Overall Comp'!$Q$25:$Q$29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12947</c:v>
                      </c:pt>
                      <c:pt idx="1">
                        <c:v>12947</c:v>
                      </c:pt>
                      <c:pt idx="2">
                        <c:v>12947</c:v>
                      </c:pt>
                      <c:pt idx="3">
                        <c:v>12947</c:v>
                      </c:pt>
                      <c:pt idx="4">
                        <c:v>12947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114-4BAA-9C98-9DACDCA480CE}"/>
                  </c:ext>
                </c:extLst>
              </c15:ser>
            </c15:filteredLineSeries>
          </c:ext>
        </c:extLst>
      </c:lineChart>
      <c:catAx>
        <c:axId val="7237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67240"/>
        <c:crosses val="autoZero"/>
        <c:auto val="1"/>
        <c:lblAlgn val="ctr"/>
        <c:lblOffset val="100"/>
        <c:noMultiLvlLbl val="0"/>
      </c:catAx>
      <c:valAx>
        <c:axId val="723767240"/>
        <c:scaling>
          <c:orientation val="minMax"/>
          <c:max val="2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N50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6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K-mer Completenes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'Overall Comp'!$D$30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Comp'!$D$31:$D$35</c:f>
              <c:numCache>
                <c:formatCode>0%</c:formatCode>
                <c:ptCount val="5"/>
                <c:pt idx="0">
                  <c:v>0.97481399999999996</c:v>
                </c:pt>
                <c:pt idx="1">
                  <c:v>0.98504700000000001</c:v>
                </c:pt>
                <c:pt idx="2">
                  <c:v>0.984406</c:v>
                </c:pt>
                <c:pt idx="3">
                  <c:v>0.98440499999999997</c:v>
                </c:pt>
                <c:pt idx="4">
                  <c:v>0.98353000000000002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7-46A7-9C51-00378F761D81}"/>
            </c:ext>
          </c:extLst>
        </c:ser>
        <c:ser>
          <c:idx val="2"/>
          <c:order val="1"/>
          <c:tx>
            <c:strRef>
              <c:f>'Overall Comp'!$F$30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Comp'!$F$31:$F$35</c:f>
              <c:numCache>
                <c:formatCode>0%</c:formatCode>
                <c:ptCount val="5"/>
                <c:pt idx="0">
                  <c:v>0.94943599999999995</c:v>
                </c:pt>
                <c:pt idx="1">
                  <c:v>0.97807900000000003</c:v>
                </c:pt>
                <c:pt idx="2">
                  <c:v>0.976796</c:v>
                </c:pt>
                <c:pt idx="3">
                  <c:v>0.97678900000000002</c:v>
                </c:pt>
                <c:pt idx="4">
                  <c:v>0.97670199999999996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7-46A7-9C51-00378F761D81}"/>
            </c:ext>
          </c:extLst>
        </c:ser>
        <c:ser>
          <c:idx val="3"/>
          <c:order val="2"/>
          <c:tx>
            <c:strRef>
              <c:f>'Overall Comp'!$B$30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Comp'!$B$31:$B$35</c:f>
              <c:numCache>
                <c:formatCode>0%</c:formatCode>
                <c:ptCount val="5"/>
                <c:pt idx="0">
                  <c:v>0.97176899999999999</c:v>
                </c:pt>
                <c:pt idx="1">
                  <c:v>0.98341100000000004</c:v>
                </c:pt>
                <c:pt idx="2">
                  <c:v>0.98260199999999998</c:v>
                </c:pt>
                <c:pt idx="3">
                  <c:v>0.95474599999999998</c:v>
                </c:pt>
                <c:pt idx="4">
                  <c:v>0.95473699999999995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7-46A7-9C51-00378F761D81}"/>
            </c:ext>
          </c:extLst>
        </c:ser>
        <c:ser>
          <c:idx val="4"/>
          <c:order val="3"/>
          <c:tx>
            <c:strRef>
              <c:f>'Overall Comp'!$E$30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Comp'!$E$31:$E$35</c:f>
              <c:numCache>
                <c:formatCode>0%</c:formatCode>
                <c:ptCount val="5"/>
                <c:pt idx="0">
                  <c:v>0.69647199999999998</c:v>
                </c:pt>
                <c:pt idx="1">
                  <c:v>0.94558299999999995</c:v>
                </c:pt>
                <c:pt idx="2">
                  <c:v>0.96069199999999999</c:v>
                </c:pt>
                <c:pt idx="3">
                  <c:v>0.93719799999999998</c:v>
                </c:pt>
                <c:pt idx="4">
                  <c:v>0.93717700000000004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7-46A7-9C51-00378F761D81}"/>
            </c:ext>
          </c:extLst>
        </c:ser>
        <c:ser>
          <c:idx val="1"/>
          <c:order val="4"/>
          <c:tx>
            <c:strRef>
              <c:f>'Overall Comp'!$H$30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Comp'!$H$31:$H$35</c:f>
              <c:numCache>
                <c:formatCode>0%</c:formatCode>
                <c:ptCount val="5"/>
                <c:pt idx="2">
                  <c:v>0.93184599999999995</c:v>
                </c:pt>
                <c:pt idx="3">
                  <c:v>0.93184599999999995</c:v>
                </c:pt>
                <c:pt idx="4">
                  <c:v>0.92783800000000005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7-46A7-9C51-00378F761D81}"/>
            </c:ext>
          </c:extLst>
        </c:ser>
        <c:ser>
          <c:idx val="7"/>
          <c:order val="5"/>
          <c:tx>
            <c:strRef>
              <c:f>'Overall Comp'!$C$30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Comp'!$C$31:$C$35</c:f>
              <c:numCache>
                <c:formatCode>0%</c:formatCode>
                <c:ptCount val="5"/>
                <c:pt idx="0">
                  <c:v>0.91790300000000002</c:v>
                </c:pt>
                <c:pt idx="1">
                  <c:v>0.92064599999999996</c:v>
                </c:pt>
                <c:pt idx="2">
                  <c:v>0.92276499999999995</c:v>
                </c:pt>
                <c:pt idx="3">
                  <c:v>0.84443199999999996</c:v>
                </c:pt>
                <c:pt idx="4">
                  <c:v>0.92271099999999995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57-46A7-9C51-00378F761D81}"/>
            </c:ext>
          </c:extLst>
        </c:ser>
        <c:ser>
          <c:idx val="6"/>
          <c:order val="6"/>
          <c:tx>
            <c:strRef>
              <c:f>'Overall Comp'!$G$30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Comp'!$G$31:$G$35</c:f>
              <c:numCache>
                <c:formatCode>0%</c:formatCode>
                <c:ptCount val="5"/>
                <c:pt idx="0">
                  <c:v>0.95262000000000002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57-46A7-9C51-00378F761D81}"/>
            </c:ext>
          </c:extLst>
        </c:ser>
        <c:ser>
          <c:idx val="8"/>
          <c:order val="7"/>
          <c:tx>
            <c:strRef>
              <c:f>'Overall Comp'!$J$30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Comp'!$J$31:$J$35</c:f>
              <c:numCache>
                <c:formatCode>0%</c:formatCode>
                <c:ptCount val="5"/>
                <c:pt idx="0">
                  <c:v>0.66332199999999997</c:v>
                </c:pt>
                <c:pt idx="1">
                  <c:v>0.71904299999999999</c:v>
                </c:pt>
                <c:pt idx="2">
                  <c:v>0.732186</c:v>
                </c:pt>
                <c:pt idx="3">
                  <c:v>0.69826999999999995</c:v>
                </c:pt>
                <c:pt idx="4">
                  <c:v>0.73214999999999997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57-46A7-9C51-00378F761D81}"/>
            </c:ext>
          </c:extLst>
        </c:ser>
        <c:ser>
          <c:idx val="5"/>
          <c:order val="8"/>
          <c:tx>
            <c:strRef>
              <c:f>'Overall Comp'!$I$30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Comp'!$A$31:$A$35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Comp'!$I$31:$I$35</c:f>
              <c:numCache>
                <c:formatCode>0%</c:formatCode>
                <c:ptCount val="5"/>
                <c:pt idx="0">
                  <c:v>0.72290100000000002</c:v>
                </c:pt>
                <c:pt idx="1">
                  <c:v>0.69730000000000003</c:v>
                </c:pt>
                <c:pt idx="2">
                  <c:v>0.71074800000000005</c:v>
                </c:pt>
                <c:pt idx="3">
                  <c:v>0.62749500000000002</c:v>
                </c:pt>
                <c:pt idx="4">
                  <c:v>0.71070999999999995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57-46A7-9C51-00378F761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990408"/>
        <c:axId val="746991392"/>
      </c:lineChart>
      <c:catAx>
        <c:axId val="74699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1392"/>
        <c:crosses val="autoZero"/>
        <c:auto val="1"/>
        <c:lblAlgn val="ctr"/>
        <c:lblOffset val="100"/>
        <c:noMultiLvlLbl val="0"/>
      </c:catAx>
      <c:valAx>
        <c:axId val="746991392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Completeness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9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BUSCO Completeness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'Overall Comp'!$C$36</c:f>
              <c:strCache>
                <c:ptCount val="1"/>
                <c:pt idx="0">
                  <c:v>peregrine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Comp'!$C$37:$C$41</c:f>
              <c:numCache>
                <c:formatCode>0%</c:formatCode>
                <c:ptCount val="5"/>
                <c:pt idx="0">
                  <c:v>0.952407932011331</c:v>
                </c:pt>
                <c:pt idx="1">
                  <c:v>0.97544853635505191</c:v>
                </c:pt>
                <c:pt idx="2">
                  <c:v>0.97828139754485399</c:v>
                </c:pt>
                <c:pt idx="3">
                  <c:v>0.97299999999999998</c:v>
                </c:pt>
                <c:pt idx="4">
                  <c:v>0.97299999999999998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04-442A-A97E-2B878A67CBDB}"/>
            </c:ext>
          </c:extLst>
        </c:ser>
        <c:ser>
          <c:idx val="3"/>
          <c:order val="1"/>
          <c:tx>
            <c:strRef>
              <c:f>'Overall Comp'!$B$36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Comp'!$B$37:$B$41</c:f>
              <c:numCache>
                <c:formatCode>0%</c:formatCode>
                <c:ptCount val="5"/>
                <c:pt idx="0">
                  <c:v>0.92181303116147306</c:v>
                </c:pt>
                <c:pt idx="1">
                  <c:v>0.97167138810198306</c:v>
                </c:pt>
                <c:pt idx="2">
                  <c:v>0.98</c:v>
                </c:pt>
                <c:pt idx="3">
                  <c:v>0.97199999999999998</c:v>
                </c:pt>
                <c:pt idx="4">
                  <c:v>0.97199999999999998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4-442A-A97E-2B878A67CBDB}"/>
            </c:ext>
          </c:extLst>
        </c:ser>
        <c:ser>
          <c:idx val="0"/>
          <c:order val="2"/>
          <c:tx>
            <c:strRef>
              <c:f>'Overall Comp'!$D$36</c:f>
              <c:strCache>
                <c:ptCount val="1"/>
                <c:pt idx="0">
                  <c:v>Canu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Comp'!$D$37:$D$41</c:f>
              <c:numCache>
                <c:formatCode>0%</c:formatCode>
                <c:ptCount val="5"/>
                <c:pt idx="0">
                  <c:v>0.90689329556185083</c:v>
                </c:pt>
                <c:pt idx="1">
                  <c:v>0.97186024551463646</c:v>
                </c:pt>
                <c:pt idx="2">
                  <c:v>0.97771482530689324</c:v>
                </c:pt>
                <c:pt idx="3">
                  <c:v>0.96699999999999997</c:v>
                </c:pt>
                <c:pt idx="4">
                  <c:v>0.96699999999999997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4-442A-A97E-2B878A67CBDB}"/>
            </c:ext>
          </c:extLst>
        </c:ser>
        <c:ser>
          <c:idx val="1"/>
          <c:order val="3"/>
          <c:tx>
            <c:strRef>
              <c:f>'Overall Comp'!$H$36</c:f>
              <c:strCache>
                <c:ptCount val="1"/>
                <c:pt idx="0">
                  <c:v>DipAsm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Comp'!$H$37:$H$41</c:f>
              <c:numCache>
                <c:formatCode>0%</c:formatCode>
                <c:ptCount val="5"/>
                <c:pt idx="2">
                  <c:v>0.97499999999999998</c:v>
                </c:pt>
                <c:pt idx="3">
                  <c:v>0.97699999999999998</c:v>
                </c:pt>
                <c:pt idx="4">
                  <c:v>0.97599999999999998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4-442A-A97E-2B878A67CBDB}"/>
            </c:ext>
          </c:extLst>
        </c:ser>
        <c:ser>
          <c:idx val="4"/>
          <c:order val="4"/>
          <c:tx>
            <c:strRef>
              <c:f>'Overall Comp'!$E$36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Comp'!$E$37:$E$41</c:f>
              <c:numCache>
                <c:formatCode>0%</c:formatCode>
                <c:ptCount val="5"/>
                <c:pt idx="0">
                  <c:v>0.82228517469310669</c:v>
                </c:pt>
                <c:pt idx="1">
                  <c:v>0.91822474032105761</c:v>
                </c:pt>
                <c:pt idx="2">
                  <c:v>0.95014164305949012</c:v>
                </c:pt>
                <c:pt idx="3">
                  <c:v>0.92900000000000005</c:v>
                </c:pt>
                <c:pt idx="4">
                  <c:v>0.92900000000000005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4-442A-A97E-2B878A67CBDB}"/>
            </c:ext>
          </c:extLst>
        </c:ser>
        <c:ser>
          <c:idx val="2"/>
          <c:order val="5"/>
          <c:tx>
            <c:strRef>
              <c:f>'Overall Comp'!$F$36</c:f>
              <c:strCache>
                <c:ptCount val="1"/>
                <c:pt idx="0">
                  <c:v>flye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Comp'!$F$37:$F$41</c:f>
              <c:numCache>
                <c:formatCode>0%</c:formatCode>
                <c:ptCount val="5"/>
                <c:pt idx="0">
                  <c:v>0.82587346553352214</c:v>
                </c:pt>
                <c:pt idx="1">
                  <c:v>0.92540132200188863</c:v>
                </c:pt>
                <c:pt idx="2">
                  <c:v>0.92936732766761099</c:v>
                </c:pt>
                <c:pt idx="3">
                  <c:v>0.9</c:v>
                </c:pt>
                <c:pt idx="4">
                  <c:v>0.90100000000000002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4-442A-A97E-2B878A67CBDB}"/>
            </c:ext>
          </c:extLst>
        </c:ser>
        <c:ser>
          <c:idx val="6"/>
          <c:order val="6"/>
          <c:tx>
            <c:strRef>
              <c:f>'Overall Comp'!$G$36</c:f>
              <c:strCache>
                <c:ptCount val="1"/>
                <c:pt idx="0">
                  <c:v>pbassembly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Comp'!$G$37:$G$41</c:f>
              <c:numCache>
                <c:formatCode>0%</c:formatCode>
                <c:ptCount val="5"/>
                <c:pt idx="0">
                  <c:v>0.9053824362606232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04-442A-A97E-2B878A67CBDB}"/>
            </c:ext>
          </c:extLst>
        </c:ser>
        <c:ser>
          <c:idx val="8"/>
          <c:order val="7"/>
          <c:tx>
            <c:strRef>
              <c:f>'Overall Comp'!$J$36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Comp'!$J$37:$J$41</c:f>
              <c:numCache>
                <c:formatCode>0%</c:formatCode>
                <c:ptCount val="5"/>
                <c:pt idx="0">
                  <c:v>0.70047214353163356</c:v>
                </c:pt>
                <c:pt idx="1">
                  <c:v>0.83078375826251183</c:v>
                </c:pt>
                <c:pt idx="2">
                  <c:v>0.85533522190745992</c:v>
                </c:pt>
                <c:pt idx="3">
                  <c:v>0.81100000000000005</c:v>
                </c:pt>
                <c:pt idx="4">
                  <c:v>0.81100000000000005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04-442A-A97E-2B878A67CBDB}"/>
            </c:ext>
          </c:extLst>
        </c:ser>
        <c:ser>
          <c:idx val="5"/>
          <c:order val="8"/>
          <c:tx>
            <c:strRef>
              <c:f>'Overall Comp'!$I$36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Comp'!$A$37:$A$41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Comp'!$I$37:$I$41</c:f>
              <c:numCache>
                <c:formatCode>0%</c:formatCode>
                <c:ptCount val="5"/>
                <c:pt idx="0">
                  <c:v>0.69801699716713883</c:v>
                </c:pt>
                <c:pt idx="1">
                  <c:v>0.70399999999999996</c:v>
                </c:pt>
                <c:pt idx="2">
                  <c:v>0.72399999999999998</c:v>
                </c:pt>
                <c:pt idx="3">
                  <c:v>0.66700000000000004</c:v>
                </c:pt>
                <c:pt idx="4">
                  <c:v>0.66700000000000004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4-442A-A97E-2B878A67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339688"/>
        <c:axId val="689341000"/>
      </c:lineChart>
      <c:catAx>
        <c:axId val="68933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1000"/>
        <c:crosses val="autoZero"/>
        <c:auto val="1"/>
        <c:lblAlgn val="ctr"/>
        <c:lblOffset val="100"/>
        <c:noMultiLvlLbl val="0"/>
      </c:catAx>
      <c:valAx>
        <c:axId val="689341000"/>
        <c:scaling>
          <c:orientation val="minMax"/>
          <c:max val="1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00" b="0" i="0" u="none" strike="noStrike" baseline="0">
                    <a:effectLst/>
                  </a:rPr>
                  <a:t>Completeness</a:t>
                </a:r>
                <a:endParaRPr lang="en-N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3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LAI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0"/>
          <c:tx>
            <c:strRef>
              <c:f>'Overall Comp'!$J$42</c:f>
              <c:strCache>
                <c:ptCount val="1"/>
                <c:pt idx="0">
                  <c:v>raven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Comp'!$J$43:$J$47</c:f>
              <c:numCache>
                <c:formatCode>General</c:formatCode>
                <c:ptCount val="5"/>
                <c:pt idx="0">
                  <c:v>6.46</c:v>
                </c:pt>
                <c:pt idx="1">
                  <c:v>6.56</c:v>
                </c:pt>
                <c:pt idx="2">
                  <c:v>4.41</c:v>
                </c:pt>
                <c:pt idx="3">
                  <c:v>6.68</c:v>
                </c:pt>
                <c:pt idx="4">
                  <c:v>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5F-46C5-B39B-EF3D7E8F2534}"/>
            </c:ext>
          </c:extLst>
        </c:ser>
        <c:ser>
          <c:idx val="4"/>
          <c:order val="1"/>
          <c:tx>
            <c:strRef>
              <c:f>'Overall Comp'!$E$42</c:f>
              <c:strCache>
                <c:ptCount val="1"/>
                <c:pt idx="0">
                  <c:v>ipa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Comp'!$E$43:$E$47</c:f>
              <c:numCache>
                <c:formatCode>General</c:formatCode>
                <c:ptCount val="5"/>
                <c:pt idx="0">
                  <c:v>3.99</c:v>
                </c:pt>
                <c:pt idx="1">
                  <c:v>2.96</c:v>
                </c:pt>
                <c:pt idx="2">
                  <c:v>3.11</c:v>
                </c:pt>
                <c:pt idx="3">
                  <c:v>4.32</c:v>
                </c:pt>
                <c:pt idx="4">
                  <c:v>4.2300000000000004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5F-46C5-B39B-EF3D7E8F2534}"/>
            </c:ext>
          </c:extLst>
        </c:ser>
        <c:ser>
          <c:idx val="5"/>
          <c:order val="2"/>
          <c:tx>
            <c:strRef>
              <c:f>'Overall Comp'!$I$42</c:f>
              <c:strCache>
                <c:ptCount val="1"/>
                <c:pt idx="0">
                  <c:v>nextpolish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Comp'!$I$43:$I$47</c:f>
              <c:numCache>
                <c:formatCode>General</c:formatCode>
                <c:ptCount val="5"/>
                <c:pt idx="0">
                  <c:v>1.53</c:v>
                </c:pt>
                <c:pt idx="1">
                  <c:v>1.73</c:v>
                </c:pt>
                <c:pt idx="2">
                  <c:v>0.92</c:v>
                </c:pt>
                <c:pt idx="3">
                  <c:v>4.12</c:v>
                </c:pt>
                <c:pt idx="4">
                  <c:v>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F-46C5-B39B-EF3D7E8F2534}"/>
            </c:ext>
          </c:extLst>
        </c:ser>
        <c:ser>
          <c:idx val="7"/>
          <c:order val="3"/>
          <c:tx>
            <c:strRef>
              <c:f>'Overall Comp'!$C$42</c:f>
              <c:strCache>
                <c:ptCount val="1"/>
                <c:pt idx="0">
                  <c:v>peregrine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Comp'!$C$43:$C$47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</c:v>
                </c:pt>
                <c:pt idx="4">
                  <c:v>3.41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5E5F-46C5-B39B-EF3D7E8F2534}"/>
            </c:ext>
          </c:extLst>
        </c:ser>
        <c:ser>
          <c:idx val="2"/>
          <c:order val="4"/>
          <c:tx>
            <c:strRef>
              <c:f>'Overall Comp'!$F$42</c:f>
              <c:strCache>
                <c:ptCount val="1"/>
                <c:pt idx="0">
                  <c:v>flye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Comp'!$F$43:$F$47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2.58</c:v>
                </c:pt>
                <c:pt idx="4">
                  <c:v>2.02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E5F-46C5-B39B-EF3D7E8F2534}"/>
            </c:ext>
          </c:extLst>
        </c:ser>
        <c:ser>
          <c:idx val="3"/>
          <c:order val="5"/>
          <c:tx>
            <c:strRef>
              <c:f>'Overall Comp'!$B$42</c:f>
              <c:strCache>
                <c:ptCount val="1"/>
                <c:pt idx="0">
                  <c:v>hifiasm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Comp'!$B$43:$B$47</c:f>
              <c:numCache>
                <c:formatCode>General</c:formatCode>
                <c:ptCount val="5"/>
                <c:pt idx="0">
                  <c:v>1.52</c:v>
                </c:pt>
                <c:pt idx="1">
                  <c:v>2.64</c:v>
                </c:pt>
                <c:pt idx="2">
                  <c:v>1.74</c:v>
                </c:pt>
                <c:pt idx="3">
                  <c:v>4.2</c:v>
                </c:pt>
                <c:pt idx="4">
                  <c:v>1.74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F-46C5-B39B-EF3D7E8F2534}"/>
            </c:ext>
          </c:extLst>
        </c:ser>
        <c:ser>
          <c:idx val="0"/>
          <c:order val="6"/>
          <c:tx>
            <c:strRef>
              <c:f>'Overall Comp'!$D$42</c:f>
              <c:strCache>
                <c:ptCount val="1"/>
                <c:pt idx="0">
                  <c:v>Canu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</c:strRef>
          </c:cat>
          <c:val>
            <c:numRef>
              <c:f>'Overall Comp'!$D$43:$D$47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0.34</c:v>
                </c:pt>
                <c:pt idx="4">
                  <c:v>0.66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E5F-46C5-B39B-EF3D7E8F2534}"/>
            </c:ext>
          </c:extLst>
        </c:ser>
        <c:ser>
          <c:idx val="1"/>
          <c:order val="7"/>
          <c:tx>
            <c:strRef>
              <c:f>'Overall Comp'!$H$42</c:f>
              <c:strCache>
                <c:ptCount val="1"/>
                <c:pt idx="0">
                  <c:v>DipAsm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  <c:extLst xmlns:c15="http://schemas.microsoft.com/office/drawing/2012/chart"/>
            </c:strRef>
          </c:cat>
          <c:val>
            <c:numRef>
              <c:f>'Overall Comp'!$H$43:$H$47</c:f>
              <c:numCache>
                <c:formatCode>General</c:formatCode>
                <c:ptCount val="5"/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E5F-46C5-B39B-EF3D7E8F2534}"/>
            </c:ext>
          </c:extLst>
        </c:ser>
        <c:ser>
          <c:idx val="6"/>
          <c:order val="8"/>
          <c:tx>
            <c:strRef>
              <c:f>'Overall Comp'!$G$42</c:f>
              <c:strCache>
                <c:ptCount val="1"/>
                <c:pt idx="0">
                  <c:v>pbassembly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'Overall Comp'!$A$43:$A$47</c:f>
              <c:strCache>
                <c:ptCount val="5"/>
                <c:pt idx="0">
                  <c:v>11</c:v>
                </c:pt>
                <c:pt idx="1">
                  <c:v>19</c:v>
                </c:pt>
                <c:pt idx="2">
                  <c:v>28</c:v>
                </c:pt>
                <c:pt idx="3">
                  <c:v>PD</c:v>
                </c:pt>
                <c:pt idx="4">
                  <c:v>PH</c:v>
                </c:pt>
              </c:strCache>
              <c:extLst xmlns:c15="http://schemas.microsoft.com/office/drawing/2012/chart"/>
            </c:strRef>
          </c:cat>
          <c:val>
            <c:numRef>
              <c:f>'Overall Comp'!$G$43:$G$47</c:f>
              <c:numCache>
                <c:formatCode>General</c:formatCode>
                <c:ptCount val="5"/>
                <c:pt idx="0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E5F-46C5-B39B-EF3D7E8F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381024"/>
        <c:axId val="758377416"/>
        <c:extLst/>
      </c:lineChart>
      <c:catAx>
        <c:axId val="7583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77416"/>
        <c:crosses val="autoZero"/>
        <c:auto val="1"/>
        <c:lblAlgn val="ctr"/>
        <c:lblOffset val="100"/>
        <c:noMultiLvlLbl val="0"/>
      </c:catAx>
      <c:valAx>
        <c:axId val="75837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Instragraal!$B$1</c:f>
              <c:strCache>
                <c:ptCount val="1"/>
                <c:pt idx="0">
                  <c:v>date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973140857392826"/>
                  <c:y val="-5.35269028871391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Instragraal!$A$2:$A$36</c:f>
              <c:numCache>
                <c:formatCode>General</c:formatCode>
                <c:ptCount val="35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</c:numCache>
            </c:numRef>
          </c:xVal>
          <c:yVal>
            <c:numRef>
              <c:f>Instragraal!$B$2:$B$36</c:f>
              <c:numCache>
                <c:formatCode>m/d/yyyy\ h:mm</c:formatCode>
                <c:ptCount val="35"/>
                <c:pt idx="0">
                  <c:v>41518.734722222223</c:v>
                </c:pt>
                <c:pt idx="1">
                  <c:v>41518.765972222223</c:v>
                </c:pt>
                <c:pt idx="2">
                  <c:v>41518.794444444444</c:v>
                </c:pt>
                <c:pt idx="3">
                  <c:v>41518.828472222223</c:v>
                </c:pt>
                <c:pt idx="4">
                  <c:v>41518.869444444441</c:v>
                </c:pt>
                <c:pt idx="5">
                  <c:v>41518.911805555559</c:v>
                </c:pt>
                <c:pt idx="6">
                  <c:v>41883.033333333333</c:v>
                </c:pt>
                <c:pt idx="7">
                  <c:v>41883.197916666664</c:v>
                </c:pt>
                <c:pt idx="8">
                  <c:v>41883.362500000003</c:v>
                </c:pt>
                <c:pt idx="9">
                  <c:v>41883.531944444447</c:v>
                </c:pt>
                <c:pt idx="10">
                  <c:v>41883.703472222223</c:v>
                </c:pt>
                <c:pt idx="11">
                  <c:v>41883.873611111114</c:v>
                </c:pt>
                <c:pt idx="12">
                  <c:v>42248.042361111111</c:v>
                </c:pt>
                <c:pt idx="13">
                  <c:v>42248.211111111108</c:v>
                </c:pt>
                <c:pt idx="14">
                  <c:v>42248.379861111112</c:v>
                </c:pt>
                <c:pt idx="15">
                  <c:v>42248.547222222223</c:v>
                </c:pt>
                <c:pt idx="16">
                  <c:v>42248.714583333334</c:v>
                </c:pt>
                <c:pt idx="17">
                  <c:v>42248.881944444445</c:v>
                </c:pt>
                <c:pt idx="18">
                  <c:v>42614.049305555556</c:v>
                </c:pt>
                <c:pt idx="19">
                  <c:v>42614.21597222222</c:v>
                </c:pt>
                <c:pt idx="20">
                  <c:v>42614.382638888892</c:v>
                </c:pt>
                <c:pt idx="21">
                  <c:v>42614.55</c:v>
                </c:pt>
                <c:pt idx="22">
                  <c:v>42614.716666666667</c:v>
                </c:pt>
                <c:pt idx="23">
                  <c:v>42614.883333333331</c:v>
                </c:pt>
                <c:pt idx="24">
                  <c:v>42979.050694444442</c:v>
                </c:pt>
                <c:pt idx="25">
                  <c:v>42979.217361111114</c:v>
                </c:pt>
                <c:pt idx="26">
                  <c:v>42979.386805555558</c:v>
                </c:pt>
                <c:pt idx="27">
                  <c:v>42979.554166666669</c:v>
                </c:pt>
                <c:pt idx="28">
                  <c:v>42979.720138888886</c:v>
                </c:pt>
                <c:pt idx="29">
                  <c:v>42979.88958333333</c:v>
                </c:pt>
                <c:pt idx="30">
                  <c:v>43344.058333333334</c:v>
                </c:pt>
                <c:pt idx="31">
                  <c:v>43344.224999999999</c:v>
                </c:pt>
                <c:pt idx="32">
                  <c:v>43344.39166666667</c:v>
                </c:pt>
                <c:pt idx="33">
                  <c:v>43344.556944444441</c:v>
                </c:pt>
                <c:pt idx="34">
                  <c:v>43344.724305555559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E-40C4-941B-B624D8405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683376"/>
        <c:axId val="733932384"/>
      </c:scatterChart>
      <c:valAx>
        <c:axId val="51768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32384"/>
        <c:crosses val="autoZero"/>
        <c:crossBetween val="midCat"/>
      </c:valAx>
      <c:valAx>
        <c:axId val="7339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8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Time x4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x4</a:t>
          </a:r>
        </a:p>
      </cx:txPr>
    </cx:title>
    <cx:plotArea>
      <cx:plotAreaRegion>
        <cx:series layoutId="boxWhisker" uniqueId="{4872A0A3-000E-465C-B6B4-8B5E875D277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CPU x3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CPU x3</a:t>
          </a:r>
        </a:p>
      </cx:txPr>
    </cx:title>
    <cx:plotArea>
      <cx:plotAreaRegion>
        <cx:series layoutId="boxWhisker" uniqueId="{A91B69A9-9159-4B7F-8784-8BFA835DB45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Mem x2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Mem x2</a:t>
          </a:r>
        </a:p>
      </cx:txPr>
    </cx:title>
    <cx:plotArea>
      <cx:plotAreaRegion>
        <cx:series layoutId="boxWhisker" uniqueId="{A8412469-C275-49BF-A5D5-36FA82ACD86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jpeg"/><Relationship Id="rId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60</xdr:row>
      <xdr:rowOff>45720</xdr:rowOff>
    </xdr:from>
    <xdr:to>
      <xdr:col>8</xdr:col>
      <xdr:colOff>403860</xdr:colOff>
      <xdr:row>75</xdr:row>
      <xdr:rowOff>45720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3AEFB1-CDAD-4AAA-AD2D-56EAD7C00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484927</xdr:colOff>
      <xdr:row>58</xdr:row>
      <xdr:rowOff>127001</xdr:rowOff>
    </xdr:from>
    <xdr:to>
      <xdr:col>19</xdr:col>
      <xdr:colOff>200027</xdr:colOff>
      <xdr:row>91</xdr:row>
      <xdr:rowOff>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8A890-6503-42A6-8D7A-A8268750B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84664</xdr:colOff>
      <xdr:row>1</xdr:row>
      <xdr:rowOff>67733</xdr:rowOff>
    </xdr:from>
    <xdr:to>
      <xdr:col>43</xdr:col>
      <xdr:colOff>25398</xdr:colOff>
      <xdr:row>10</xdr:row>
      <xdr:rowOff>67733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831879A-F062-420D-97CF-21D2C51B9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625263</xdr:colOff>
      <xdr:row>23</xdr:row>
      <xdr:rowOff>113453</xdr:rowOff>
    </xdr:from>
    <xdr:to>
      <xdr:col>40</xdr:col>
      <xdr:colOff>142875</xdr:colOff>
      <xdr:row>40</xdr:row>
      <xdr:rowOff>8678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D53854-FE8B-4DD2-9DD9-235325469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715854</xdr:colOff>
      <xdr:row>9</xdr:row>
      <xdr:rowOff>209550</xdr:rowOff>
    </xdr:from>
    <xdr:to>
      <xdr:col>25</xdr:col>
      <xdr:colOff>429683</xdr:colOff>
      <xdr:row>31</xdr:row>
      <xdr:rowOff>102023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621B326-A45E-411C-9D6E-66502377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705697</xdr:colOff>
      <xdr:row>31</xdr:row>
      <xdr:rowOff>95250</xdr:rowOff>
    </xdr:from>
    <xdr:to>
      <xdr:col>25</xdr:col>
      <xdr:colOff>453390</xdr:colOff>
      <xdr:row>51</xdr:row>
      <xdr:rowOff>186690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F8EDF4E-904E-4992-8079-BB130EB34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436672</xdr:colOff>
      <xdr:row>9</xdr:row>
      <xdr:rowOff>211033</xdr:rowOff>
    </xdr:from>
    <xdr:to>
      <xdr:col>31</xdr:col>
      <xdr:colOff>323850</xdr:colOff>
      <xdr:row>31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3D702CF-CCC8-4686-B320-A88CBAF9C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440691</xdr:colOff>
      <xdr:row>31</xdr:row>
      <xdr:rowOff>74506</xdr:rowOff>
    </xdr:from>
    <xdr:to>
      <xdr:col>31</xdr:col>
      <xdr:colOff>320040</xdr:colOff>
      <xdr:row>51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76D4F9A-54F4-4D0F-B402-00D9D973B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</xdr:colOff>
      <xdr:row>13</xdr:row>
      <xdr:rowOff>97155</xdr:rowOff>
    </xdr:from>
    <xdr:to>
      <xdr:col>12</xdr:col>
      <xdr:colOff>974184</xdr:colOff>
      <xdr:row>38</xdr:row>
      <xdr:rowOff>129839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E380A83D-F363-43EF-AD7C-EA4EA10918D3}"/>
            </a:ext>
          </a:extLst>
        </xdr:cNvPr>
        <xdr:cNvGrpSpPr/>
      </xdr:nvGrpSpPr>
      <xdr:grpSpPr>
        <a:xfrm>
          <a:off x="7858125" y="2474595"/>
          <a:ext cx="5224239" cy="4604684"/>
          <a:chOff x="6410325" y="171450"/>
          <a:chExt cx="5239479" cy="454943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A6E82517-79FB-41C4-8050-85DDB0141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10325" y="171450"/>
            <a:ext cx="5239479" cy="4508293"/>
          </a:xfrm>
          <a:prstGeom prst="rect">
            <a:avLst/>
          </a:prstGeom>
        </xdr:spPr>
      </xdr:pic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F40D86BA-1D9B-42CF-BBD1-967342A5DD71}"/>
              </a:ext>
            </a:extLst>
          </xdr:cNvPr>
          <xdr:cNvGrpSpPr/>
        </xdr:nvGrpSpPr>
        <xdr:grpSpPr>
          <a:xfrm>
            <a:off x="8268430" y="171375"/>
            <a:ext cx="1649338" cy="4553324"/>
            <a:chOff x="5349240" y="129540"/>
            <a:chExt cx="1648336" cy="4592720"/>
          </a:xfrm>
        </xdr:grpSpPr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8135A70-06D6-4674-98E6-9A886BA244FC}"/>
                </a:ext>
              </a:extLst>
            </xdr:cNvPr>
            <xdr:cNvSpPr txBox="1"/>
          </xdr:nvSpPr>
          <xdr:spPr>
            <a:xfrm>
              <a:off x="5745480" y="129540"/>
              <a:ext cx="68390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NZ" sz="1100" i="1"/>
                <a:t>O. edulis</a:t>
              </a:r>
            </a:p>
          </xdr:txBody>
        </xdr:sp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4018AC38-58D0-468C-8A60-177EF71921AB}"/>
                </a:ext>
              </a:extLst>
            </xdr:cNvPr>
            <xdr:cNvSpPr txBox="1"/>
          </xdr:nvSpPr>
          <xdr:spPr>
            <a:xfrm>
              <a:off x="5349240" y="4457700"/>
              <a:ext cx="164833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NZ" sz="1100" i="1"/>
                <a:t>O. chilensis</a:t>
              </a:r>
              <a:r>
                <a:rPr lang="en-NZ" sz="1100" i="0"/>
                <a:t> (hifiasm33ph)</a:t>
              </a:r>
            </a:p>
          </xdr:txBody>
        </xdr:sp>
      </xdr:grpSp>
    </xdr:grpSp>
    <xdr:clientData/>
  </xdr:twoCellAnchor>
  <xdr:twoCellAnchor>
    <xdr:from>
      <xdr:col>3</xdr:col>
      <xdr:colOff>120015</xdr:colOff>
      <xdr:row>13</xdr:row>
      <xdr:rowOff>28575</xdr:rowOff>
    </xdr:from>
    <xdr:to>
      <xdr:col>7</xdr:col>
      <xdr:colOff>913210</xdr:colOff>
      <xdr:row>38</xdr:row>
      <xdr:rowOff>45485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CFB14DE7-200F-44BD-8462-7C919CAE85CA}"/>
            </a:ext>
          </a:extLst>
        </xdr:cNvPr>
        <xdr:cNvGrpSpPr/>
      </xdr:nvGrpSpPr>
      <xdr:grpSpPr>
        <a:xfrm>
          <a:off x="2489835" y="2406015"/>
          <a:ext cx="5121355" cy="4588910"/>
          <a:chOff x="1935480" y="60960"/>
          <a:chExt cx="5125165" cy="45927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0327764-F6D5-4AF1-B444-DBE74EEE3D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5480" y="76200"/>
            <a:ext cx="5125165" cy="4553585"/>
          </a:xfrm>
          <a:prstGeom prst="rect">
            <a:avLst/>
          </a:prstGeom>
        </xdr:spPr>
      </xdr:pic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D326F04F-74A2-47BE-AF0D-C6E45B0F1483}"/>
              </a:ext>
            </a:extLst>
          </xdr:cNvPr>
          <xdr:cNvGrpSpPr/>
        </xdr:nvGrpSpPr>
        <xdr:grpSpPr>
          <a:xfrm>
            <a:off x="3779520" y="60960"/>
            <a:ext cx="1648336" cy="4592720"/>
            <a:chOff x="5349240" y="129540"/>
            <a:chExt cx="1648336" cy="4592720"/>
          </a:xfrm>
        </xdr:grpSpPr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D0882186-F62A-4399-9012-8D4B238FF5DF}"/>
                </a:ext>
              </a:extLst>
            </xdr:cNvPr>
            <xdr:cNvSpPr txBox="1"/>
          </xdr:nvSpPr>
          <xdr:spPr>
            <a:xfrm>
              <a:off x="5745480" y="129540"/>
              <a:ext cx="68390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NZ" sz="1100" i="1"/>
                <a:t>O. edulis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07B026C-3787-4EA2-B4BD-603BAB084D27}"/>
                </a:ext>
              </a:extLst>
            </xdr:cNvPr>
            <xdr:cNvSpPr txBox="1"/>
          </xdr:nvSpPr>
          <xdr:spPr>
            <a:xfrm>
              <a:off x="5349240" y="4457700"/>
              <a:ext cx="164833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NZ" sz="1100" i="1"/>
                <a:t>O. chilensis</a:t>
              </a:r>
              <a:r>
                <a:rPr lang="en-NZ" sz="1100" i="0"/>
                <a:t> (hifiasm33ph)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44768</xdr:colOff>
      <xdr:row>2</xdr:row>
      <xdr:rowOff>47626</xdr:rowOff>
    </xdr:from>
    <xdr:to>
      <xdr:col>38</xdr:col>
      <xdr:colOff>28576</xdr:colOff>
      <xdr:row>39</xdr:row>
      <xdr:rowOff>106681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D899163-B54C-4506-8DE2-525045F109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66408" y="413386"/>
              <a:ext cx="1203008" cy="627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38</xdr:col>
      <xdr:colOff>80962</xdr:colOff>
      <xdr:row>2</xdr:row>
      <xdr:rowOff>47624</xdr:rowOff>
    </xdr:from>
    <xdr:to>
      <xdr:col>40</xdr:col>
      <xdr:colOff>0</xdr:colOff>
      <xdr:row>46</xdr:row>
      <xdr:rowOff>158114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41F38C8-21A6-4E19-B43D-28034F2CB6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21802" y="413384"/>
              <a:ext cx="1138238" cy="7608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40</xdr:col>
      <xdr:colOff>113347</xdr:colOff>
      <xdr:row>2</xdr:row>
      <xdr:rowOff>50482</xdr:rowOff>
    </xdr:from>
    <xdr:to>
      <xdr:col>42</xdr:col>
      <xdr:colOff>188595</xdr:colOff>
      <xdr:row>35</xdr:row>
      <xdr:rowOff>80010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4E9869A-6A30-4AF7-BE12-4205357C5B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73387" y="416242"/>
              <a:ext cx="1294448" cy="55159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35</xdr:row>
      <xdr:rowOff>45720</xdr:rowOff>
    </xdr:from>
    <xdr:to>
      <xdr:col>23</xdr:col>
      <xdr:colOff>228601</xdr:colOff>
      <xdr:row>68</xdr:row>
      <xdr:rowOff>105167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FA6189-0B71-4661-8477-5A2FA39F6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251960"/>
          <a:ext cx="8107680" cy="60944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232709</xdr:colOff>
      <xdr:row>20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07F54B-7872-4029-BC09-8BA5C955E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109508" cy="3787140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</xdr:colOff>
      <xdr:row>0</xdr:row>
      <xdr:rowOff>60960</xdr:rowOff>
    </xdr:from>
    <xdr:to>
      <xdr:col>16</xdr:col>
      <xdr:colOff>339138</xdr:colOff>
      <xdr:row>20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85FB80-A7EE-48FE-82F9-4A78B82D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8740" y="60960"/>
          <a:ext cx="4933998" cy="3703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417981</xdr:colOff>
      <xdr:row>44</xdr:row>
      <xdr:rowOff>181851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A57054-213A-4DD1-984D-582CD676F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52381" cy="82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110490</xdr:colOff>
      <xdr:row>3</xdr:row>
      <xdr:rowOff>129540</xdr:rowOff>
    </xdr:from>
    <xdr:to>
      <xdr:col>12</xdr:col>
      <xdr:colOff>692813</xdr:colOff>
      <xdr:row>10</xdr:row>
      <xdr:rowOff>89292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06522-3147-453D-B1BF-F721169D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3210" y="678180"/>
          <a:ext cx="4849523" cy="19714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218286</xdr:colOff>
      <xdr:row>32</xdr:row>
      <xdr:rowOff>43078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A7D17-34BA-45C0-88AD-6BA2CAF93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14286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45720</xdr:rowOff>
    </xdr:from>
    <xdr:to>
      <xdr:col>10</xdr:col>
      <xdr:colOff>170667</xdr:colOff>
      <xdr:row>65</xdr:row>
      <xdr:rowOff>98322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667E3-A3B1-477D-AF96-D5A1C5A88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0760"/>
          <a:ext cx="6266667" cy="59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335280</xdr:colOff>
      <xdr:row>0</xdr:row>
      <xdr:rowOff>0</xdr:rowOff>
    </xdr:from>
    <xdr:to>
      <xdr:col>30</xdr:col>
      <xdr:colOff>439280</xdr:colOff>
      <xdr:row>32</xdr:row>
      <xdr:rowOff>166888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69A1F6-440A-423B-B62F-0A9DD414D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27280" y="0"/>
          <a:ext cx="6200000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313524</xdr:colOff>
      <xdr:row>101</xdr:row>
      <xdr:rowOff>172556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A3CE13-28BD-4F32-B3D7-FE529B6C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252960"/>
          <a:ext cx="6409524" cy="6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66</xdr:row>
      <xdr:rowOff>144780</xdr:rowOff>
    </xdr:from>
    <xdr:to>
      <xdr:col>21</xdr:col>
      <xdr:colOff>84933</xdr:colOff>
      <xdr:row>100</xdr:row>
      <xdr:rowOff>60193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404230-CE3B-4605-A9D7-0E8B1855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53200" y="12214860"/>
          <a:ext cx="6333333" cy="61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66</xdr:row>
      <xdr:rowOff>114300</xdr:rowOff>
    </xdr:from>
    <xdr:to>
      <xdr:col>31</xdr:col>
      <xdr:colOff>364969</xdr:colOff>
      <xdr:row>101</xdr:row>
      <xdr:rowOff>75405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43D2BB-E73F-4A96-8D31-7EC478F9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38760" y="12184380"/>
          <a:ext cx="6323809" cy="6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556260</xdr:colOff>
      <xdr:row>0</xdr:row>
      <xdr:rowOff>53340</xdr:rowOff>
    </xdr:from>
    <xdr:to>
      <xdr:col>19</xdr:col>
      <xdr:colOff>517403</xdr:colOff>
      <xdr:row>33</xdr:row>
      <xdr:rowOff>37348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8FA4FF-AF8B-435C-9EED-96C7FF45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42660" y="53340"/>
          <a:ext cx="6057143" cy="6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426720</xdr:colOff>
      <xdr:row>32</xdr:row>
      <xdr:rowOff>152400</xdr:rowOff>
    </xdr:from>
    <xdr:to>
      <xdr:col>20</xdr:col>
      <xdr:colOff>425958</xdr:colOff>
      <xdr:row>66</xdr:row>
      <xdr:rowOff>29718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3C2212-416D-4BD4-B061-B24C1C9A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22720" y="6004560"/>
          <a:ext cx="6095238" cy="60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503009</xdr:colOff>
      <xdr:row>12</xdr:row>
      <xdr:rowOff>129249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8458DF-7CD7-4ADE-8441-087FF6ADF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23809" cy="23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34291</xdr:colOff>
      <xdr:row>6</xdr:row>
      <xdr:rowOff>131327</xdr:rowOff>
    </xdr:from>
    <xdr:to>
      <xdr:col>7</xdr:col>
      <xdr:colOff>287656</xdr:colOff>
      <xdr:row>34</xdr:row>
      <xdr:rowOff>136158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ED26E-7D85-4938-B546-F59E1C27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1" y="1217177"/>
          <a:ext cx="5082540" cy="507784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476251</xdr:colOff>
      <xdr:row>6</xdr:row>
      <xdr:rowOff>36194</xdr:rowOff>
    </xdr:from>
    <xdr:to>
      <xdr:col>14</xdr:col>
      <xdr:colOff>443865</xdr:colOff>
      <xdr:row>34</xdr:row>
      <xdr:rowOff>53772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332DE-08FF-4A92-A4B7-BC2D8B4B2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5026" y="1122044"/>
          <a:ext cx="5029199" cy="50791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7</xdr:row>
      <xdr:rowOff>51435</xdr:rowOff>
    </xdr:from>
    <xdr:to>
      <xdr:col>8</xdr:col>
      <xdr:colOff>287063</xdr:colOff>
      <xdr:row>32</xdr:row>
      <xdr:rowOff>176154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1FE02A-397A-4BE7-ABE2-E4365B47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331595"/>
          <a:ext cx="4544738" cy="46967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458365</xdr:colOff>
      <xdr:row>8</xdr:row>
      <xdr:rowOff>7620</xdr:rowOff>
    </xdr:from>
    <xdr:to>
      <xdr:col>12</xdr:col>
      <xdr:colOff>419100</xdr:colOff>
      <xdr:row>27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04574-F5D3-462E-96A5-4409B954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3005" y="1470660"/>
          <a:ext cx="3526895" cy="361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38100</xdr:rowOff>
    </xdr:from>
    <xdr:to>
      <xdr:col>4</xdr:col>
      <xdr:colOff>388620</xdr:colOff>
      <xdr:row>27</xdr:row>
      <xdr:rowOff>158772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ADD950-3C36-4776-8B67-F47A045F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1140"/>
          <a:ext cx="3535680" cy="3595392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8</xdr:row>
      <xdr:rowOff>60960</xdr:rowOff>
    </xdr:from>
    <xdr:to>
      <xdr:col>8</xdr:col>
      <xdr:colOff>464820</xdr:colOff>
      <xdr:row>27</xdr:row>
      <xdr:rowOff>158996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49ADA2-168A-4577-99BF-9DB5D9B3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524000"/>
          <a:ext cx="3543300" cy="3572756"/>
        </a:xfrm>
        <a:prstGeom prst="rect">
          <a:avLst/>
        </a:prstGeom>
      </xdr:spPr>
    </xdr:pic>
    <xdr:clientData/>
  </xdr:twoCellAnchor>
  <xdr:twoCellAnchor editAs="oneCell">
    <xdr:from>
      <xdr:col>12</xdr:col>
      <xdr:colOff>411225</xdr:colOff>
      <xdr:row>8</xdr:row>
      <xdr:rowOff>7620</xdr:rowOff>
    </xdr:from>
    <xdr:to>
      <xdr:col>18</xdr:col>
      <xdr:colOff>202840</xdr:colOff>
      <xdr:row>27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1D6777-BF66-4C3D-9B60-FF2FB4DA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2025" y="1470660"/>
          <a:ext cx="3540655" cy="36042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0</xdr:row>
      <xdr:rowOff>137160</xdr:rowOff>
    </xdr:from>
    <xdr:to>
      <xdr:col>9</xdr:col>
      <xdr:colOff>495300</xdr:colOff>
      <xdr:row>25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42CAFD-F33D-4F5C-B912-1AFB8C70D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13716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485280</xdr:colOff>
      <xdr:row>0</xdr:row>
      <xdr:rowOff>111900</xdr:rowOff>
    </xdr:from>
    <xdr:to>
      <xdr:col>17</xdr:col>
      <xdr:colOff>180480</xdr:colOff>
      <xdr:row>25</xdr:row>
      <xdr:rowOff>111900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E0902-6714-477E-BDB0-8062F3C85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1680" y="111900"/>
          <a:ext cx="4572000" cy="4572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278130</xdr:colOff>
      <xdr:row>0</xdr:row>
      <xdr:rowOff>0</xdr:rowOff>
    </xdr:from>
    <xdr:to>
      <xdr:col>17</xdr:col>
      <xdr:colOff>207645</xdr:colOff>
      <xdr:row>26</xdr:row>
      <xdr:rowOff>174836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DBCB1-0172-471A-B850-52C90605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9980" y="0"/>
          <a:ext cx="3587115" cy="4880186"/>
        </a:xfrm>
        <a:prstGeom prst="rect">
          <a:avLst/>
        </a:prstGeom>
      </xdr:spPr>
    </xdr:pic>
    <xdr:clientData/>
  </xdr:twoCellAnchor>
  <xdr:twoCellAnchor editAs="oneCell">
    <xdr:from>
      <xdr:col>17</xdr:col>
      <xdr:colOff>177165</xdr:colOff>
      <xdr:row>0</xdr:row>
      <xdr:rowOff>0</xdr:rowOff>
    </xdr:from>
    <xdr:to>
      <xdr:col>23</xdr:col>
      <xdr:colOff>457200</xdr:colOff>
      <xdr:row>20</xdr:row>
      <xdr:rowOff>29006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49E3CB-A2D0-4D54-9E89-5332E8CE7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6615" y="0"/>
          <a:ext cx="3937635" cy="3648506"/>
        </a:xfrm>
        <a:prstGeom prst="rect">
          <a:avLst/>
        </a:prstGeom>
      </xdr:spPr>
    </xdr:pic>
    <xdr:clientData/>
  </xdr:twoCellAnchor>
  <xdr:twoCellAnchor editAs="oneCell">
    <xdr:from>
      <xdr:col>4</xdr:col>
      <xdr:colOff>802006</xdr:colOff>
      <xdr:row>0</xdr:row>
      <xdr:rowOff>0</xdr:rowOff>
    </xdr:from>
    <xdr:to>
      <xdr:col>10</xdr:col>
      <xdr:colOff>546389</xdr:colOff>
      <xdr:row>20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B64327-69E9-4F53-8205-09E4D8AD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8531" y="0"/>
          <a:ext cx="3640108" cy="3629025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20</xdr:row>
      <xdr:rowOff>106680</xdr:rowOff>
    </xdr:from>
    <xdr:to>
      <xdr:col>25</xdr:col>
      <xdr:colOff>474038</xdr:colOff>
      <xdr:row>38</xdr:row>
      <xdr:rowOff>45072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599168-1D65-45C7-8583-74C9BCA72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7100" y="3726180"/>
          <a:ext cx="5103188" cy="31959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5</xdr:col>
      <xdr:colOff>118983</xdr:colOff>
      <xdr:row>26</xdr:row>
      <xdr:rowOff>76200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AECB373C-3CE8-44FB-A9DC-AF0E92060019}"/>
            </a:ext>
          </a:extLst>
        </xdr:cNvPr>
        <xdr:cNvGrpSpPr/>
      </xdr:nvGrpSpPr>
      <xdr:grpSpPr>
        <a:xfrm>
          <a:off x="0" y="0"/>
          <a:ext cx="3639423" cy="4831080"/>
          <a:chOff x="0" y="0"/>
          <a:chExt cx="3639423" cy="4831080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71A5E8A-510E-439F-94A7-F019304EE138}"/>
              </a:ext>
            </a:extLst>
          </xdr:cNvPr>
          <xdr:cNvGrpSpPr/>
        </xdr:nvGrpSpPr>
        <xdr:grpSpPr>
          <a:xfrm>
            <a:off x="0" y="0"/>
            <a:ext cx="3639423" cy="4831080"/>
            <a:chOff x="0" y="0"/>
            <a:chExt cx="3639423" cy="4831080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7D71D6B0-3E21-4E2D-A0FB-168A95E790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0" y="0"/>
              <a:ext cx="3639423" cy="4831080"/>
            </a:xfrm>
            <a:prstGeom prst="rect">
              <a:avLst/>
            </a:prstGeom>
          </xdr:spPr>
        </xdr:pic>
        <xdr:cxnSp macro="">
          <xdr:nvCxnSpPr>
            <xdr:cNvPr id="8" name="Straight Connector 7">
              <a:extLst>
                <a:ext uri="{FF2B5EF4-FFF2-40B4-BE49-F238E27FC236}">
                  <a16:creationId xmlns:a16="http://schemas.microsoft.com/office/drawing/2014/main" id="{1C6A88C1-8CE1-4FA9-AC1D-E1E5668DC92E}"/>
                </a:ext>
              </a:extLst>
            </xdr:cNvPr>
            <xdr:cNvCxnSpPr/>
          </xdr:nvCxnSpPr>
          <xdr:spPr>
            <a:xfrm flipH="1">
              <a:off x="742949" y="2722245"/>
              <a:ext cx="2700000" cy="0"/>
            </a:xfrm>
            <a:prstGeom prst="line">
              <a:avLst/>
            </a:prstGeom>
            <a:ln>
              <a:prstDash val="sysDas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99A57E35-7349-43E1-A77F-FF452E9A6EDB}"/>
              </a:ext>
            </a:extLst>
          </xdr:cNvPr>
          <xdr:cNvCxnSpPr/>
        </xdr:nvCxnSpPr>
        <xdr:spPr>
          <a:xfrm rot="5400000" flipH="1">
            <a:off x="1208954" y="2987760"/>
            <a:ext cx="2196000" cy="0"/>
          </a:xfrm>
          <a:prstGeom prst="line">
            <a:avLst/>
          </a:prstGeom>
          <a:ln>
            <a:prstDash val="sysDas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131445</xdr:colOff>
      <xdr:row>0</xdr:row>
      <xdr:rowOff>0</xdr:rowOff>
    </xdr:from>
    <xdr:to>
      <xdr:col>8</xdr:col>
      <xdr:colOff>372893</xdr:colOff>
      <xdr:row>43</xdr:row>
      <xdr:rowOff>96161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679DB2-1E54-42A9-8F46-482C396B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" y="0"/>
          <a:ext cx="3899048" cy="78780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1</xdr:row>
      <xdr:rowOff>142875</xdr:rowOff>
    </xdr:from>
    <xdr:to>
      <xdr:col>20</xdr:col>
      <xdr:colOff>542129</xdr:colOff>
      <xdr:row>31</xdr:row>
      <xdr:rowOff>86959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2ACB06-2D68-4D46-833A-94E64E65E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4050" y="323850"/>
          <a:ext cx="6371429" cy="537333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274320</xdr:colOff>
      <xdr:row>0</xdr:row>
      <xdr:rowOff>160020</xdr:rowOff>
    </xdr:from>
    <xdr:to>
      <xdr:col>16</xdr:col>
      <xdr:colOff>463306</xdr:colOff>
      <xdr:row>23</xdr:row>
      <xdr:rowOff>96020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C51206-276E-4BDD-A912-5FD310C1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160020"/>
          <a:ext cx="5065786" cy="4142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89040</xdr:rowOff>
    </xdr:from>
    <xdr:to>
      <xdr:col>8</xdr:col>
      <xdr:colOff>472451</xdr:colOff>
      <xdr:row>45</xdr:row>
      <xdr:rowOff>15896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63740-45E3-4A0A-A967-442D81100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95280"/>
          <a:ext cx="5349251" cy="3950216"/>
        </a:xfrm>
        <a:prstGeom prst="rect">
          <a:avLst/>
        </a:prstGeom>
      </xdr:spPr>
    </xdr:pic>
    <xdr:clientData/>
  </xdr:twoCellAnchor>
  <xdr:twoCellAnchor editAs="oneCell">
    <xdr:from>
      <xdr:col>16</xdr:col>
      <xdr:colOff>604800</xdr:colOff>
      <xdr:row>0</xdr:row>
      <xdr:rowOff>170460</xdr:rowOff>
    </xdr:from>
    <xdr:to>
      <xdr:col>22</xdr:col>
      <xdr:colOff>357919</xdr:colOff>
      <xdr:row>24</xdr:row>
      <xdr:rowOff>106461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C7DCA-35DF-4ED4-AC6D-DE10AF333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00" y="170460"/>
          <a:ext cx="3410719" cy="4325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83820</xdr:rowOff>
    </xdr:from>
    <xdr:to>
      <xdr:col>8</xdr:col>
      <xdr:colOff>271282</xdr:colOff>
      <xdr:row>24</xdr:row>
      <xdr:rowOff>19820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B89774-2887-48E5-BDCC-BC35A707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580"/>
          <a:ext cx="5148082" cy="3959360"/>
        </a:xfrm>
        <a:prstGeom prst="rect">
          <a:avLst/>
        </a:prstGeom>
      </xdr:spPr>
    </xdr:pic>
    <xdr:clientData/>
  </xdr:twoCellAnchor>
  <xdr:twoCellAnchor editAs="oneCell">
    <xdr:from>
      <xdr:col>8</xdr:col>
      <xdr:colOff>379020</xdr:colOff>
      <xdr:row>23</xdr:row>
      <xdr:rowOff>43740</xdr:rowOff>
    </xdr:from>
    <xdr:to>
      <xdr:col>17</xdr:col>
      <xdr:colOff>443039</xdr:colOff>
      <xdr:row>44</xdr:row>
      <xdr:rowOff>153476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7F3A77-D140-4699-A1A5-72EFF453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820" y="4249980"/>
          <a:ext cx="5550419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132780</xdr:rowOff>
    </xdr:from>
    <xdr:to>
      <xdr:col>8</xdr:col>
      <xdr:colOff>408442</xdr:colOff>
      <xdr:row>67</xdr:row>
      <xdr:rowOff>23060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CEFA0C-46FA-4368-9568-6F3947ECD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79500"/>
          <a:ext cx="5285242" cy="4096520"/>
        </a:xfrm>
        <a:prstGeom prst="rect">
          <a:avLst/>
        </a:prstGeom>
      </xdr:spPr>
    </xdr:pic>
    <xdr:clientData/>
  </xdr:twoCellAnchor>
  <xdr:twoCellAnchor editAs="oneCell">
    <xdr:from>
      <xdr:col>17</xdr:col>
      <xdr:colOff>473280</xdr:colOff>
      <xdr:row>24</xdr:row>
      <xdr:rowOff>77040</xdr:rowOff>
    </xdr:from>
    <xdr:to>
      <xdr:col>26</xdr:col>
      <xdr:colOff>134962</xdr:colOff>
      <xdr:row>45</xdr:row>
      <xdr:rowOff>13039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3EA57D-1642-498B-93A7-02F07ACD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6480" y="4466160"/>
          <a:ext cx="5148082" cy="3776479"/>
        </a:xfrm>
        <a:prstGeom prst="rect">
          <a:avLst/>
        </a:prstGeom>
      </xdr:spPr>
    </xdr:pic>
    <xdr:clientData/>
  </xdr:twoCellAnchor>
  <xdr:twoCellAnchor editAs="oneCell">
    <xdr:from>
      <xdr:col>8</xdr:col>
      <xdr:colOff>318480</xdr:colOff>
      <xdr:row>44</xdr:row>
      <xdr:rowOff>112740</xdr:rowOff>
    </xdr:from>
    <xdr:to>
      <xdr:col>23</xdr:col>
      <xdr:colOff>492234</xdr:colOff>
      <xdr:row>67</xdr:row>
      <xdr:rowOff>3020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D11769-1D17-4DEB-B86B-6C0C0E3B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280" y="8159460"/>
          <a:ext cx="9317754" cy="40965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10</xdr:row>
      <xdr:rowOff>68580</xdr:rowOff>
    </xdr:from>
    <xdr:to>
      <xdr:col>14</xdr:col>
      <xdr:colOff>441960</xdr:colOff>
      <xdr:row>25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9044CD-4F63-4FB9-91FD-1846B49B9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807720</xdr:colOff>
      <xdr:row>0</xdr:row>
      <xdr:rowOff>182879</xdr:rowOff>
    </xdr:from>
    <xdr:to>
      <xdr:col>21</xdr:col>
      <xdr:colOff>53340</xdr:colOff>
      <xdr:row>5</xdr:row>
      <xdr:rowOff>1021756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9DC542-B1AA-4419-97E4-FCB4A3ED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3760" y="182879"/>
          <a:ext cx="2575560" cy="3399197"/>
        </a:xfrm>
        <a:prstGeom prst="rect">
          <a:avLst/>
        </a:prstGeom>
      </xdr:spPr>
    </xdr:pic>
    <xdr:clientData/>
  </xdr:twoCellAnchor>
  <xdr:twoCellAnchor editAs="oneCell">
    <xdr:from>
      <xdr:col>14</xdr:col>
      <xdr:colOff>607201</xdr:colOff>
      <xdr:row>1</xdr:row>
      <xdr:rowOff>7620</xdr:rowOff>
    </xdr:from>
    <xdr:to>
      <xdr:col>16</xdr:col>
      <xdr:colOff>388231</xdr:colOff>
      <xdr:row>5</xdr:row>
      <xdr:rowOff>1026300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90A791-53F2-438D-ACDA-7FCD6A3B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1941" y="190500"/>
          <a:ext cx="2562330" cy="3396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researchgate.net/publication/225060986_Genome_Sizes_and_the_Benford_Distribution" TargetMode="External"/><Relationship Id="rId1" Type="http://schemas.openxmlformats.org/officeDocument/2006/relationships/hyperlink" Target="https://github.com/yfukasawa/LongQC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ucdavis-bioinformatics-training.github.io/2020-Genome_Assembly_Workshop/kmers/kmers" TargetMode="External"/><Relationship Id="rId1" Type="http://schemas.openxmlformats.org/officeDocument/2006/relationships/hyperlink" Target="https://bioinformatics.uconn.edu/genome-size-estimation-tutorial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HapSolo+PBMM@" TargetMode="External"/><Relationship Id="rId3" Type="http://schemas.openxmlformats.org/officeDocument/2006/relationships/hyperlink" Target="mailto:HapSolo+PBMM@" TargetMode="External"/><Relationship Id="rId7" Type="http://schemas.openxmlformats.org/officeDocument/2006/relationships/hyperlink" Target="mailto:HapSolo+PBMM@" TargetMode="External"/><Relationship Id="rId2" Type="http://schemas.openxmlformats.org/officeDocument/2006/relationships/hyperlink" Target="mailto:HapSolo+PBMM@" TargetMode="External"/><Relationship Id="rId1" Type="http://schemas.openxmlformats.org/officeDocument/2006/relationships/hyperlink" Target="mailto:HapSolo+PBMM@" TargetMode="External"/><Relationship Id="rId6" Type="http://schemas.openxmlformats.org/officeDocument/2006/relationships/hyperlink" Target="mailto:HapSolo+PBMM@" TargetMode="External"/><Relationship Id="rId11" Type="http://schemas.openxmlformats.org/officeDocument/2006/relationships/printerSettings" Target="../printerSettings/printerSettings14.bin"/><Relationship Id="rId5" Type="http://schemas.openxmlformats.org/officeDocument/2006/relationships/hyperlink" Target="mailto:HapSolo+PBMM@" TargetMode="External"/><Relationship Id="rId10" Type="http://schemas.openxmlformats.org/officeDocument/2006/relationships/hyperlink" Target="mailto:HapSolo+PBMM@" TargetMode="External"/><Relationship Id="rId4" Type="http://schemas.openxmlformats.org/officeDocument/2006/relationships/hyperlink" Target="mailto:HapSolo+PBMM@" TargetMode="External"/><Relationship Id="rId9" Type="http://schemas.openxmlformats.org/officeDocument/2006/relationships/hyperlink" Target="mailto:HapSolo+PBMM@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george.ririnui@npi.govt.nz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Taxonomy/Utils/wprintgc.cgi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http://www.bioinformatics.babraham.ac.uk/projects/fastqc" TargetMode="External"/><Relationship Id="rId1" Type="http://schemas.openxmlformats.org/officeDocument/2006/relationships/hyperlink" Target="http://dx.doi.org/10.1093/bioinformatics/btw3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8060-022B-44D7-9587-E130BDC0CA41}">
  <dimension ref="A1:AD75"/>
  <sheetViews>
    <sheetView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D14" sqref="D14"/>
    </sheetView>
  </sheetViews>
  <sheetFormatPr defaultRowHeight="14.4" x14ac:dyDescent="0.3"/>
  <cols>
    <col min="1" max="1" width="3.21875" bestFit="1" customWidth="1"/>
    <col min="2" max="2" width="3.109375" bestFit="1" customWidth="1"/>
    <col min="3" max="3" width="4.109375" bestFit="1" customWidth="1"/>
    <col min="4" max="4" width="50.5546875" style="99" bestFit="1" customWidth="1"/>
    <col min="5" max="6" width="4.77734375" bestFit="1" customWidth="1"/>
    <col min="7" max="7" width="5.33203125" bestFit="1" customWidth="1"/>
    <col min="8" max="8" width="3.21875" bestFit="1" customWidth="1"/>
    <col min="9" max="9" width="2.88671875" bestFit="1" customWidth="1"/>
    <col min="10" max="10" width="3.21875" bestFit="1" customWidth="1"/>
    <col min="11" max="11" width="4.44140625" bestFit="1" customWidth="1"/>
    <col min="12" max="13" width="5.109375" bestFit="1" customWidth="1"/>
    <col min="14" max="14" width="3.21875" bestFit="1" customWidth="1"/>
    <col min="15" max="15" width="3.5546875" bestFit="1" customWidth="1"/>
    <col min="16" max="16" width="3.33203125" bestFit="1" customWidth="1"/>
    <col min="17" max="17" width="2.88671875" bestFit="1" customWidth="1"/>
    <col min="18" max="18" width="3.5546875" bestFit="1" customWidth="1"/>
    <col min="19" max="19" width="3.33203125" bestFit="1" customWidth="1"/>
    <col min="20" max="20" width="3.109375" bestFit="1" customWidth="1"/>
    <col min="21" max="21" width="3.44140625" bestFit="1" customWidth="1"/>
    <col min="22" max="22" width="3.33203125" bestFit="1" customWidth="1"/>
    <col min="23" max="23" width="3.21875" bestFit="1" customWidth="1"/>
    <col min="24" max="25" width="3.33203125" bestFit="1" customWidth="1"/>
    <col min="26" max="26" width="3.21875" bestFit="1" customWidth="1"/>
    <col min="27" max="27" width="3.5546875" bestFit="1" customWidth="1"/>
    <col min="28" max="28" width="3.33203125" customWidth="1"/>
    <col min="29" max="29" width="3.44140625" customWidth="1"/>
    <col min="30" max="30" width="9.5546875" bestFit="1" customWidth="1"/>
  </cols>
  <sheetData>
    <row r="1" spans="1:30" x14ac:dyDescent="0.3">
      <c r="A1" s="334" t="s">
        <v>645</v>
      </c>
      <c r="B1" s="335"/>
      <c r="C1" s="335"/>
      <c r="D1" s="336"/>
      <c r="E1" s="334" t="s">
        <v>646</v>
      </c>
      <c r="F1" s="335"/>
      <c r="G1" s="335"/>
      <c r="H1" s="334" t="s">
        <v>647</v>
      </c>
      <c r="I1" s="335"/>
      <c r="J1" s="335"/>
      <c r="K1" s="335"/>
      <c r="L1" s="335"/>
      <c r="M1" s="336"/>
      <c r="N1" s="334">
        <v>2022</v>
      </c>
      <c r="O1" s="335"/>
      <c r="P1" s="335"/>
      <c r="Q1" s="335"/>
      <c r="R1" s="335"/>
      <c r="S1" s="335"/>
      <c r="T1" s="335"/>
      <c r="U1" s="335"/>
      <c r="V1" s="336"/>
      <c r="W1" s="334">
        <v>2023</v>
      </c>
      <c r="X1" s="335"/>
      <c r="Y1" s="335"/>
      <c r="Z1" s="335"/>
      <c r="AA1" s="336"/>
    </row>
    <row r="2" spans="1:30" x14ac:dyDescent="0.3">
      <c r="A2" s="33" t="s">
        <v>0</v>
      </c>
      <c r="B2" s="175" t="s">
        <v>562</v>
      </c>
      <c r="C2" s="175" t="s">
        <v>563</v>
      </c>
      <c r="D2" s="73" t="s">
        <v>561</v>
      </c>
      <c r="E2" s="200" t="s">
        <v>638</v>
      </c>
      <c r="F2" s="180" t="s">
        <v>639</v>
      </c>
      <c r="G2" s="180" t="s">
        <v>640</v>
      </c>
      <c r="H2" s="33" t="s">
        <v>564</v>
      </c>
      <c r="I2" s="175" t="s">
        <v>566</v>
      </c>
      <c r="J2" s="175" t="s">
        <v>565</v>
      </c>
      <c r="K2" s="175" t="s">
        <v>648</v>
      </c>
      <c r="L2" s="175" t="s">
        <v>567</v>
      </c>
      <c r="M2" s="201" t="s">
        <v>568</v>
      </c>
      <c r="N2" s="202">
        <v>44652</v>
      </c>
      <c r="O2" s="202">
        <v>44682</v>
      </c>
      <c r="P2" s="202">
        <v>44713</v>
      </c>
      <c r="Q2" s="202">
        <v>44743</v>
      </c>
      <c r="R2" s="202">
        <v>44774</v>
      </c>
      <c r="S2" s="202">
        <v>44805</v>
      </c>
      <c r="T2" s="202">
        <v>44835</v>
      </c>
      <c r="U2" s="202">
        <v>44866</v>
      </c>
      <c r="V2" s="203">
        <v>44896</v>
      </c>
      <c r="W2" s="202">
        <v>44927</v>
      </c>
      <c r="X2" s="202">
        <v>44958</v>
      </c>
      <c r="Y2" s="202">
        <v>44986</v>
      </c>
      <c r="Z2" s="202">
        <v>45017</v>
      </c>
      <c r="AA2" s="203">
        <v>45047</v>
      </c>
      <c r="AC2" s="333" t="s">
        <v>649</v>
      </c>
      <c r="AD2" s="333"/>
    </row>
    <row r="3" spans="1:30" x14ac:dyDescent="0.3">
      <c r="A3" s="181">
        <v>1</v>
      </c>
      <c r="B3" s="176"/>
      <c r="C3" s="176"/>
      <c r="D3" s="185" t="s">
        <v>588</v>
      </c>
      <c r="E3" s="186">
        <f>IF(B3="",AVERAGEIF($A$3:$A$75,"="&amp;A3,$F$3:$F$75),"")</f>
        <v>0.3</v>
      </c>
      <c r="F3" s="187" t="str">
        <f>IF(AND(B3&lt;&gt;"",OR(C3="",C3=0)),AVERAGEIFS($G$3:$G$75,$C$3:$C$75,"&lt;&gt;",$B$3:$B$75,"="&amp;$B3,$A$3:$A$75,"="&amp;A3),"")</f>
        <v/>
      </c>
      <c r="G3" s="187"/>
      <c r="H3" s="25"/>
      <c r="I3" s="13"/>
      <c r="J3" s="13"/>
      <c r="K3" s="13"/>
      <c r="L3" s="13"/>
      <c r="M3" s="26"/>
      <c r="N3" s="25"/>
      <c r="O3" s="13"/>
      <c r="P3" s="13"/>
      <c r="Q3" s="13"/>
      <c r="R3" s="13"/>
      <c r="S3" s="13"/>
      <c r="T3" s="13"/>
      <c r="U3" s="13"/>
      <c r="V3" s="13"/>
      <c r="W3" s="25"/>
      <c r="X3" s="13"/>
      <c r="Y3" s="13"/>
      <c r="Z3" s="13"/>
      <c r="AA3" s="26"/>
      <c r="AC3">
        <v>-1</v>
      </c>
      <c r="AD3" s="5" t="s">
        <v>650</v>
      </c>
    </row>
    <row r="4" spans="1:30" x14ac:dyDescent="0.3">
      <c r="A4" s="182">
        <v>1</v>
      </c>
      <c r="B4" s="177">
        <v>1</v>
      </c>
      <c r="C4" s="177"/>
      <c r="D4" s="188" t="s">
        <v>589</v>
      </c>
      <c r="E4" s="189" t="str">
        <f t="shared" ref="E4:E67" si="0">IF(B4="",AVERAGEIF($A$3:$A$75,"="&amp;A4,$F$3:$F$75),"")</f>
        <v/>
      </c>
      <c r="F4" s="190">
        <f t="shared" ref="F4:F67" si="1">IF(AND(B4&lt;&gt;"",OR(C4="",C4=0)),AVERAGEIFS($G$3:$G$75,$C$3:$C$75,"&lt;&gt;",$B$3:$B$75,"="&amp;$B4,$A$3:$A$75,"="&amp;A4),"")</f>
        <v>0</v>
      </c>
      <c r="G4" s="190"/>
      <c r="H4" s="28"/>
      <c r="I4" s="76"/>
      <c r="J4" s="76"/>
      <c r="K4" s="76"/>
      <c r="L4" s="76"/>
      <c r="M4" s="30"/>
      <c r="N4" s="28"/>
      <c r="O4" s="76"/>
      <c r="P4" s="76"/>
      <c r="Q4" s="76"/>
      <c r="R4" s="76"/>
      <c r="S4" s="76"/>
      <c r="T4" s="76"/>
      <c r="U4" s="76"/>
      <c r="V4" s="76"/>
      <c r="W4" s="28"/>
      <c r="X4" s="76"/>
      <c r="Y4" s="76"/>
      <c r="Z4" s="76"/>
      <c r="AA4" s="30"/>
      <c r="AC4">
        <v>0</v>
      </c>
      <c r="AD4" s="5" t="s">
        <v>651</v>
      </c>
    </row>
    <row r="5" spans="1:30" x14ac:dyDescent="0.3">
      <c r="A5" s="182">
        <v>1</v>
      </c>
      <c r="B5" s="177">
        <v>1</v>
      </c>
      <c r="C5" s="177">
        <v>1</v>
      </c>
      <c r="D5" s="188" t="s">
        <v>590</v>
      </c>
      <c r="E5" s="189" t="str">
        <f t="shared" si="0"/>
        <v/>
      </c>
      <c r="F5" s="190" t="str">
        <f t="shared" si="1"/>
        <v/>
      </c>
      <c r="G5" s="190">
        <v>0</v>
      </c>
      <c r="H5" s="28"/>
      <c r="I5" s="76"/>
      <c r="J5" s="76"/>
      <c r="K5" s="76"/>
      <c r="L5" s="76"/>
      <c r="M5" s="30"/>
      <c r="N5" s="28">
        <v>1</v>
      </c>
      <c r="O5" s="76">
        <v>1</v>
      </c>
      <c r="P5" s="76">
        <v>2</v>
      </c>
      <c r="Q5" s="171">
        <v>2</v>
      </c>
      <c r="R5" s="171">
        <v>2</v>
      </c>
      <c r="S5" s="171">
        <v>2</v>
      </c>
      <c r="T5" s="76"/>
      <c r="U5" s="76"/>
      <c r="V5" s="76"/>
      <c r="W5" s="28"/>
      <c r="X5" s="76"/>
      <c r="Y5" s="76"/>
      <c r="Z5" s="76"/>
      <c r="AA5" s="30"/>
      <c r="AC5">
        <v>1</v>
      </c>
      <c r="AD5" s="5" t="s">
        <v>652</v>
      </c>
    </row>
    <row r="6" spans="1:30" x14ac:dyDescent="0.3">
      <c r="A6" s="182">
        <v>1</v>
      </c>
      <c r="B6" s="177">
        <v>1</v>
      </c>
      <c r="C6" s="177">
        <v>2</v>
      </c>
      <c r="D6" s="188" t="s">
        <v>591</v>
      </c>
      <c r="E6" s="189" t="str">
        <f t="shared" si="0"/>
        <v/>
      </c>
      <c r="F6" s="190" t="str">
        <f t="shared" si="1"/>
        <v/>
      </c>
      <c r="G6" s="190">
        <v>0</v>
      </c>
      <c r="H6" s="28"/>
      <c r="I6" s="76"/>
      <c r="J6" s="76"/>
      <c r="K6" s="76"/>
      <c r="L6" s="76"/>
      <c r="M6" s="30"/>
      <c r="N6" s="28">
        <v>1</v>
      </c>
      <c r="O6" s="76">
        <v>1</v>
      </c>
      <c r="P6" s="76">
        <v>2</v>
      </c>
      <c r="Q6" s="171">
        <v>2</v>
      </c>
      <c r="R6" s="171">
        <v>2</v>
      </c>
      <c r="S6" s="171">
        <v>2</v>
      </c>
      <c r="T6" s="76"/>
      <c r="U6" s="76"/>
      <c r="V6" s="76"/>
      <c r="W6" s="28"/>
      <c r="X6" s="76"/>
      <c r="Y6" s="76"/>
      <c r="Z6" s="76"/>
      <c r="AA6" s="30"/>
      <c r="AD6" s="5"/>
    </row>
    <row r="7" spans="1:30" x14ac:dyDescent="0.3">
      <c r="A7" s="182">
        <v>1</v>
      </c>
      <c r="B7" s="177">
        <v>2</v>
      </c>
      <c r="C7" s="177"/>
      <c r="D7" s="191" t="s">
        <v>592</v>
      </c>
      <c r="E7" s="189" t="str">
        <f t="shared" si="0"/>
        <v/>
      </c>
      <c r="F7" s="190">
        <f t="shared" si="1"/>
        <v>0.6</v>
      </c>
      <c r="G7" s="190"/>
      <c r="H7" s="28"/>
      <c r="I7" s="76"/>
      <c r="J7" s="76"/>
      <c r="K7" s="76"/>
      <c r="L7" s="76"/>
      <c r="M7" s="30"/>
      <c r="N7" s="28"/>
      <c r="O7" s="76"/>
      <c r="P7" s="76"/>
      <c r="Q7" s="76"/>
      <c r="R7" s="76"/>
      <c r="S7" s="76"/>
      <c r="T7" s="76"/>
      <c r="U7" s="76"/>
      <c r="V7" s="76"/>
      <c r="W7" s="28"/>
      <c r="X7" s="76"/>
      <c r="Y7" s="76"/>
      <c r="Z7" s="76"/>
      <c r="AA7" s="30"/>
      <c r="AC7" s="28">
        <v>1</v>
      </c>
      <c r="AD7" s="5" t="s">
        <v>653</v>
      </c>
    </row>
    <row r="8" spans="1:30" x14ac:dyDescent="0.3">
      <c r="A8" s="182">
        <v>1</v>
      </c>
      <c r="B8" s="177">
        <v>2</v>
      </c>
      <c r="C8" s="177">
        <v>1</v>
      </c>
      <c r="D8" s="191" t="s">
        <v>593</v>
      </c>
      <c r="E8" s="189" t="str">
        <f t="shared" si="0"/>
        <v/>
      </c>
      <c r="F8" s="190" t="str">
        <f t="shared" si="1"/>
        <v/>
      </c>
      <c r="G8" s="192">
        <v>0.6</v>
      </c>
      <c r="H8" s="28"/>
      <c r="I8" s="76"/>
      <c r="J8" s="76"/>
      <c r="K8" s="76"/>
      <c r="L8" s="76"/>
      <c r="M8" s="30"/>
      <c r="N8" s="28">
        <v>1</v>
      </c>
      <c r="O8" s="76">
        <v>1</v>
      </c>
      <c r="P8" s="76">
        <v>2</v>
      </c>
      <c r="Q8" s="171">
        <v>2</v>
      </c>
      <c r="R8" s="171">
        <v>2</v>
      </c>
      <c r="S8" s="171">
        <v>2</v>
      </c>
      <c r="T8" s="76"/>
      <c r="U8" s="76"/>
      <c r="V8" s="76"/>
      <c r="W8" s="28"/>
      <c r="X8" s="76"/>
      <c r="Y8" s="76"/>
      <c r="Z8" s="76"/>
      <c r="AA8" s="30"/>
      <c r="AC8" s="171">
        <v>2</v>
      </c>
      <c r="AD8" s="5" t="s">
        <v>651</v>
      </c>
    </row>
    <row r="9" spans="1:30" x14ac:dyDescent="0.3">
      <c r="A9" s="182">
        <v>1</v>
      </c>
      <c r="B9" s="177">
        <v>2</v>
      </c>
      <c r="C9" s="177">
        <v>2</v>
      </c>
      <c r="D9" s="188" t="s">
        <v>594</v>
      </c>
      <c r="E9" s="189" t="str">
        <f t="shared" si="0"/>
        <v/>
      </c>
      <c r="F9" s="190" t="str">
        <f t="shared" si="1"/>
        <v/>
      </c>
      <c r="G9" s="190"/>
      <c r="H9" s="28"/>
      <c r="I9" s="76"/>
      <c r="J9" s="76"/>
      <c r="K9" s="76"/>
      <c r="L9" s="76"/>
      <c r="M9" s="30"/>
      <c r="N9" s="28"/>
      <c r="O9" s="76"/>
      <c r="P9" s="76"/>
      <c r="Q9" s="76"/>
      <c r="R9" s="76"/>
      <c r="S9" s="76"/>
      <c r="T9" s="76"/>
      <c r="U9" s="76"/>
      <c r="V9" s="76"/>
      <c r="W9" s="28"/>
      <c r="X9" s="76"/>
      <c r="Y9" s="76"/>
      <c r="Z9" s="76"/>
      <c r="AA9" s="30"/>
    </row>
    <row r="10" spans="1:30" x14ac:dyDescent="0.3">
      <c r="A10" s="182">
        <v>1</v>
      </c>
      <c r="B10" s="177">
        <v>2</v>
      </c>
      <c r="C10" s="177">
        <v>3</v>
      </c>
      <c r="D10" s="191" t="s">
        <v>595</v>
      </c>
      <c r="E10" s="189" t="str">
        <f t="shared" si="0"/>
        <v/>
      </c>
      <c r="F10" s="190" t="str">
        <f t="shared" si="1"/>
        <v/>
      </c>
      <c r="G10" s="192">
        <v>0.6</v>
      </c>
      <c r="H10" s="28"/>
      <c r="I10" s="76"/>
      <c r="J10" s="76"/>
      <c r="K10" s="76"/>
      <c r="L10" s="76"/>
      <c r="M10" s="30"/>
      <c r="N10" s="28">
        <v>1</v>
      </c>
      <c r="O10" s="76">
        <v>1</v>
      </c>
      <c r="P10" s="76">
        <v>2</v>
      </c>
      <c r="Q10" s="171">
        <v>2</v>
      </c>
      <c r="R10" s="171">
        <v>2</v>
      </c>
      <c r="S10" s="171">
        <v>2</v>
      </c>
      <c r="T10" s="76"/>
      <c r="U10" s="76"/>
      <c r="V10" s="76"/>
      <c r="W10" s="28"/>
      <c r="X10" s="76"/>
      <c r="Y10" s="76"/>
      <c r="Z10" s="76"/>
      <c r="AA10" s="30"/>
    </row>
    <row r="11" spans="1:30" x14ac:dyDescent="0.3">
      <c r="A11" s="182">
        <v>1</v>
      </c>
      <c r="B11" s="177">
        <v>3</v>
      </c>
      <c r="C11" s="177"/>
      <c r="D11" s="191" t="s">
        <v>596</v>
      </c>
      <c r="E11" s="189" t="str">
        <f t="shared" si="0"/>
        <v/>
      </c>
      <c r="F11" s="190">
        <f t="shared" si="1"/>
        <v>0.6</v>
      </c>
      <c r="G11" s="190"/>
      <c r="H11" s="28"/>
      <c r="I11" s="76"/>
      <c r="J11" s="76"/>
      <c r="K11" s="76"/>
      <c r="L11" s="76"/>
      <c r="M11" s="30"/>
      <c r="N11" s="28"/>
      <c r="O11" s="76"/>
      <c r="P11" s="76"/>
      <c r="Q11" s="76"/>
      <c r="R11" s="76"/>
      <c r="S11" s="76"/>
      <c r="T11" s="76"/>
      <c r="U11" s="76"/>
      <c r="V11" s="76"/>
      <c r="W11" s="28"/>
      <c r="X11" s="76"/>
      <c r="Y11" s="76"/>
      <c r="Z11" s="76"/>
      <c r="AA11" s="30"/>
    </row>
    <row r="12" spans="1:30" x14ac:dyDescent="0.3">
      <c r="A12" s="182">
        <v>1</v>
      </c>
      <c r="B12" s="177">
        <v>3</v>
      </c>
      <c r="C12" s="177">
        <v>1</v>
      </c>
      <c r="D12" s="191" t="s">
        <v>597</v>
      </c>
      <c r="E12" s="189" t="str">
        <f t="shared" si="0"/>
        <v/>
      </c>
      <c r="F12" s="190" t="str">
        <f t="shared" si="1"/>
        <v/>
      </c>
      <c r="G12" s="192">
        <v>0.6</v>
      </c>
      <c r="H12" s="28"/>
      <c r="I12" s="76"/>
      <c r="J12" s="76"/>
      <c r="K12" s="76"/>
      <c r="L12" s="76"/>
      <c r="M12" s="30"/>
      <c r="N12" s="28">
        <v>1</v>
      </c>
      <c r="O12" s="76">
        <v>1</v>
      </c>
      <c r="P12" s="76">
        <v>2</v>
      </c>
      <c r="Q12" s="171">
        <v>2</v>
      </c>
      <c r="R12" s="171">
        <v>2</v>
      </c>
      <c r="S12" s="171">
        <v>2</v>
      </c>
      <c r="T12" s="76"/>
      <c r="U12" s="76"/>
      <c r="V12" s="76"/>
      <c r="W12" s="28"/>
      <c r="X12" s="76"/>
      <c r="Y12" s="76"/>
      <c r="Z12" s="76"/>
      <c r="AA12" s="30"/>
    </row>
    <row r="13" spans="1:30" x14ac:dyDescent="0.3">
      <c r="A13" s="182">
        <v>1</v>
      </c>
      <c r="B13" s="177">
        <v>3</v>
      </c>
      <c r="C13" s="177">
        <v>2</v>
      </c>
      <c r="D13" s="191" t="s">
        <v>598</v>
      </c>
      <c r="E13" s="189" t="str">
        <f t="shared" si="0"/>
        <v/>
      </c>
      <c r="F13" s="190" t="str">
        <f t="shared" si="1"/>
        <v/>
      </c>
      <c r="G13" s="83">
        <v>0.6</v>
      </c>
      <c r="H13" s="28"/>
      <c r="I13" s="76"/>
      <c r="J13" s="76"/>
      <c r="K13" s="76"/>
      <c r="L13" s="76"/>
      <c r="M13" s="30"/>
      <c r="N13" s="28">
        <v>1</v>
      </c>
      <c r="O13" s="76">
        <v>1</v>
      </c>
      <c r="P13" s="76">
        <v>2</v>
      </c>
      <c r="Q13" s="171">
        <v>2</v>
      </c>
      <c r="R13" s="171">
        <v>2</v>
      </c>
      <c r="S13" s="171">
        <v>2</v>
      </c>
      <c r="T13" s="76"/>
      <c r="U13" s="76"/>
      <c r="V13" s="76"/>
      <c r="W13" s="28"/>
      <c r="X13" s="76"/>
      <c r="Y13" s="76"/>
      <c r="Z13" s="76"/>
      <c r="AA13" s="30"/>
    </row>
    <row r="14" spans="1:30" x14ac:dyDescent="0.3">
      <c r="A14" s="182">
        <v>1</v>
      </c>
      <c r="B14" s="177">
        <v>4</v>
      </c>
      <c r="C14" s="177">
        <v>0</v>
      </c>
      <c r="D14" s="188" t="s">
        <v>599</v>
      </c>
      <c r="E14" s="189" t="str">
        <f t="shared" si="0"/>
        <v/>
      </c>
      <c r="F14" s="190">
        <f t="shared" si="1"/>
        <v>0</v>
      </c>
      <c r="G14" s="83">
        <v>0</v>
      </c>
      <c r="H14" s="20"/>
      <c r="I14" s="18"/>
      <c r="J14" s="18"/>
      <c r="K14" s="18"/>
      <c r="L14" s="18"/>
      <c r="M14" s="24"/>
      <c r="N14" s="20"/>
      <c r="O14" s="18">
        <v>1</v>
      </c>
      <c r="P14" s="18">
        <v>1</v>
      </c>
      <c r="Q14" s="76">
        <v>2</v>
      </c>
      <c r="R14" s="171">
        <v>2</v>
      </c>
      <c r="S14" s="171">
        <v>2</v>
      </c>
      <c r="T14" s="171">
        <v>2</v>
      </c>
      <c r="U14" s="18"/>
      <c r="V14" s="18"/>
      <c r="W14" s="20"/>
      <c r="X14" s="18"/>
      <c r="Y14" s="18"/>
      <c r="Z14" s="18"/>
      <c r="AA14" s="24"/>
    </row>
    <row r="15" spans="1:30" x14ac:dyDescent="0.3">
      <c r="A15" s="181">
        <v>2</v>
      </c>
      <c r="B15" s="176"/>
      <c r="C15" s="176"/>
      <c r="D15" s="193" t="s">
        <v>600</v>
      </c>
      <c r="E15" s="186">
        <f t="shared" si="0"/>
        <v>9.4999999999999987E-2</v>
      </c>
      <c r="F15" s="187" t="str">
        <f t="shared" si="1"/>
        <v/>
      </c>
      <c r="G15" s="179"/>
      <c r="H15" s="25"/>
      <c r="I15" s="13"/>
      <c r="J15" s="13"/>
      <c r="K15" s="13"/>
      <c r="L15" s="13"/>
      <c r="M15" s="13"/>
      <c r="N15" s="25"/>
      <c r="O15" s="13"/>
      <c r="P15" s="13"/>
      <c r="Q15" s="13"/>
      <c r="R15" s="13"/>
      <c r="S15" s="13"/>
      <c r="T15" s="13"/>
      <c r="U15" s="13"/>
      <c r="V15" s="26"/>
      <c r="W15" s="13"/>
      <c r="X15" s="13"/>
      <c r="Y15" s="13"/>
      <c r="Z15" s="13"/>
      <c r="AA15" s="26"/>
    </row>
    <row r="16" spans="1:30" x14ac:dyDescent="0.3">
      <c r="A16" s="182">
        <v>2</v>
      </c>
      <c r="B16" s="177">
        <v>1</v>
      </c>
      <c r="C16" s="177">
        <v>0</v>
      </c>
      <c r="D16" s="194" t="s">
        <v>569</v>
      </c>
      <c r="E16" s="189" t="str">
        <f t="shared" si="0"/>
        <v/>
      </c>
      <c r="F16" s="190">
        <f>IF(AND(B16&lt;&gt;"",OR(C16="",C16=0)),AVERAGEIFS($G$3:$G$75,$C$3:$C$75,"&lt;&gt;",$B$3:$B$75,"="&amp;$B16,$A$3:$A$75,"="&amp;A16),"")</f>
        <v>0</v>
      </c>
      <c r="G16" s="83">
        <v>0</v>
      </c>
      <c r="H16" s="28"/>
      <c r="I16" s="76"/>
      <c r="J16" s="76"/>
      <c r="K16" s="76"/>
      <c r="L16" s="76"/>
      <c r="M16" s="76"/>
      <c r="N16" s="28"/>
      <c r="O16" s="76"/>
      <c r="P16" s="76"/>
      <c r="Q16" s="76"/>
      <c r="R16" s="76"/>
      <c r="S16" s="76"/>
      <c r="T16" s="76"/>
      <c r="U16" s="76"/>
      <c r="V16" s="30"/>
      <c r="W16" s="76"/>
      <c r="X16" s="76"/>
      <c r="Y16" s="76"/>
      <c r="Z16" s="76"/>
      <c r="AA16" s="30"/>
    </row>
    <row r="17" spans="1:27" x14ac:dyDescent="0.3">
      <c r="A17" s="182">
        <v>2</v>
      </c>
      <c r="B17" s="177">
        <v>2</v>
      </c>
      <c r="C17" s="177"/>
      <c r="D17" s="195" t="s">
        <v>570</v>
      </c>
      <c r="E17" s="189" t="str">
        <f t="shared" si="0"/>
        <v/>
      </c>
      <c r="F17" s="190">
        <f t="shared" si="1"/>
        <v>0.44999999999999996</v>
      </c>
      <c r="G17" s="190"/>
      <c r="H17" s="28"/>
      <c r="I17" s="76"/>
      <c r="J17" s="76"/>
      <c r="K17" s="76"/>
      <c r="L17" s="76"/>
      <c r="M17" s="76"/>
      <c r="N17" s="28"/>
      <c r="O17" s="76"/>
      <c r="P17" s="76"/>
      <c r="Q17" s="76"/>
      <c r="R17" s="76"/>
      <c r="S17" s="76"/>
      <c r="T17" s="76"/>
      <c r="U17" s="76"/>
      <c r="V17" s="30"/>
      <c r="W17" s="76"/>
      <c r="X17" s="76"/>
      <c r="Y17" s="76"/>
      <c r="Z17" s="76"/>
      <c r="AA17" s="30"/>
    </row>
    <row r="18" spans="1:27" x14ac:dyDescent="0.3">
      <c r="A18" s="182">
        <v>2</v>
      </c>
      <c r="B18" s="177">
        <v>2</v>
      </c>
      <c r="C18" s="177">
        <v>1</v>
      </c>
      <c r="D18" s="195" t="s">
        <v>571</v>
      </c>
      <c r="E18" s="189" t="str">
        <f t="shared" si="0"/>
        <v/>
      </c>
      <c r="F18" s="190" t="str">
        <f t="shared" si="1"/>
        <v/>
      </c>
      <c r="G18" s="83">
        <v>0.6</v>
      </c>
      <c r="H18" s="28"/>
      <c r="I18" s="76"/>
      <c r="J18" s="76"/>
      <c r="K18" s="76"/>
      <c r="L18" s="76"/>
      <c r="M18" s="76"/>
      <c r="N18" s="28"/>
      <c r="O18" s="76">
        <v>1</v>
      </c>
      <c r="P18" s="76">
        <v>1</v>
      </c>
      <c r="Q18" s="76">
        <v>2</v>
      </c>
      <c r="R18" s="171">
        <v>2</v>
      </c>
      <c r="S18" s="171">
        <v>2</v>
      </c>
      <c r="T18" s="171">
        <v>2</v>
      </c>
      <c r="U18" s="76"/>
      <c r="V18" s="30"/>
      <c r="W18" s="76"/>
      <c r="X18" s="76"/>
      <c r="Y18" s="76"/>
      <c r="Z18" s="76"/>
      <c r="AA18" s="30"/>
    </row>
    <row r="19" spans="1:27" x14ac:dyDescent="0.3">
      <c r="A19" s="182">
        <v>2</v>
      </c>
      <c r="B19" s="177">
        <v>2</v>
      </c>
      <c r="C19" s="177">
        <v>2</v>
      </c>
      <c r="D19" s="195" t="s">
        <v>572</v>
      </c>
      <c r="E19" s="189" t="str">
        <f t="shared" si="0"/>
        <v/>
      </c>
      <c r="F19" s="190" t="str">
        <f t="shared" si="1"/>
        <v/>
      </c>
      <c r="G19" s="83">
        <v>0.6</v>
      </c>
      <c r="H19" s="28"/>
      <c r="I19" s="76"/>
      <c r="J19" s="76"/>
      <c r="K19" s="76"/>
      <c r="L19" s="76"/>
      <c r="M19" s="76"/>
      <c r="N19" s="28"/>
      <c r="O19" s="76">
        <v>1</v>
      </c>
      <c r="P19" s="76">
        <v>1</v>
      </c>
      <c r="Q19" s="76">
        <v>2</v>
      </c>
      <c r="R19" s="171">
        <v>2</v>
      </c>
      <c r="S19" s="171">
        <v>2</v>
      </c>
      <c r="T19" s="171">
        <v>2</v>
      </c>
      <c r="U19" s="76"/>
      <c r="V19" s="30"/>
      <c r="W19" s="76"/>
      <c r="X19" s="76"/>
      <c r="Y19" s="76"/>
      <c r="Z19" s="76"/>
      <c r="AA19" s="30"/>
    </row>
    <row r="20" spans="1:27" x14ac:dyDescent="0.3">
      <c r="A20" s="182">
        <v>2</v>
      </c>
      <c r="B20" s="177">
        <v>2</v>
      </c>
      <c r="C20" s="177">
        <v>3</v>
      </c>
      <c r="D20" s="195" t="s">
        <v>573</v>
      </c>
      <c r="E20" s="189" t="str">
        <f t="shared" si="0"/>
        <v/>
      </c>
      <c r="F20" s="190" t="str">
        <f t="shared" si="1"/>
        <v/>
      </c>
      <c r="G20" s="83">
        <v>0.6</v>
      </c>
      <c r="H20" s="28"/>
      <c r="I20" s="76"/>
      <c r="J20" s="76"/>
      <c r="K20" s="76"/>
      <c r="L20" s="76"/>
      <c r="M20" s="76"/>
      <c r="N20" s="28"/>
      <c r="O20" s="76">
        <v>1</v>
      </c>
      <c r="P20" s="76">
        <v>1</v>
      </c>
      <c r="Q20" s="76">
        <v>2</v>
      </c>
      <c r="R20" s="171">
        <v>2</v>
      </c>
      <c r="S20" s="171">
        <v>2</v>
      </c>
      <c r="T20" s="171">
        <v>2</v>
      </c>
      <c r="U20" s="76"/>
      <c r="V20" s="30"/>
      <c r="W20" s="76"/>
      <c r="X20" s="76"/>
      <c r="Y20" s="76"/>
      <c r="Z20" s="76"/>
      <c r="AA20" s="30"/>
    </row>
    <row r="21" spans="1:27" x14ac:dyDescent="0.3">
      <c r="A21" s="182">
        <v>2</v>
      </c>
      <c r="B21" s="177">
        <v>2</v>
      </c>
      <c r="C21" s="177">
        <v>4</v>
      </c>
      <c r="D21" s="194" t="s">
        <v>574</v>
      </c>
      <c r="E21" s="189" t="str">
        <f t="shared" si="0"/>
        <v/>
      </c>
      <c r="F21" s="190" t="str">
        <f t="shared" si="1"/>
        <v/>
      </c>
      <c r="G21" s="83">
        <v>0</v>
      </c>
      <c r="H21" s="28"/>
      <c r="I21" s="76"/>
      <c r="J21" s="76"/>
      <c r="K21" s="76"/>
      <c r="L21" s="76"/>
      <c r="M21" s="76"/>
      <c r="N21" s="28"/>
      <c r="O21" s="76"/>
      <c r="P21" s="76"/>
      <c r="Q21" s="76">
        <v>1</v>
      </c>
      <c r="R21" s="76">
        <v>1</v>
      </c>
      <c r="S21" s="76">
        <v>2</v>
      </c>
      <c r="T21" s="171">
        <v>2</v>
      </c>
      <c r="U21" s="171">
        <v>2</v>
      </c>
      <c r="V21" s="199">
        <v>2</v>
      </c>
      <c r="W21" s="76"/>
      <c r="X21" s="76"/>
      <c r="Y21" s="76"/>
      <c r="Z21" s="76"/>
      <c r="AA21" s="30"/>
    </row>
    <row r="22" spans="1:27" x14ac:dyDescent="0.3">
      <c r="A22" s="182">
        <v>2</v>
      </c>
      <c r="B22" s="177">
        <v>3</v>
      </c>
      <c r="C22" s="177"/>
      <c r="D22" s="195" t="s">
        <v>575</v>
      </c>
      <c r="E22" s="189" t="str">
        <f t="shared" si="0"/>
        <v/>
      </c>
      <c r="F22" s="190">
        <f t="shared" si="1"/>
        <v>0.12</v>
      </c>
      <c r="G22" s="190"/>
      <c r="H22" s="28"/>
      <c r="I22" s="76"/>
      <c r="J22" s="76"/>
      <c r="K22" s="76"/>
      <c r="L22" s="76"/>
      <c r="M22" s="76"/>
      <c r="N22" s="28"/>
      <c r="O22" s="76"/>
      <c r="P22" s="76"/>
      <c r="Q22" s="76">
        <v>1</v>
      </c>
      <c r="R22" s="76">
        <v>1</v>
      </c>
      <c r="S22" s="76">
        <v>2</v>
      </c>
      <c r="T22" s="171">
        <v>2</v>
      </c>
      <c r="U22" s="171">
        <v>2</v>
      </c>
      <c r="V22" s="199">
        <v>2</v>
      </c>
      <c r="W22" s="76"/>
      <c r="X22" s="76"/>
      <c r="Y22" s="76"/>
      <c r="Z22" s="76"/>
      <c r="AA22" s="30"/>
    </row>
    <row r="23" spans="1:27" x14ac:dyDescent="0.3">
      <c r="A23" s="182">
        <v>2</v>
      </c>
      <c r="B23" s="177">
        <v>3</v>
      </c>
      <c r="C23" s="177">
        <v>1</v>
      </c>
      <c r="D23" s="194" t="s">
        <v>576</v>
      </c>
      <c r="E23" s="189" t="str">
        <f t="shared" si="0"/>
        <v/>
      </c>
      <c r="F23" s="190" t="str">
        <f t="shared" si="1"/>
        <v/>
      </c>
      <c r="G23" s="83">
        <v>0</v>
      </c>
      <c r="H23" s="28"/>
      <c r="I23" s="76"/>
      <c r="J23" s="76"/>
      <c r="K23" s="76"/>
      <c r="L23" s="76"/>
      <c r="M23" s="76"/>
      <c r="N23" s="28"/>
      <c r="O23" s="76"/>
      <c r="P23" s="76"/>
      <c r="Q23" s="76">
        <v>1</v>
      </c>
      <c r="R23" s="76">
        <v>1</v>
      </c>
      <c r="S23" s="76">
        <v>2</v>
      </c>
      <c r="T23" s="171">
        <v>2</v>
      </c>
      <c r="U23" s="171">
        <v>2</v>
      </c>
      <c r="V23" s="199">
        <v>2</v>
      </c>
      <c r="W23" s="76"/>
      <c r="X23" s="76"/>
      <c r="Y23" s="76"/>
      <c r="Z23" s="76"/>
      <c r="AA23" s="30"/>
    </row>
    <row r="24" spans="1:27" x14ac:dyDescent="0.3">
      <c r="A24" s="182">
        <v>2</v>
      </c>
      <c r="B24" s="177">
        <v>3</v>
      </c>
      <c r="C24" s="177">
        <v>2</v>
      </c>
      <c r="D24" s="195" t="s">
        <v>577</v>
      </c>
      <c r="E24" s="189" t="str">
        <f t="shared" si="0"/>
        <v/>
      </c>
      <c r="F24" s="190" t="str">
        <f t="shared" si="1"/>
        <v/>
      </c>
      <c r="G24" s="83">
        <v>0.6</v>
      </c>
      <c r="H24" s="28"/>
      <c r="I24" s="76"/>
      <c r="J24" s="76"/>
      <c r="K24" s="76"/>
      <c r="L24" s="76"/>
      <c r="M24" s="76"/>
      <c r="N24" s="28"/>
      <c r="O24" s="76"/>
      <c r="P24" s="76"/>
      <c r="Q24" s="76">
        <v>1</v>
      </c>
      <c r="R24" s="76">
        <v>1</v>
      </c>
      <c r="S24" s="76">
        <v>2</v>
      </c>
      <c r="T24" s="171">
        <v>2</v>
      </c>
      <c r="U24" s="171">
        <v>2</v>
      </c>
      <c r="V24" s="199">
        <v>2</v>
      </c>
      <c r="W24" s="76"/>
      <c r="X24" s="76"/>
      <c r="Y24" s="76"/>
      <c r="Z24" s="76"/>
      <c r="AA24" s="30"/>
    </row>
    <row r="25" spans="1:27" x14ac:dyDescent="0.3">
      <c r="A25" s="182">
        <v>2</v>
      </c>
      <c r="B25" s="177">
        <v>3</v>
      </c>
      <c r="C25" s="177">
        <v>3</v>
      </c>
      <c r="D25" s="194" t="s">
        <v>578</v>
      </c>
      <c r="E25" s="189" t="str">
        <f t="shared" si="0"/>
        <v/>
      </c>
      <c r="F25" s="190" t="str">
        <f t="shared" si="1"/>
        <v/>
      </c>
      <c r="G25" s="83">
        <v>0</v>
      </c>
      <c r="H25" s="28"/>
      <c r="I25" s="76"/>
      <c r="J25" s="76"/>
      <c r="K25" s="76"/>
      <c r="L25" s="76"/>
      <c r="M25" s="76"/>
      <c r="N25" s="28"/>
      <c r="O25" s="76"/>
      <c r="P25" s="76"/>
      <c r="Q25" s="76">
        <v>1</v>
      </c>
      <c r="R25" s="76">
        <v>1</v>
      </c>
      <c r="S25" s="76">
        <v>2</v>
      </c>
      <c r="T25" s="171">
        <v>2</v>
      </c>
      <c r="U25" s="171">
        <v>2</v>
      </c>
      <c r="V25" s="199">
        <v>2</v>
      </c>
      <c r="W25" s="76"/>
      <c r="X25" s="76"/>
      <c r="Y25" s="76"/>
      <c r="Z25" s="76"/>
      <c r="AA25" s="30"/>
    </row>
    <row r="26" spans="1:27" x14ac:dyDescent="0.3">
      <c r="A26" s="182">
        <v>2</v>
      </c>
      <c r="B26" s="177">
        <v>3</v>
      </c>
      <c r="C26" s="177">
        <v>4</v>
      </c>
      <c r="D26" s="194" t="s">
        <v>579</v>
      </c>
      <c r="E26" s="189" t="str">
        <f t="shared" si="0"/>
        <v/>
      </c>
      <c r="F26" s="190" t="str">
        <f t="shared" si="1"/>
        <v/>
      </c>
      <c r="G26" s="83">
        <v>0</v>
      </c>
      <c r="H26" s="28"/>
      <c r="I26" s="76"/>
      <c r="J26" s="76"/>
      <c r="K26" s="76"/>
      <c r="L26" s="76"/>
      <c r="M26" s="76"/>
      <c r="N26" s="28"/>
      <c r="O26" s="76"/>
      <c r="P26" s="76"/>
      <c r="Q26" s="76">
        <v>1</v>
      </c>
      <c r="R26" s="76">
        <v>1</v>
      </c>
      <c r="S26" s="76">
        <v>2</v>
      </c>
      <c r="T26" s="171">
        <v>2</v>
      </c>
      <c r="U26" s="171">
        <v>2</v>
      </c>
      <c r="V26" s="199">
        <v>2</v>
      </c>
      <c r="W26" s="76"/>
      <c r="X26" s="76"/>
      <c r="Y26" s="76"/>
      <c r="Z26" s="76"/>
      <c r="AA26" s="30"/>
    </row>
    <row r="27" spans="1:27" x14ac:dyDescent="0.3">
      <c r="A27" s="182">
        <v>2</v>
      </c>
      <c r="B27" s="177">
        <v>3</v>
      </c>
      <c r="C27" s="177">
        <v>5</v>
      </c>
      <c r="D27" s="194" t="s">
        <v>580</v>
      </c>
      <c r="E27" s="189" t="str">
        <f t="shared" si="0"/>
        <v/>
      </c>
      <c r="F27" s="190" t="str">
        <f t="shared" si="1"/>
        <v/>
      </c>
      <c r="G27" s="83">
        <v>0</v>
      </c>
      <c r="H27" s="28"/>
      <c r="I27" s="76"/>
      <c r="J27" s="76"/>
      <c r="K27" s="76"/>
      <c r="L27" s="76"/>
      <c r="M27" s="76"/>
      <c r="N27" s="28"/>
      <c r="O27" s="76"/>
      <c r="P27" s="76"/>
      <c r="Q27" s="76"/>
      <c r="R27" s="76"/>
      <c r="S27" s="76">
        <v>1</v>
      </c>
      <c r="T27" s="76">
        <v>1</v>
      </c>
      <c r="U27" s="76">
        <v>2</v>
      </c>
      <c r="V27" s="199">
        <v>2</v>
      </c>
      <c r="W27" s="171">
        <v>2</v>
      </c>
      <c r="X27" s="171">
        <v>2</v>
      </c>
      <c r="Y27" s="76"/>
      <c r="Z27" s="76"/>
      <c r="AA27" s="30"/>
    </row>
    <row r="28" spans="1:27" x14ac:dyDescent="0.3">
      <c r="A28" s="182">
        <v>2</v>
      </c>
      <c r="B28" s="177">
        <v>4</v>
      </c>
      <c r="C28" s="177"/>
      <c r="D28" s="195" t="s">
        <v>581</v>
      </c>
      <c r="E28" s="189" t="str">
        <f t="shared" si="0"/>
        <v/>
      </c>
      <c r="F28" s="190">
        <f t="shared" si="1"/>
        <v>0</v>
      </c>
      <c r="G28" s="190"/>
      <c r="H28" s="28"/>
      <c r="I28" s="76"/>
      <c r="J28" s="76"/>
      <c r="K28" s="76"/>
      <c r="L28" s="76"/>
      <c r="M28" s="76"/>
      <c r="N28" s="28"/>
      <c r="O28" s="76"/>
      <c r="P28" s="76"/>
      <c r="Q28" s="76">
        <v>1</v>
      </c>
      <c r="R28" s="76">
        <v>1</v>
      </c>
      <c r="S28" s="76">
        <v>2</v>
      </c>
      <c r="T28" s="171">
        <v>2</v>
      </c>
      <c r="U28" s="171">
        <v>2</v>
      </c>
      <c r="V28" s="199">
        <v>2</v>
      </c>
      <c r="W28" s="76"/>
      <c r="X28" s="76"/>
      <c r="Y28" s="76"/>
      <c r="Z28" s="76"/>
      <c r="AA28" s="30"/>
    </row>
    <row r="29" spans="1:27" x14ac:dyDescent="0.3">
      <c r="A29" s="182">
        <v>2</v>
      </c>
      <c r="B29" s="177">
        <v>4</v>
      </c>
      <c r="C29" s="177">
        <v>1</v>
      </c>
      <c r="D29" s="194" t="s">
        <v>582</v>
      </c>
      <c r="E29" s="189" t="str">
        <f t="shared" si="0"/>
        <v/>
      </c>
      <c r="F29" s="190" t="str">
        <f t="shared" si="1"/>
        <v/>
      </c>
      <c r="G29" s="83">
        <v>0</v>
      </c>
      <c r="H29" s="28"/>
      <c r="I29" s="76"/>
      <c r="J29" s="76"/>
      <c r="K29" s="76"/>
      <c r="L29" s="76"/>
      <c r="M29" s="76"/>
      <c r="N29" s="28"/>
      <c r="O29" s="76"/>
      <c r="P29" s="76"/>
      <c r="Q29" s="76">
        <v>1</v>
      </c>
      <c r="R29" s="76">
        <v>1</v>
      </c>
      <c r="S29" s="76">
        <v>2</v>
      </c>
      <c r="T29" s="171">
        <v>2</v>
      </c>
      <c r="U29" s="171">
        <v>2</v>
      </c>
      <c r="V29" s="199">
        <v>2</v>
      </c>
      <c r="W29" s="76"/>
      <c r="X29" s="76"/>
      <c r="Y29" s="76"/>
      <c r="Z29" s="76"/>
      <c r="AA29" s="30"/>
    </row>
    <row r="30" spans="1:27" x14ac:dyDescent="0.3">
      <c r="A30" s="182">
        <v>2</v>
      </c>
      <c r="B30" s="177">
        <v>4</v>
      </c>
      <c r="C30" s="177">
        <v>2</v>
      </c>
      <c r="D30" s="194" t="s">
        <v>583</v>
      </c>
      <c r="E30" s="189" t="str">
        <f t="shared" si="0"/>
        <v/>
      </c>
      <c r="F30" s="190" t="str">
        <f t="shared" si="1"/>
        <v/>
      </c>
      <c r="G30" s="83">
        <v>0</v>
      </c>
      <c r="H30" s="28"/>
      <c r="I30" s="76"/>
      <c r="J30" s="76"/>
      <c r="K30" s="76"/>
      <c r="L30" s="76"/>
      <c r="M30" s="76"/>
      <c r="N30" s="28"/>
      <c r="O30" s="76"/>
      <c r="P30" s="76"/>
      <c r="Q30" s="76">
        <v>1</v>
      </c>
      <c r="R30" s="76">
        <v>1</v>
      </c>
      <c r="S30" s="76">
        <v>2</v>
      </c>
      <c r="T30" s="171">
        <v>2</v>
      </c>
      <c r="U30" s="171">
        <v>2</v>
      </c>
      <c r="V30" s="199">
        <v>2</v>
      </c>
      <c r="W30" s="76"/>
      <c r="X30" s="76"/>
      <c r="Y30" s="76"/>
      <c r="Z30" s="76"/>
      <c r="AA30" s="30"/>
    </row>
    <row r="31" spans="1:27" x14ac:dyDescent="0.3">
      <c r="A31" s="182">
        <v>2</v>
      </c>
      <c r="B31" s="177">
        <v>4</v>
      </c>
      <c r="C31" s="177">
        <v>3</v>
      </c>
      <c r="D31" s="194" t="s">
        <v>584</v>
      </c>
      <c r="E31" s="189" t="str">
        <f t="shared" si="0"/>
        <v/>
      </c>
      <c r="F31" s="190" t="str">
        <f t="shared" si="1"/>
        <v/>
      </c>
      <c r="G31" s="83">
        <v>0</v>
      </c>
      <c r="H31" s="28"/>
      <c r="I31" s="76"/>
      <c r="J31" s="76"/>
      <c r="K31" s="76"/>
      <c r="L31" s="76"/>
      <c r="M31" s="76"/>
      <c r="N31" s="28"/>
      <c r="O31" s="76"/>
      <c r="P31" s="76"/>
      <c r="Q31" s="76">
        <v>1</v>
      </c>
      <c r="R31" s="76">
        <v>1</v>
      </c>
      <c r="S31" s="76">
        <v>2</v>
      </c>
      <c r="T31" s="171">
        <v>2</v>
      </c>
      <c r="U31" s="171">
        <v>2</v>
      </c>
      <c r="V31" s="199">
        <v>2</v>
      </c>
      <c r="W31" s="76"/>
      <c r="X31" s="76"/>
      <c r="Y31" s="76"/>
      <c r="Z31" s="76"/>
      <c r="AA31" s="30"/>
    </row>
    <row r="32" spans="1:27" x14ac:dyDescent="0.3">
      <c r="A32" s="182">
        <v>2</v>
      </c>
      <c r="B32" s="177">
        <v>4</v>
      </c>
      <c r="C32" s="177">
        <v>4</v>
      </c>
      <c r="D32" s="194" t="s">
        <v>585</v>
      </c>
      <c r="E32" s="189" t="str">
        <f t="shared" si="0"/>
        <v/>
      </c>
      <c r="F32" s="190" t="str">
        <f t="shared" si="1"/>
        <v/>
      </c>
      <c r="G32" s="83">
        <v>0</v>
      </c>
      <c r="H32" s="28"/>
      <c r="I32" s="76"/>
      <c r="J32" s="76"/>
      <c r="K32" s="76"/>
      <c r="L32" s="76"/>
      <c r="M32" s="76"/>
      <c r="N32" s="28"/>
      <c r="O32" s="76"/>
      <c r="P32" s="76"/>
      <c r="Q32" s="76">
        <v>1</v>
      </c>
      <c r="R32" s="76">
        <v>1</v>
      </c>
      <c r="S32" s="76">
        <v>2</v>
      </c>
      <c r="T32" s="171">
        <v>2</v>
      </c>
      <c r="U32" s="171">
        <v>2</v>
      </c>
      <c r="V32" s="199">
        <v>2</v>
      </c>
      <c r="W32" s="76"/>
      <c r="X32" s="76"/>
      <c r="Y32" s="76"/>
      <c r="Z32" s="76"/>
      <c r="AA32" s="30"/>
    </row>
    <row r="33" spans="1:27" x14ac:dyDescent="0.3">
      <c r="A33" s="182">
        <v>2</v>
      </c>
      <c r="B33" s="177">
        <v>5</v>
      </c>
      <c r="C33" s="177">
        <v>0</v>
      </c>
      <c r="D33" s="194" t="s">
        <v>586</v>
      </c>
      <c r="E33" s="189" t="str">
        <f t="shared" si="0"/>
        <v/>
      </c>
      <c r="F33" s="190">
        <f t="shared" si="1"/>
        <v>0</v>
      </c>
      <c r="G33" s="190">
        <v>0</v>
      </c>
      <c r="H33" s="28"/>
      <c r="I33" s="76"/>
      <c r="J33" s="76"/>
      <c r="K33" s="76"/>
      <c r="L33" s="76"/>
      <c r="M33" s="76"/>
      <c r="N33" s="28"/>
      <c r="O33" s="76"/>
      <c r="P33" s="76"/>
      <c r="Q33" s="76"/>
      <c r="R33" s="76"/>
      <c r="S33" s="76">
        <v>1</v>
      </c>
      <c r="T33" s="76">
        <v>1</v>
      </c>
      <c r="U33" s="76">
        <v>2</v>
      </c>
      <c r="V33" s="199">
        <v>2</v>
      </c>
      <c r="W33" s="171">
        <v>2</v>
      </c>
      <c r="X33" s="171">
        <v>2</v>
      </c>
      <c r="Y33" s="76"/>
      <c r="Z33" s="76"/>
      <c r="AA33" s="30"/>
    </row>
    <row r="34" spans="1:27" x14ac:dyDescent="0.3">
      <c r="A34" s="182">
        <v>2</v>
      </c>
      <c r="B34" s="177">
        <v>6</v>
      </c>
      <c r="C34" s="177">
        <v>0</v>
      </c>
      <c r="D34" s="195" t="s">
        <v>587</v>
      </c>
      <c r="E34" s="189" t="str">
        <f t="shared" si="0"/>
        <v/>
      </c>
      <c r="F34" s="190">
        <f t="shared" si="1"/>
        <v>0</v>
      </c>
      <c r="G34" s="190">
        <v>0</v>
      </c>
      <c r="H34" s="20"/>
      <c r="I34" s="18"/>
      <c r="J34" s="18"/>
      <c r="K34" s="18"/>
      <c r="L34" s="18"/>
      <c r="M34" s="18"/>
      <c r="N34" s="20"/>
      <c r="O34" s="18"/>
      <c r="P34" s="18"/>
      <c r="Q34" s="18"/>
      <c r="R34" s="18"/>
      <c r="S34" s="18"/>
      <c r="T34" s="18"/>
      <c r="U34" s="18"/>
      <c r="V34" s="24"/>
      <c r="W34" s="18"/>
      <c r="X34" s="18"/>
      <c r="Y34" s="18"/>
      <c r="Z34" s="18"/>
      <c r="AA34" s="24"/>
    </row>
    <row r="35" spans="1:27" x14ac:dyDescent="0.3">
      <c r="A35" s="181">
        <v>3</v>
      </c>
      <c r="B35" s="176"/>
      <c r="C35" s="176"/>
      <c r="D35" s="193" t="s">
        <v>601</v>
      </c>
      <c r="E35" s="186">
        <f t="shared" si="0"/>
        <v>0</v>
      </c>
      <c r="F35" s="187" t="str">
        <f t="shared" si="1"/>
        <v/>
      </c>
      <c r="G35" s="179"/>
      <c r="H35" s="25"/>
      <c r="I35" s="13"/>
      <c r="J35" s="13"/>
      <c r="K35" s="13"/>
      <c r="L35" s="13"/>
      <c r="M35" s="13"/>
      <c r="N35" s="25"/>
      <c r="O35" s="13"/>
      <c r="P35" s="13"/>
      <c r="Q35" s="13"/>
      <c r="R35" s="13"/>
      <c r="S35" s="13">
        <v>1</v>
      </c>
      <c r="T35" s="13">
        <v>1</v>
      </c>
      <c r="U35" s="13">
        <v>2</v>
      </c>
      <c r="V35" s="204">
        <v>2</v>
      </c>
      <c r="W35" s="171">
        <v>2</v>
      </c>
      <c r="X35" s="171">
        <v>2</v>
      </c>
      <c r="Y35" s="76"/>
      <c r="Z35" s="76"/>
      <c r="AA35" s="30"/>
    </row>
    <row r="36" spans="1:27" x14ac:dyDescent="0.3">
      <c r="A36" s="182">
        <v>3</v>
      </c>
      <c r="B36" s="177">
        <v>1</v>
      </c>
      <c r="C36" s="177">
        <v>0</v>
      </c>
      <c r="D36" s="194" t="s">
        <v>602</v>
      </c>
      <c r="E36" s="189" t="str">
        <f t="shared" si="0"/>
        <v/>
      </c>
      <c r="F36" s="190">
        <f t="shared" si="1"/>
        <v>0</v>
      </c>
      <c r="G36" s="83">
        <v>0</v>
      </c>
      <c r="H36" s="28"/>
      <c r="I36" s="76"/>
      <c r="J36" s="76"/>
      <c r="K36" s="76"/>
      <c r="L36" s="76"/>
      <c r="M36" s="76"/>
      <c r="N36" s="28"/>
      <c r="O36" s="76"/>
      <c r="P36" s="76"/>
      <c r="Q36" s="76"/>
      <c r="R36" s="76"/>
      <c r="S36" s="76">
        <v>1</v>
      </c>
      <c r="T36" s="76">
        <v>1</v>
      </c>
      <c r="U36" s="76">
        <v>2</v>
      </c>
      <c r="V36" s="199">
        <v>2</v>
      </c>
      <c r="W36" s="171">
        <v>2</v>
      </c>
      <c r="X36" s="171">
        <v>2</v>
      </c>
      <c r="Y36" s="76"/>
      <c r="Z36" s="76"/>
      <c r="AA36" s="30"/>
    </row>
    <row r="37" spans="1:27" x14ac:dyDescent="0.3">
      <c r="A37" s="182">
        <v>3</v>
      </c>
      <c r="B37" s="177">
        <v>2</v>
      </c>
      <c r="C37" s="177"/>
      <c r="D37" s="194" t="s">
        <v>603</v>
      </c>
      <c r="E37" s="189" t="str">
        <f t="shared" si="0"/>
        <v/>
      </c>
      <c r="F37" s="190">
        <f t="shared" si="1"/>
        <v>0</v>
      </c>
      <c r="G37" s="190"/>
      <c r="H37" s="28"/>
      <c r="I37" s="76"/>
      <c r="J37" s="76"/>
      <c r="K37" s="76"/>
      <c r="L37" s="76"/>
      <c r="M37" s="76"/>
      <c r="N37" s="28"/>
      <c r="O37" s="76"/>
      <c r="P37" s="76"/>
      <c r="Q37" s="76"/>
      <c r="R37" s="76"/>
      <c r="S37" s="76">
        <v>1</v>
      </c>
      <c r="T37" s="76">
        <v>1</v>
      </c>
      <c r="U37" s="76">
        <v>2</v>
      </c>
      <c r="V37" s="199">
        <v>2</v>
      </c>
      <c r="W37" s="171">
        <v>2</v>
      </c>
      <c r="X37" s="171">
        <v>2</v>
      </c>
      <c r="Y37" s="76"/>
      <c r="Z37" s="76"/>
      <c r="AA37" s="30"/>
    </row>
    <row r="38" spans="1:27" x14ac:dyDescent="0.3">
      <c r="A38" s="182">
        <v>3</v>
      </c>
      <c r="B38" s="177">
        <v>2</v>
      </c>
      <c r="C38" s="177">
        <v>1</v>
      </c>
      <c r="D38" s="194" t="s">
        <v>604</v>
      </c>
      <c r="E38" s="189" t="str">
        <f t="shared" si="0"/>
        <v/>
      </c>
      <c r="F38" s="190" t="str">
        <f t="shared" si="1"/>
        <v/>
      </c>
      <c r="G38" s="83">
        <v>0</v>
      </c>
      <c r="H38" s="28"/>
      <c r="I38" s="76"/>
      <c r="J38" s="76"/>
      <c r="K38" s="76"/>
      <c r="L38" s="76"/>
      <c r="M38" s="76"/>
      <c r="N38" s="28"/>
      <c r="O38" s="76"/>
      <c r="P38" s="76"/>
      <c r="Q38" s="76"/>
      <c r="R38" s="76"/>
      <c r="S38" s="76">
        <v>1</v>
      </c>
      <c r="T38" s="76">
        <v>1</v>
      </c>
      <c r="U38" s="76">
        <v>2</v>
      </c>
      <c r="V38" s="199">
        <v>2</v>
      </c>
      <c r="W38" s="171">
        <v>2</v>
      </c>
      <c r="X38" s="171">
        <v>2</v>
      </c>
      <c r="Y38" s="76"/>
      <c r="Z38" s="76"/>
      <c r="AA38" s="30"/>
    </row>
    <row r="39" spans="1:27" x14ac:dyDescent="0.3">
      <c r="A39" s="182">
        <v>3</v>
      </c>
      <c r="B39" s="177">
        <v>2</v>
      </c>
      <c r="C39" s="177">
        <v>2</v>
      </c>
      <c r="D39" s="194" t="s">
        <v>605</v>
      </c>
      <c r="E39" s="189" t="str">
        <f t="shared" si="0"/>
        <v/>
      </c>
      <c r="F39" s="190" t="str">
        <f t="shared" si="1"/>
        <v/>
      </c>
      <c r="G39" s="83">
        <v>0</v>
      </c>
      <c r="H39" s="28"/>
      <c r="I39" s="76"/>
      <c r="J39" s="76"/>
      <c r="K39" s="76"/>
      <c r="L39" s="76"/>
      <c r="M39" s="76"/>
      <c r="N39" s="28"/>
      <c r="O39" s="76"/>
      <c r="P39" s="76"/>
      <c r="Q39" s="76"/>
      <c r="R39" s="76"/>
      <c r="S39" s="76">
        <v>1</v>
      </c>
      <c r="T39" s="76">
        <v>1</v>
      </c>
      <c r="U39" s="76">
        <v>2</v>
      </c>
      <c r="V39" s="199">
        <v>2</v>
      </c>
      <c r="W39" s="171">
        <v>2</v>
      </c>
      <c r="X39" s="171">
        <v>2</v>
      </c>
      <c r="Y39" s="76"/>
      <c r="Z39" s="76"/>
      <c r="AA39" s="30"/>
    </row>
    <row r="40" spans="1:27" x14ac:dyDescent="0.3">
      <c r="A40" s="182">
        <v>3</v>
      </c>
      <c r="B40" s="177">
        <v>2</v>
      </c>
      <c r="C40" s="177">
        <v>3</v>
      </c>
      <c r="D40" s="194" t="s">
        <v>606</v>
      </c>
      <c r="E40" s="189" t="str">
        <f t="shared" si="0"/>
        <v/>
      </c>
      <c r="F40" s="190" t="str">
        <f t="shared" si="1"/>
        <v/>
      </c>
      <c r="G40" s="83">
        <v>0</v>
      </c>
      <c r="H40" s="28"/>
      <c r="I40" s="76"/>
      <c r="J40" s="76"/>
      <c r="K40" s="76"/>
      <c r="L40" s="76"/>
      <c r="M40" s="76"/>
      <c r="N40" s="28"/>
      <c r="O40" s="76"/>
      <c r="P40" s="76"/>
      <c r="Q40" s="76"/>
      <c r="R40" s="76"/>
      <c r="S40" s="76">
        <v>1</v>
      </c>
      <c r="T40" s="76">
        <v>1</v>
      </c>
      <c r="U40" s="76">
        <v>2</v>
      </c>
      <c r="V40" s="199">
        <v>2</v>
      </c>
      <c r="W40" s="171">
        <v>2</v>
      </c>
      <c r="X40" s="171">
        <v>2</v>
      </c>
      <c r="Y40" s="76"/>
      <c r="Z40" s="76"/>
      <c r="AA40" s="30"/>
    </row>
    <row r="41" spans="1:27" x14ac:dyDescent="0.3">
      <c r="A41" s="182">
        <v>3</v>
      </c>
      <c r="B41" s="177">
        <v>2</v>
      </c>
      <c r="C41" s="177">
        <v>4</v>
      </c>
      <c r="D41" s="194" t="s">
        <v>607</v>
      </c>
      <c r="E41" s="189" t="str">
        <f t="shared" si="0"/>
        <v/>
      </c>
      <c r="F41" s="190" t="str">
        <f t="shared" si="1"/>
        <v/>
      </c>
      <c r="G41" s="83">
        <v>0</v>
      </c>
      <c r="H41" s="28"/>
      <c r="I41" s="76"/>
      <c r="J41" s="76"/>
      <c r="K41" s="76"/>
      <c r="L41" s="76"/>
      <c r="M41" s="76"/>
      <c r="N41" s="28"/>
      <c r="O41" s="76"/>
      <c r="P41" s="76"/>
      <c r="Q41" s="76"/>
      <c r="R41" s="76"/>
      <c r="S41" s="76">
        <v>1</v>
      </c>
      <c r="T41" s="76">
        <v>1</v>
      </c>
      <c r="U41" s="76">
        <v>2</v>
      </c>
      <c r="V41" s="199">
        <v>2</v>
      </c>
      <c r="W41" s="171">
        <v>2</v>
      </c>
      <c r="X41" s="171">
        <v>2</v>
      </c>
      <c r="Y41" s="76"/>
      <c r="Z41" s="76"/>
      <c r="AA41" s="30"/>
    </row>
    <row r="42" spans="1:27" x14ac:dyDescent="0.3">
      <c r="A42" s="182">
        <v>3</v>
      </c>
      <c r="B42" s="177">
        <v>3</v>
      </c>
      <c r="C42" s="177"/>
      <c r="D42" s="194" t="s">
        <v>608</v>
      </c>
      <c r="E42" s="189" t="str">
        <f t="shared" si="0"/>
        <v/>
      </c>
      <c r="F42" s="190">
        <f t="shared" si="1"/>
        <v>0</v>
      </c>
      <c r="G42" s="190"/>
      <c r="H42" s="28"/>
      <c r="I42" s="76"/>
      <c r="J42" s="76"/>
      <c r="K42" s="76"/>
      <c r="L42" s="76"/>
      <c r="M42" s="76"/>
      <c r="N42" s="28"/>
      <c r="O42" s="76"/>
      <c r="P42" s="76"/>
      <c r="Q42" s="76"/>
      <c r="R42" s="76"/>
      <c r="S42" s="76">
        <v>1</v>
      </c>
      <c r="T42" s="76">
        <v>1</v>
      </c>
      <c r="U42" s="76">
        <v>2</v>
      </c>
      <c r="V42" s="199">
        <v>2</v>
      </c>
      <c r="W42" s="171">
        <v>2</v>
      </c>
      <c r="X42" s="171">
        <v>2</v>
      </c>
      <c r="Y42" s="76"/>
      <c r="Z42" s="76"/>
      <c r="AA42" s="30"/>
    </row>
    <row r="43" spans="1:27" x14ac:dyDescent="0.3">
      <c r="A43" s="182">
        <v>3</v>
      </c>
      <c r="B43" s="177">
        <v>3</v>
      </c>
      <c r="C43" s="177">
        <v>1</v>
      </c>
      <c r="D43" s="194" t="s">
        <v>609</v>
      </c>
      <c r="E43" s="189" t="str">
        <f t="shared" si="0"/>
        <v/>
      </c>
      <c r="F43" s="190" t="str">
        <f t="shared" si="1"/>
        <v/>
      </c>
      <c r="G43" s="83">
        <v>0</v>
      </c>
      <c r="H43" s="28"/>
      <c r="I43" s="76"/>
      <c r="J43" s="76"/>
      <c r="K43" s="76"/>
      <c r="L43" s="76"/>
      <c r="M43" s="76"/>
      <c r="N43" s="28"/>
      <c r="O43" s="76"/>
      <c r="P43" s="76"/>
      <c r="Q43" s="76"/>
      <c r="R43" s="76"/>
      <c r="S43" s="76">
        <v>1</v>
      </c>
      <c r="T43" s="76">
        <v>1</v>
      </c>
      <c r="U43" s="76">
        <v>2</v>
      </c>
      <c r="V43" s="199">
        <v>2</v>
      </c>
      <c r="W43" s="171">
        <v>2</v>
      </c>
      <c r="X43" s="171">
        <v>2</v>
      </c>
      <c r="Y43" s="76"/>
      <c r="Z43" s="76"/>
      <c r="AA43" s="30"/>
    </row>
    <row r="44" spans="1:27" x14ac:dyDescent="0.3">
      <c r="A44" s="182">
        <v>3</v>
      </c>
      <c r="B44" s="177">
        <v>3</v>
      </c>
      <c r="C44" s="177">
        <v>2</v>
      </c>
      <c r="D44" s="194" t="s">
        <v>610</v>
      </c>
      <c r="E44" s="189" t="str">
        <f t="shared" si="0"/>
        <v/>
      </c>
      <c r="F44" s="190" t="str">
        <f t="shared" si="1"/>
        <v/>
      </c>
      <c r="G44" s="83">
        <v>0</v>
      </c>
      <c r="H44" s="28"/>
      <c r="I44" s="76"/>
      <c r="J44" s="76"/>
      <c r="K44" s="76"/>
      <c r="L44" s="76"/>
      <c r="M44" s="76"/>
      <c r="N44" s="28"/>
      <c r="O44" s="76"/>
      <c r="P44" s="76"/>
      <c r="Q44" s="76"/>
      <c r="R44" s="76"/>
      <c r="S44" s="76">
        <v>1</v>
      </c>
      <c r="T44" s="76">
        <v>1</v>
      </c>
      <c r="U44" s="76">
        <v>2</v>
      </c>
      <c r="V44" s="199">
        <v>2</v>
      </c>
      <c r="W44" s="171">
        <v>2</v>
      </c>
      <c r="X44" s="171">
        <v>2</v>
      </c>
      <c r="Y44" s="76"/>
      <c r="Z44" s="76"/>
      <c r="AA44" s="30"/>
    </row>
    <row r="45" spans="1:27" x14ac:dyDescent="0.3">
      <c r="A45" s="182">
        <v>3</v>
      </c>
      <c r="B45" s="177">
        <v>3</v>
      </c>
      <c r="C45" s="177">
        <v>3</v>
      </c>
      <c r="D45" s="194" t="s">
        <v>611</v>
      </c>
      <c r="E45" s="189" t="str">
        <f t="shared" si="0"/>
        <v/>
      </c>
      <c r="F45" s="190" t="str">
        <f t="shared" si="1"/>
        <v/>
      </c>
      <c r="G45" s="83">
        <v>0</v>
      </c>
      <c r="H45" s="28"/>
      <c r="I45" s="76"/>
      <c r="J45" s="76"/>
      <c r="K45" s="76"/>
      <c r="L45" s="76"/>
      <c r="M45" s="76"/>
      <c r="N45" s="28"/>
      <c r="O45" s="76"/>
      <c r="P45" s="76"/>
      <c r="Q45" s="76"/>
      <c r="R45" s="76"/>
      <c r="S45" s="76">
        <v>1</v>
      </c>
      <c r="T45" s="76">
        <v>1</v>
      </c>
      <c r="U45" s="76">
        <v>2</v>
      </c>
      <c r="V45" s="199">
        <v>2</v>
      </c>
      <c r="W45" s="171">
        <v>2</v>
      </c>
      <c r="X45" s="171">
        <v>2</v>
      </c>
      <c r="Y45" s="76"/>
      <c r="Z45" s="76"/>
      <c r="AA45" s="30"/>
    </row>
    <row r="46" spans="1:27" x14ac:dyDescent="0.3">
      <c r="A46" s="182">
        <v>3</v>
      </c>
      <c r="B46" s="177">
        <v>3</v>
      </c>
      <c r="C46" s="177">
        <v>4</v>
      </c>
      <c r="D46" s="194" t="s">
        <v>612</v>
      </c>
      <c r="E46" s="189" t="str">
        <f t="shared" si="0"/>
        <v/>
      </c>
      <c r="F46" s="190" t="str">
        <f t="shared" si="1"/>
        <v/>
      </c>
      <c r="G46" s="83">
        <v>0</v>
      </c>
      <c r="H46" s="28"/>
      <c r="I46" s="76"/>
      <c r="J46" s="76"/>
      <c r="K46" s="76"/>
      <c r="L46" s="76"/>
      <c r="M46" s="76"/>
      <c r="N46" s="28"/>
      <c r="O46" s="76"/>
      <c r="P46" s="76"/>
      <c r="Q46" s="76"/>
      <c r="R46" s="76"/>
      <c r="S46" s="76">
        <v>1</v>
      </c>
      <c r="T46" s="76">
        <v>1</v>
      </c>
      <c r="U46" s="76">
        <v>2</v>
      </c>
      <c r="V46" s="199">
        <v>2</v>
      </c>
      <c r="W46" s="171">
        <v>2</v>
      </c>
      <c r="X46" s="171">
        <v>2</v>
      </c>
      <c r="Y46" s="76"/>
      <c r="Z46" s="76"/>
      <c r="AA46" s="30"/>
    </row>
    <row r="47" spans="1:27" x14ac:dyDescent="0.3">
      <c r="A47" s="182">
        <v>3</v>
      </c>
      <c r="B47" s="177">
        <v>3</v>
      </c>
      <c r="C47" s="177">
        <v>5</v>
      </c>
      <c r="D47" s="194" t="s">
        <v>613</v>
      </c>
      <c r="E47" s="189" t="str">
        <f t="shared" si="0"/>
        <v/>
      </c>
      <c r="F47" s="190" t="str">
        <f t="shared" si="1"/>
        <v/>
      </c>
      <c r="G47" s="83">
        <v>0</v>
      </c>
      <c r="H47" s="28"/>
      <c r="I47" s="76"/>
      <c r="J47" s="76"/>
      <c r="K47" s="76"/>
      <c r="L47" s="76"/>
      <c r="M47" s="76"/>
      <c r="N47" s="28"/>
      <c r="O47" s="76"/>
      <c r="P47" s="76"/>
      <c r="Q47" s="76"/>
      <c r="R47" s="76"/>
      <c r="S47" s="76">
        <v>1</v>
      </c>
      <c r="T47" s="76">
        <v>1</v>
      </c>
      <c r="U47" s="76">
        <v>2</v>
      </c>
      <c r="V47" s="199">
        <v>2</v>
      </c>
      <c r="W47" s="171">
        <v>2</v>
      </c>
      <c r="X47" s="171">
        <v>2</v>
      </c>
      <c r="Y47" s="76"/>
      <c r="Z47" s="76"/>
      <c r="AA47" s="30"/>
    </row>
    <row r="48" spans="1:27" x14ac:dyDescent="0.3">
      <c r="A48" s="182">
        <v>3</v>
      </c>
      <c r="B48" s="177">
        <v>4</v>
      </c>
      <c r="C48" s="177"/>
      <c r="D48" s="194" t="s">
        <v>614</v>
      </c>
      <c r="E48" s="189" t="str">
        <f t="shared" si="0"/>
        <v/>
      </c>
      <c r="F48" s="190">
        <f t="shared" si="1"/>
        <v>0</v>
      </c>
      <c r="G48" s="190"/>
      <c r="H48" s="28"/>
      <c r="I48" s="76"/>
      <c r="J48" s="76"/>
      <c r="K48" s="76"/>
      <c r="L48" s="76"/>
      <c r="M48" s="76"/>
      <c r="N48" s="28"/>
      <c r="O48" s="76"/>
      <c r="P48" s="76"/>
      <c r="Q48" s="76"/>
      <c r="R48" s="76"/>
      <c r="S48" s="76">
        <v>1</v>
      </c>
      <c r="T48" s="76">
        <v>1</v>
      </c>
      <c r="U48" s="76">
        <v>2</v>
      </c>
      <c r="V48" s="199">
        <v>2</v>
      </c>
      <c r="W48" s="171">
        <v>2</v>
      </c>
      <c r="X48" s="171">
        <v>2</v>
      </c>
      <c r="Y48" s="76"/>
      <c r="Z48" s="76"/>
      <c r="AA48" s="30"/>
    </row>
    <row r="49" spans="1:27" x14ac:dyDescent="0.3">
      <c r="A49" s="182">
        <v>3</v>
      </c>
      <c r="B49" s="177">
        <v>4</v>
      </c>
      <c r="C49" s="177">
        <v>1</v>
      </c>
      <c r="D49" s="194" t="s">
        <v>615</v>
      </c>
      <c r="E49" s="189" t="str">
        <f t="shared" si="0"/>
        <v/>
      </c>
      <c r="F49" s="190" t="str">
        <f t="shared" si="1"/>
        <v/>
      </c>
      <c r="G49" s="83">
        <v>0</v>
      </c>
      <c r="H49" s="28"/>
      <c r="I49" s="76"/>
      <c r="J49" s="76"/>
      <c r="K49" s="76"/>
      <c r="L49" s="76"/>
      <c r="M49" s="76"/>
      <c r="N49" s="28"/>
      <c r="O49" s="76"/>
      <c r="P49" s="76"/>
      <c r="Q49" s="76"/>
      <c r="R49" s="76"/>
      <c r="S49" s="76">
        <v>1</v>
      </c>
      <c r="T49" s="76">
        <v>1</v>
      </c>
      <c r="U49" s="76">
        <v>2</v>
      </c>
      <c r="V49" s="199">
        <v>2</v>
      </c>
      <c r="W49" s="171">
        <v>2</v>
      </c>
      <c r="X49" s="171">
        <v>2</v>
      </c>
      <c r="Y49" s="76"/>
      <c r="Z49" s="76"/>
      <c r="AA49" s="30"/>
    </row>
    <row r="50" spans="1:27" x14ac:dyDescent="0.3">
      <c r="A50" s="182">
        <v>3</v>
      </c>
      <c r="B50" s="177">
        <v>4</v>
      </c>
      <c r="C50" s="177">
        <v>2</v>
      </c>
      <c r="D50" s="194" t="s">
        <v>616</v>
      </c>
      <c r="E50" s="189" t="str">
        <f t="shared" si="0"/>
        <v/>
      </c>
      <c r="F50" s="190" t="str">
        <f t="shared" si="1"/>
        <v/>
      </c>
      <c r="G50" s="83">
        <v>0</v>
      </c>
      <c r="H50" s="28"/>
      <c r="I50" s="76"/>
      <c r="J50" s="76"/>
      <c r="K50" s="76"/>
      <c r="L50" s="76"/>
      <c r="M50" s="76"/>
      <c r="N50" s="28"/>
      <c r="O50" s="76"/>
      <c r="P50" s="76"/>
      <c r="Q50" s="76"/>
      <c r="R50" s="76"/>
      <c r="S50" s="76">
        <v>1</v>
      </c>
      <c r="T50" s="76">
        <v>1</v>
      </c>
      <c r="U50" s="76">
        <v>2</v>
      </c>
      <c r="V50" s="199">
        <v>2</v>
      </c>
      <c r="W50" s="171">
        <v>2</v>
      </c>
      <c r="X50" s="171">
        <v>2</v>
      </c>
      <c r="Y50" s="76"/>
      <c r="Z50" s="76"/>
      <c r="AA50" s="30"/>
    </row>
    <row r="51" spans="1:27" x14ac:dyDescent="0.3">
      <c r="A51" s="182">
        <v>3</v>
      </c>
      <c r="B51" s="177">
        <v>4</v>
      </c>
      <c r="C51" s="177">
        <v>3</v>
      </c>
      <c r="D51" s="194" t="s">
        <v>617</v>
      </c>
      <c r="E51" s="189" t="str">
        <f t="shared" si="0"/>
        <v/>
      </c>
      <c r="F51" s="190" t="str">
        <f t="shared" si="1"/>
        <v/>
      </c>
      <c r="G51" s="83">
        <v>0</v>
      </c>
      <c r="H51" s="28"/>
      <c r="I51" s="76"/>
      <c r="J51" s="76"/>
      <c r="K51" s="76"/>
      <c r="L51" s="76"/>
      <c r="M51" s="76"/>
      <c r="N51" s="28"/>
      <c r="O51" s="76"/>
      <c r="P51" s="76"/>
      <c r="Q51" s="76"/>
      <c r="R51" s="76"/>
      <c r="S51" s="76">
        <v>1</v>
      </c>
      <c r="T51" s="76">
        <v>1</v>
      </c>
      <c r="U51" s="76">
        <v>2</v>
      </c>
      <c r="V51" s="199">
        <v>2</v>
      </c>
      <c r="W51" s="171">
        <v>2</v>
      </c>
      <c r="X51" s="171">
        <v>2</v>
      </c>
      <c r="Y51" s="76"/>
      <c r="Z51" s="76"/>
      <c r="AA51" s="30"/>
    </row>
    <row r="52" spans="1:27" x14ac:dyDescent="0.3">
      <c r="A52" s="182">
        <v>3</v>
      </c>
      <c r="B52" s="177">
        <v>4</v>
      </c>
      <c r="C52" s="177">
        <v>4</v>
      </c>
      <c r="D52" s="194" t="s">
        <v>618</v>
      </c>
      <c r="E52" s="189" t="str">
        <f t="shared" si="0"/>
        <v/>
      </c>
      <c r="F52" s="190" t="str">
        <f t="shared" si="1"/>
        <v/>
      </c>
      <c r="G52" s="83">
        <v>0</v>
      </c>
      <c r="H52" s="28"/>
      <c r="I52" s="76"/>
      <c r="J52" s="76"/>
      <c r="K52" s="76"/>
      <c r="L52" s="76"/>
      <c r="M52" s="76"/>
      <c r="N52" s="28"/>
      <c r="O52" s="76"/>
      <c r="P52" s="76"/>
      <c r="Q52" s="76"/>
      <c r="R52" s="76"/>
      <c r="S52" s="76">
        <v>1</v>
      </c>
      <c r="T52" s="76">
        <v>1</v>
      </c>
      <c r="U52" s="76">
        <v>2</v>
      </c>
      <c r="V52" s="199">
        <v>2</v>
      </c>
      <c r="W52" s="171">
        <v>2</v>
      </c>
      <c r="X52" s="171">
        <v>2</v>
      </c>
      <c r="Y52" s="76"/>
      <c r="Z52" s="76"/>
      <c r="AA52" s="30"/>
    </row>
    <row r="53" spans="1:27" x14ac:dyDescent="0.3">
      <c r="A53" s="182">
        <v>3</v>
      </c>
      <c r="B53" s="177">
        <v>5</v>
      </c>
      <c r="C53" s="177">
        <v>0</v>
      </c>
      <c r="D53" s="194" t="s">
        <v>619</v>
      </c>
      <c r="E53" s="189" t="str">
        <f t="shared" si="0"/>
        <v/>
      </c>
      <c r="F53" s="190">
        <f t="shared" si="1"/>
        <v>0</v>
      </c>
      <c r="G53" s="83">
        <v>0</v>
      </c>
      <c r="H53" s="28"/>
      <c r="I53" s="76"/>
      <c r="J53" s="76"/>
      <c r="K53" s="76"/>
      <c r="L53" s="76"/>
      <c r="M53" s="76"/>
      <c r="N53" s="28"/>
      <c r="O53" s="76"/>
      <c r="P53" s="76"/>
      <c r="Q53" s="76"/>
      <c r="R53" s="76"/>
      <c r="S53" s="76">
        <v>1</v>
      </c>
      <c r="T53" s="76">
        <v>1</v>
      </c>
      <c r="U53" s="76">
        <v>2</v>
      </c>
      <c r="V53" s="199">
        <v>2</v>
      </c>
      <c r="W53" s="171">
        <v>2</v>
      </c>
      <c r="X53" s="171">
        <v>2</v>
      </c>
      <c r="Y53" s="76"/>
      <c r="Z53" s="76"/>
      <c r="AA53" s="30"/>
    </row>
    <row r="54" spans="1:27" x14ac:dyDescent="0.3">
      <c r="A54" s="182">
        <v>3</v>
      </c>
      <c r="B54" s="177">
        <v>6</v>
      </c>
      <c r="C54" s="177">
        <v>0</v>
      </c>
      <c r="D54" s="195" t="s">
        <v>620</v>
      </c>
      <c r="E54" s="189" t="str">
        <f t="shared" si="0"/>
        <v/>
      </c>
      <c r="F54" s="190">
        <f t="shared" si="1"/>
        <v>0</v>
      </c>
      <c r="G54" s="83">
        <v>0</v>
      </c>
      <c r="H54" s="20"/>
      <c r="I54" s="18"/>
      <c r="J54" s="18"/>
      <c r="K54" s="18"/>
      <c r="L54" s="18"/>
      <c r="M54" s="18"/>
      <c r="N54" s="20"/>
      <c r="O54" s="18"/>
      <c r="P54" s="18"/>
      <c r="Q54" s="18"/>
      <c r="R54" s="18"/>
      <c r="S54" s="18">
        <v>1</v>
      </c>
      <c r="T54" s="18">
        <v>1</v>
      </c>
      <c r="U54" s="18">
        <v>2</v>
      </c>
      <c r="V54" s="205">
        <v>2</v>
      </c>
      <c r="W54" s="171">
        <v>2</v>
      </c>
      <c r="X54" s="171">
        <v>2</v>
      </c>
      <c r="Y54" s="76"/>
      <c r="Z54" s="76"/>
      <c r="AA54" s="30"/>
    </row>
    <row r="55" spans="1:27" x14ac:dyDescent="0.3">
      <c r="A55" s="181">
        <v>4</v>
      </c>
      <c r="B55" s="176"/>
      <c r="C55" s="176"/>
      <c r="D55" s="193" t="s">
        <v>621</v>
      </c>
      <c r="E55" s="186">
        <f t="shared" si="0"/>
        <v>0</v>
      </c>
      <c r="F55" s="187" t="str">
        <f t="shared" si="1"/>
        <v/>
      </c>
      <c r="G55" s="179"/>
      <c r="H55" s="25"/>
      <c r="I55" s="13"/>
      <c r="J55" s="13"/>
      <c r="K55" s="13"/>
      <c r="L55" s="13"/>
      <c r="M55" s="13"/>
      <c r="N55" s="25"/>
      <c r="O55" s="13"/>
      <c r="P55" s="13"/>
      <c r="Q55" s="13"/>
      <c r="R55" s="13"/>
      <c r="S55" s="13"/>
      <c r="T55" s="13"/>
      <c r="U55" s="13">
        <v>1</v>
      </c>
      <c r="V55" s="26">
        <v>1</v>
      </c>
      <c r="W55" s="25">
        <v>2</v>
      </c>
      <c r="X55" s="163">
        <v>2</v>
      </c>
      <c r="Y55" s="163">
        <v>2</v>
      </c>
      <c r="Z55" s="163">
        <v>2</v>
      </c>
      <c r="AA55" s="26"/>
    </row>
    <row r="56" spans="1:27" x14ac:dyDescent="0.3">
      <c r="A56" s="182">
        <v>4</v>
      </c>
      <c r="B56" s="177">
        <v>1</v>
      </c>
      <c r="C56" s="177">
        <v>0</v>
      </c>
      <c r="D56" s="194" t="s">
        <v>622</v>
      </c>
      <c r="E56" s="189" t="str">
        <f t="shared" si="0"/>
        <v/>
      </c>
      <c r="F56" s="190">
        <f t="shared" si="1"/>
        <v>0</v>
      </c>
      <c r="G56" s="83">
        <v>0</v>
      </c>
      <c r="H56" s="28"/>
      <c r="I56" s="76"/>
      <c r="J56" s="76"/>
      <c r="K56" s="76"/>
      <c r="L56" s="76"/>
      <c r="M56" s="76"/>
      <c r="N56" s="28"/>
      <c r="O56" s="76"/>
      <c r="P56" s="76"/>
      <c r="Q56" s="76"/>
      <c r="R56" s="76"/>
      <c r="S56" s="76"/>
      <c r="T56" s="76"/>
      <c r="U56" s="76">
        <v>1</v>
      </c>
      <c r="V56" s="30">
        <v>1</v>
      </c>
      <c r="W56" s="28">
        <v>2</v>
      </c>
      <c r="X56" s="171">
        <v>2</v>
      </c>
      <c r="Y56" s="171">
        <v>2</v>
      </c>
      <c r="Z56" s="171">
        <v>2</v>
      </c>
      <c r="AA56" s="30"/>
    </row>
    <row r="57" spans="1:27" x14ac:dyDescent="0.3">
      <c r="A57" s="182">
        <v>4</v>
      </c>
      <c r="B57" s="177">
        <v>2</v>
      </c>
      <c r="C57" s="177">
        <v>0</v>
      </c>
      <c r="D57" s="194" t="s">
        <v>623</v>
      </c>
      <c r="E57" s="189" t="str">
        <f t="shared" si="0"/>
        <v/>
      </c>
      <c r="F57" s="190">
        <f t="shared" si="1"/>
        <v>0</v>
      </c>
      <c r="G57" s="83">
        <v>0</v>
      </c>
      <c r="H57" s="28"/>
      <c r="I57" s="76"/>
      <c r="J57" s="76"/>
      <c r="K57" s="76"/>
      <c r="L57" s="76"/>
      <c r="M57" s="76"/>
      <c r="N57" s="28"/>
      <c r="O57" s="76"/>
      <c r="P57" s="76"/>
      <c r="Q57" s="76"/>
      <c r="R57" s="76"/>
      <c r="S57" s="76"/>
      <c r="T57" s="76"/>
      <c r="U57" s="76">
        <v>1</v>
      </c>
      <c r="V57" s="30">
        <v>1</v>
      </c>
      <c r="W57" s="28">
        <v>2</v>
      </c>
      <c r="X57" s="171">
        <v>2</v>
      </c>
      <c r="Y57" s="171">
        <v>2</v>
      </c>
      <c r="Z57" s="171">
        <v>2</v>
      </c>
      <c r="AA57" s="30"/>
    </row>
    <row r="58" spans="1:27" x14ac:dyDescent="0.3">
      <c r="A58" s="182">
        <v>4</v>
      </c>
      <c r="B58" s="177">
        <v>3</v>
      </c>
      <c r="C58" s="177"/>
      <c r="D58" s="194" t="s">
        <v>624</v>
      </c>
      <c r="E58" s="189" t="str">
        <f t="shared" si="0"/>
        <v/>
      </c>
      <c r="F58" s="190">
        <f t="shared" si="1"/>
        <v>0</v>
      </c>
      <c r="G58" s="190"/>
      <c r="H58" s="28"/>
      <c r="I58" s="76"/>
      <c r="J58" s="76"/>
      <c r="K58" s="76"/>
      <c r="L58" s="76"/>
      <c r="M58" s="76"/>
      <c r="N58" s="28"/>
      <c r="O58" s="76"/>
      <c r="P58" s="76"/>
      <c r="Q58" s="76"/>
      <c r="R58" s="76"/>
      <c r="S58" s="76"/>
      <c r="T58" s="76"/>
      <c r="U58" s="76">
        <v>1</v>
      </c>
      <c r="V58" s="30">
        <v>1</v>
      </c>
      <c r="W58" s="28">
        <v>2</v>
      </c>
      <c r="X58" s="171">
        <v>2</v>
      </c>
      <c r="Y58" s="171">
        <v>2</v>
      </c>
      <c r="Z58" s="171">
        <v>2</v>
      </c>
      <c r="AA58" s="30"/>
    </row>
    <row r="59" spans="1:27" x14ac:dyDescent="0.3">
      <c r="A59" s="182">
        <v>4</v>
      </c>
      <c r="B59" s="177">
        <v>3</v>
      </c>
      <c r="C59" s="177">
        <v>1</v>
      </c>
      <c r="D59" s="194" t="s">
        <v>625</v>
      </c>
      <c r="E59" s="189" t="str">
        <f t="shared" si="0"/>
        <v/>
      </c>
      <c r="F59" s="190" t="str">
        <f t="shared" si="1"/>
        <v/>
      </c>
      <c r="G59" s="83">
        <v>0</v>
      </c>
      <c r="H59" s="28"/>
      <c r="I59" s="76"/>
      <c r="J59" s="76"/>
      <c r="K59" s="76"/>
      <c r="L59" s="76"/>
      <c r="M59" s="76"/>
      <c r="N59" s="28"/>
      <c r="O59" s="76"/>
      <c r="P59" s="76"/>
      <c r="Q59" s="76"/>
      <c r="R59" s="76"/>
      <c r="S59" s="76"/>
      <c r="T59" s="76"/>
      <c r="U59" s="76">
        <v>1</v>
      </c>
      <c r="V59" s="30">
        <v>1</v>
      </c>
      <c r="W59" s="28">
        <v>2</v>
      </c>
      <c r="X59" s="171">
        <v>2</v>
      </c>
      <c r="Y59" s="171">
        <v>2</v>
      </c>
      <c r="Z59" s="171">
        <v>2</v>
      </c>
      <c r="AA59" s="30"/>
    </row>
    <row r="60" spans="1:27" x14ac:dyDescent="0.3">
      <c r="A60" s="182">
        <v>4</v>
      </c>
      <c r="B60" s="177">
        <v>3</v>
      </c>
      <c r="C60" s="177">
        <v>2</v>
      </c>
      <c r="D60" s="194" t="s">
        <v>626</v>
      </c>
      <c r="E60" s="189" t="str">
        <f t="shared" si="0"/>
        <v/>
      </c>
      <c r="F60" s="190" t="str">
        <f t="shared" si="1"/>
        <v/>
      </c>
      <c r="G60" s="83">
        <v>0</v>
      </c>
      <c r="H60" s="28"/>
      <c r="I60" s="76"/>
      <c r="J60" s="76"/>
      <c r="K60" s="76"/>
      <c r="L60" s="76"/>
      <c r="M60" s="76"/>
      <c r="N60" s="28"/>
      <c r="O60" s="76"/>
      <c r="P60" s="76"/>
      <c r="Q60" s="76"/>
      <c r="R60" s="76"/>
      <c r="S60" s="76"/>
      <c r="T60" s="76"/>
      <c r="U60" s="76">
        <v>1</v>
      </c>
      <c r="V60" s="30">
        <v>1</v>
      </c>
      <c r="W60" s="28">
        <v>2</v>
      </c>
      <c r="X60" s="171">
        <v>2</v>
      </c>
      <c r="Y60" s="171">
        <v>2</v>
      </c>
      <c r="Z60" s="171">
        <v>2</v>
      </c>
      <c r="AA60" s="30"/>
    </row>
    <row r="61" spans="1:27" x14ac:dyDescent="0.3">
      <c r="A61" s="182">
        <v>4</v>
      </c>
      <c r="B61" s="177">
        <v>3</v>
      </c>
      <c r="C61" s="177">
        <v>3</v>
      </c>
      <c r="D61" s="194" t="s">
        <v>627</v>
      </c>
      <c r="E61" s="189" t="str">
        <f t="shared" si="0"/>
        <v/>
      </c>
      <c r="F61" s="190" t="str">
        <f t="shared" si="1"/>
        <v/>
      </c>
      <c r="G61" s="83">
        <v>0</v>
      </c>
      <c r="H61" s="28"/>
      <c r="I61" s="76"/>
      <c r="J61" s="76"/>
      <c r="K61" s="76"/>
      <c r="L61" s="76"/>
      <c r="M61" s="76"/>
      <c r="N61" s="28"/>
      <c r="O61" s="76"/>
      <c r="P61" s="76"/>
      <c r="Q61" s="76"/>
      <c r="R61" s="76"/>
      <c r="S61" s="76"/>
      <c r="T61" s="76"/>
      <c r="U61" s="76">
        <v>1</v>
      </c>
      <c r="V61" s="30">
        <v>1</v>
      </c>
      <c r="W61" s="28">
        <v>2</v>
      </c>
      <c r="X61" s="171">
        <v>2</v>
      </c>
      <c r="Y61" s="171">
        <v>2</v>
      </c>
      <c r="Z61" s="171">
        <v>2</v>
      </c>
      <c r="AA61" s="30"/>
    </row>
    <row r="62" spans="1:27" x14ac:dyDescent="0.3">
      <c r="A62" s="182">
        <v>4</v>
      </c>
      <c r="B62" s="177">
        <v>3</v>
      </c>
      <c r="C62" s="177">
        <v>4</v>
      </c>
      <c r="D62" s="194" t="s">
        <v>628</v>
      </c>
      <c r="E62" s="189" t="str">
        <f t="shared" si="0"/>
        <v/>
      </c>
      <c r="F62" s="190" t="str">
        <f t="shared" si="1"/>
        <v/>
      </c>
      <c r="G62" s="83">
        <v>0</v>
      </c>
      <c r="H62" s="28"/>
      <c r="I62" s="76"/>
      <c r="J62" s="76"/>
      <c r="K62" s="76"/>
      <c r="L62" s="76"/>
      <c r="M62" s="76"/>
      <c r="N62" s="28"/>
      <c r="O62" s="76"/>
      <c r="P62" s="76"/>
      <c r="Q62" s="76"/>
      <c r="R62" s="76"/>
      <c r="S62" s="76"/>
      <c r="T62" s="76"/>
      <c r="U62" s="76">
        <v>1</v>
      </c>
      <c r="V62" s="30">
        <v>1</v>
      </c>
      <c r="W62" s="28">
        <v>2</v>
      </c>
      <c r="X62" s="171">
        <v>2</v>
      </c>
      <c r="Y62" s="171">
        <v>2</v>
      </c>
      <c r="Z62" s="171">
        <v>2</v>
      </c>
      <c r="AA62" s="30"/>
    </row>
    <row r="63" spans="1:27" x14ac:dyDescent="0.3">
      <c r="A63" s="182">
        <v>4</v>
      </c>
      <c r="B63" s="177">
        <v>3</v>
      </c>
      <c r="C63" s="177">
        <v>5</v>
      </c>
      <c r="D63" s="194" t="s">
        <v>629</v>
      </c>
      <c r="E63" s="189" t="str">
        <f t="shared" si="0"/>
        <v/>
      </c>
      <c r="F63" s="190" t="str">
        <f t="shared" si="1"/>
        <v/>
      </c>
      <c r="G63" s="83">
        <v>0</v>
      </c>
      <c r="H63" s="28"/>
      <c r="I63" s="76"/>
      <c r="J63" s="76"/>
      <c r="K63" s="76"/>
      <c r="L63" s="76"/>
      <c r="M63" s="76"/>
      <c r="N63" s="28"/>
      <c r="O63" s="76"/>
      <c r="P63" s="76"/>
      <c r="Q63" s="76"/>
      <c r="R63" s="76"/>
      <c r="S63" s="76"/>
      <c r="T63" s="76"/>
      <c r="U63" s="76">
        <v>1</v>
      </c>
      <c r="V63" s="30">
        <v>1</v>
      </c>
      <c r="W63" s="28">
        <v>2</v>
      </c>
      <c r="X63" s="171">
        <v>2</v>
      </c>
      <c r="Y63" s="171">
        <v>2</v>
      </c>
      <c r="Z63" s="171">
        <v>2</v>
      </c>
      <c r="AA63" s="30"/>
    </row>
    <row r="64" spans="1:27" x14ac:dyDescent="0.3">
      <c r="A64" s="182">
        <v>4</v>
      </c>
      <c r="B64" s="177">
        <v>4</v>
      </c>
      <c r="C64" s="177"/>
      <c r="D64" s="194" t="s">
        <v>630</v>
      </c>
      <c r="E64" s="189" t="str">
        <f t="shared" si="0"/>
        <v/>
      </c>
      <c r="F64" s="190">
        <f t="shared" si="1"/>
        <v>0</v>
      </c>
      <c r="G64" s="190"/>
      <c r="H64" s="28"/>
      <c r="I64" s="76"/>
      <c r="J64" s="76"/>
      <c r="K64" s="76"/>
      <c r="L64" s="76"/>
      <c r="M64" s="76"/>
      <c r="N64" s="28"/>
      <c r="O64" s="76"/>
      <c r="P64" s="76"/>
      <c r="Q64" s="76"/>
      <c r="R64" s="76"/>
      <c r="S64" s="76"/>
      <c r="T64" s="76"/>
      <c r="U64" s="76">
        <v>1</v>
      </c>
      <c r="V64" s="30">
        <v>1</v>
      </c>
      <c r="W64" s="28">
        <v>2</v>
      </c>
      <c r="X64" s="171">
        <v>2</v>
      </c>
      <c r="Y64" s="171">
        <v>2</v>
      </c>
      <c r="Z64" s="171">
        <v>2</v>
      </c>
      <c r="AA64" s="30"/>
    </row>
    <row r="65" spans="1:27" x14ac:dyDescent="0.3">
      <c r="A65" s="182">
        <v>4</v>
      </c>
      <c r="B65" s="177">
        <v>4</v>
      </c>
      <c r="C65" s="177">
        <v>1</v>
      </c>
      <c r="D65" s="194" t="s">
        <v>641</v>
      </c>
      <c r="E65" s="189" t="str">
        <f t="shared" si="0"/>
        <v/>
      </c>
      <c r="F65" s="190" t="str">
        <f t="shared" si="1"/>
        <v/>
      </c>
      <c r="G65" s="83">
        <v>0</v>
      </c>
      <c r="H65" s="28"/>
      <c r="I65" s="76"/>
      <c r="J65" s="76"/>
      <c r="K65" s="76"/>
      <c r="L65" s="76"/>
      <c r="M65" s="76"/>
      <c r="N65" s="28"/>
      <c r="O65" s="76"/>
      <c r="P65" s="76"/>
      <c r="Q65" s="76"/>
      <c r="R65" s="76"/>
      <c r="S65" s="76"/>
      <c r="T65" s="76"/>
      <c r="U65" s="76">
        <v>1</v>
      </c>
      <c r="V65" s="30">
        <v>1</v>
      </c>
      <c r="W65" s="28">
        <v>2</v>
      </c>
      <c r="X65" s="171">
        <v>2</v>
      </c>
      <c r="Y65" s="171">
        <v>2</v>
      </c>
      <c r="Z65" s="171">
        <v>2</v>
      </c>
      <c r="AA65" s="30"/>
    </row>
    <row r="66" spans="1:27" x14ac:dyDescent="0.3">
      <c r="A66" s="182">
        <v>4</v>
      </c>
      <c r="B66" s="177">
        <v>4</v>
      </c>
      <c r="C66" s="177">
        <v>2</v>
      </c>
      <c r="D66" s="194" t="s">
        <v>642</v>
      </c>
      <c r="E66" s="189" t="str">
        <f t="shared" si="0"/>
        <v/>
      </c>
      <c r="F66" s="190" t="str">
        <f t="shared" si="1"/>
        <v/>
      </c>
      <c r="G66" s="83">
        <v>0</v>
      </c>
      <c r="H66" s="28"/>
      <c r="I66" s="76"/>
      <c r="J66" s="76"/>
      <c r="K66" s="76"/>
      <c r="L66" s="76"/>
      <c r="M66" s="76"/>
      <c r="N66" s="28"/>
      <c r="O66" s="76"/>
      <c r="P66" s="76"/>
      <c r="Q66" s="76"/>
      <c r="R66" s="76"/>
      <c r="S66" s="76"/>
      <c r="T66" s="76"/>
      <c r="U66" s="76">
        <v>1</v>
      </c>
      <c r="V66" s="30">
        <v>1</v>
      </c>
      <c r="W66" s="28">
        <v>2</v>
      </c>
      <c r="X66" s="171">
        <v>2</v>
      </c>
      <c r="Y66" s="171">
        <v>2</v>
      </c>
      <c r="Z66" s="171">
        <v>2</v>
      </c>
      <c r="AA66" s="30"/>
    </row>
    <row r="67" spans="1:27" x14ac:dyDescent="0.3">
      <c r="A67" s="182">
        <v>4</v>
      </c>
      <c r="B67" s="177">
        <v>4</v>
      </c>
      <c r="C67" s="177">
        <v>3</v>
      </c>
      <c r="D67" s="194" t="s">
        <v>643</v>
      </c>
      <c r="E67" s="189" t="str">
        <f t="shared" si="0"/>
        <v/>
      </c>
      <c r="F67" s="190" t="str">
        <f t="shared" si="1"/>
        <v/>
      </c>
      <c r="G67" s="83">
        <v>0</v>
      </c>
      <c r="H67" s="28"/>
      <c r="I67" s="76"/>
      <c r="J67" s="76"/>
      <c r="K67" s="76"/>
      <c r="L67" s="76"/>
      <c r="M67" s="76"/>
      <c r="N67" s="28"/>
      <c r="O67" s="76"/>
      <c r="P67" s="76"/>
      <c r="Q67" s="76"/>
      <c r="R67" s="76"/>
      <c r="S67" s="76"/>
      <c r="T67" s="76"/>
      <c r="U67" s="76">
        <v>1</v>
      </c>
      <c r="V67" s="30">
        <v>1</v>
      </c>
      <c r="W67" s="28">
        <v>2</v>
      </c>
      <c r="X67" s="171">
        <v>2</v>
      </c>
      <c r="Y67" s="171">
        <v>2</v>
      </c>
      <c r="Z67" s="171">
        <v>2</v>
      </c>
      <c r="AA67" s="30"/>
    </row>
    <row r="68" spans="1:27" x14ac:dyDescent="0.3">
      <c r="A68" s="182">
        <v>4</v>
      </c>
      <c r="B68" s="177">
        <v>5</v>
      </c>
      <c r="C68" s="177">
        <v>0</v>
      </c>
      <c r="D68" s="194" t="s">
        <v>631</v>
      </c>
      <c r="E68" s="189" t="str">
        <f t="shared" ref="E68:E75" si="2">IF(B68="",AVERAGEIF($A$3:$A$75,"="&amp;A68,$F$3:$F$75),"")</f>
        <v/>
      </c>
      <c r="F68" s="190">
        <f t="shared" ref="F68:F75" si="3">IF(AND(B68&lt;&gt;"",OR(C68="",C68=0)),AVERAGEIFS($G$3:$G$75,$C$3:$C$75,"&lt;&gt;",$B$3:$B$75,"="&amp;$B68,$A$3:$A$75,"="&amp;A68),"")</f>
        <v>0</v>
      </c>
      <c r="G68" s="83">
        <v>0</v>
      </c>
      <c r="H68" s="28"/>
      <c r="I68" s="76"/>
      <c r="J68" s="76"/>
      <c r="K68" s="76"/>
      <c r="L68" s="76"/>
      <c r="M68" s="76"/>
      <c r="N68" s="28"/>
      <c r="O68" s="76"/>
      <c r="P68" s="76"/>
      <c r="Q68" s="76"/>
      <c r="R68" s="76"/>
      <c r="S68" s="76"/>
      <c r="T68" s="76"/>
      <c r="U68" s="76">
        <v>1</v>
      </c>
      <c r="V68" s="30">
        <v>1</v>
      </c>
      <c r="W68" s="28">
        <v>2</v>
      </c>
      <c r="X68" s="171">
        <v>2</v>
      </c>
      <c r="Y68" s="171">
        <v>2</v>
      </c>
      <c r="Z68" s="171">
        <v>2</v>
      </c>
      <c r="AA68" s="30"/>
    </row>
    <row r="69" spans="1:27" x14ac:dyDescent="0.3">
      <c r="A69" s="182">
        <v>4</v>
      </c>
      <c r="B69" s="177">
        <v>6</v>
      </c>
      <c r="C69" s="177">
        <v>0</v>
      </c>
      <c r="D69" s="195" t="s">
        <v>632</v>
      </c>
      <c r="E69" s="189" t="str">
        <f t="shared" si="2"/>
        <v/>
      </c>
      <c r="F69" s="190">
        <f t="shared" si="3"/>
        <v>0</v>
      </c>
      <c r="G69" s="184">
        <v>0</v>
      </c>
      <c r="H69" s="28"/>
      <c r="I69" s="76"/>
      <c r="J69" s="76"/>
      <c r="K69" s="76"/>
      <c r="L69" s="76"/>
      <c r="M69" s="76"/>
      <c r="N69" s="28"/>
      <c r="O69" s="76"/>
      <c r="P69" s="76"/>
      <c r="Q69" s="76"/>
      <c r="R69" s="76"/>
      <c r="S69" s="76"/>
      <c r="T69" s="76"/>
      <c r="U69" s="76">
        <v>1</v>
      </c>
      <c r="V69" s="30">
        <v>1</v>
      </c>
      <c r="W69" s="20">
        <v>2</v>
      </c>
      <c r="X69" s="206">
        <v>2</v>
      </c>
      <c r="Y69" s="206">
        <v>2</v>
      </c>
      <c r="Z69" s="206">
        <v>2</v>
      </c>
      <c r="AA69" s="24"/>
    </row>
    <row r="70" spans="1:27" x14ac:dyDescent="0.3">
      <c r="A70" s="181">
        <v>5</v>
      </c>
      <c r="B70" s="176"/>
      <c r="C70" s="176"/>
      <c r="D70" s="193" t="s">
        <v>633</v>
      </c>
      <c r="E70" s="186">
        <f>IF(B70="",AVERAGEIF($A$3:$A$75,"="&amp;A70,$F$3:$F$75),"")</f>
        <v>0.12</v>
      </c>
      <c r="F70" s="187" t="str">
        <f t="shared" si="3"/>
        <v/>
      </c>
      <c r="G70" s="179"/>
      <c r="H70" s="25"/>
      <c r="I70" s="13"/>
      <c r="J70" s="13"/>
      <c r="K70" s="13"/>
      <c r="L70" s="13"/>
      <c r="M70" s="13"/>
      <c r="N70" s="25"/>
      <c r="O70" s="13"/>
      <c r="P70" s="13"/>
      <c r="Q70" s="13"/>
      <c r="R70" s="13"/>
      <c r="S70" s="13"/>
      <c r="T70" s="13">
        <v>1</v>
      </c>
      <c r="U70" s="13">
        <v>1</v>
      </c>
      <c r="V70" s="13">
        <v>1</v>
      </c>
      <c r="W70" s="25">
        <v>1</v>
      </c>
      <c r="X70" s="13">
        <v>2</v>
      </c>
      <c r="Y70" s="163">
        <v>2</v>
      </c>
      <c r="Z70" s="163">
        <v>2</v>
      </c>
      <c r="AA70" s="204">
        <v>2</v>
      </c>
    </row>
    <row r="71" spans="1:27" x14ac:dyDescent="0.3">
      <c r="A71" s="182">
        <v>5</v>
      </c>
      <c r="B71" s="177">
        <v>1</v>
      </c>
      <c r="C71" s="177">
        <v>0</v>
      </c>
      <c r="D71" s="194" t="s">
        <v>634</v>
      </c>
      <c r="E71" s="189" t="str">
        <f t="shared" si="2"/>
        <v/>
      </c>
      <c r="F71" s="190">
        <f t="shared" si="3"/>
        <v>0</v>
      </c>
      <c r="G71" s="83">
        <v>0</v>
      </c>
      <c r="H71" s="28"/>
      <c r="I71" s="76"/>
      <c r="J71" s="76"/>
      <c r="K71" s="76"/>
      <c r="L71" s="76"/>
      <c r="M71" s="76"/>
      <c r="N71" s="28"/>
      <c r="O71" s="76"/>
      <c r="P71" s="76"/>
      <c r="Q71" s="76"/>
      <c r="R71" s="76"/>
      <c r="S71" s="76"/>
      <c r="T71" s="76">
        <v>1</v>
      </c>
      <c r="U71" s="76">
        <v>1</v>
      </c>
      <c r="V71" s="76">
        <v>1</v>
      </c>
      <c r="W71" s="28">
        <v>1</v>
      </c>
      <c r="X71" s="76">
        <v>2</v>
      </c>
      <c r="Y71" s="171">
        <v>2</v>
      </c>
      <c r="Z71" s="171">
        <v>2</v>
      </c>
      <c r="AA71" s="199">
        <v>2</v>
      </c>
    </row>
    <row r="72" spans="1:27" x14ac:dyDescent="0.3">
      <c r="A72" s="182">
        <v>5</v>
      </c>
      <c r="B72" s="177">
        <v>2</v>
      </c>
      <c r="C72" s="177">
        <v>0</v>
      </c>
      <c r="D72" s="194" t="s">
        <v>635</v>
      </c>
      <c r="E72" s="189" t="str">
        <f t="shared" si="2"/>
        <v/>
      </c>
      <c r="F72" s="190">
        <f t="shared" si="3"/>
        <v>0</v>
      </c>
      <c r="G72" s="83">
        <v>0</v>
      </c>
      <c r="H72" s="28"/>
      <c r="I72" s="76"/>
      <c r="J72" s="76"/>
      <c r="K72" s="76"/>
      <c r="L72" s="76"/>
      <c r="M72" s="76"/>
      <c r="N72" s="28"/>
      <c r="O72" s="76"/>
      <c r="P72" s="76"/>
      <c r="Q72" s="76"/>
      <c r="R72" s="76"/>
      <c r="S72" s="76"/>
      <c r="T72" s="76">
        <v>1</v>
      </c>
      <c r="U72" s="76">
        <v>1</v>
      </c>
      <c r="V72" s="76">
        <v>1</v>
      </c>
      <c r="W72" s="28">
        <v>1</v>
      </c>
      <c r="X72" s="76">
        <v>2</v>
      </c>
      <c r="Y72" s="171">
        <v>2</v>
      </c>
      <c r="Z72" s="171">
        <v>2</v>
      </c>
      <c r="AA72" s="199">
        <v>2</v>
      </c>
    </row>
    <row r="73" spans="1:27" x14ac:dyDescent="0.3">
      <c r="A73" s="182">
        <v>5</v>
      </c>
      <c r="B73" s="177">
        <v>3</v>
      </c>
      <c r="C73" s="177">
        <v>0</v>
      </c>
      <c r="D73" s="194" t="s">
        <v>636</v>
      </c>
      <c r="E73" s="189" t="str">
        <f t="shared" si="2"/>
        <v/>
      </c>
      <c r="F73" s="190">
        <f t="shared" si="3"/>
        <v>0</v>
      </c>
      <c r="G73" s="83">
        <v>0</v>
      </c>
      <c r="H73" s="28"/>
      <c r="I73" s="76"/>
      <c r="J73" s="76"/>
      <c r="K73" s="76"/>
      <c r="L73" s="76"/>
      <c r="M73" s="76"/>
      <c r="N73" s="28"/>
      <c r="O73" s="76"/>
      <c r="P73" s="76"/>
      <c r="Q73" s="76"/>
      <c r="R73" s="76"/>
      <c r="S73" s="76"/>
      <c r="T73" s="76">
        <v>1</v>
      </c>
      <c r="U73" s="76">
        <v>1</v>
      </c>
      <c r="V73" s="76">
        <v>1</v>
      </c>
      <c r="W73" s="28">
        <v>1</v>
      </c>
      <c r="X73" s="76">
        <v>2</v>
      </c>
      <c r="Y73" s="171">
        <v>2</v>
      </c>
      <c r="Z73" s="171">
        <v>2</v>
      </c>
      <c r="AA73" s="199">
        <v>2</v>
      </c>
    </row>
    <row r="74" spans="1:27" x14ac:dyDescent="0.3">
      <c r="A74" s="182">
        <v>5</v>
      </c>
      <c r="B74" s="177">
        <v>4</v>
      </c>
      <c r="C74" s="177">
        <v>0</v>
      </c>
      <c r="D74" s="194" t="s">
        <v>637</v>
      </c>
      <c r="E74" s="189" t="str">
        <f t="shared" si="2"/>
        <v/>
      </c>
      <c r="F74" s="190">
        <f t="shared" si="3"/>
        <v>0</v>
      </c>
      <c r="G74" s="83">
        <v>0</v>
      </c>
      <c r="H74" s="28"/>
      <c r="I74" s="76"/>
      <c r="J74" s="76"/>
      <c r="K74" s="76"/>
      <c r="L74" s="76"/>
      <c r="M74" s="76"/>
      <c r="N74" s="28"/>
      <c r="O74" s="76"/>
      <c r="P74" s="76"/>
      <c r="Q74" s="76"/>
      <c r="R74" s="76"/>
      <c r="S74" s="76"/>
      <c r="T74" s="76">
        <v>1</v>
      </c>
      <c r="U74" s="76">
        <v>1</v>
      </c>
      <c r="V74" s="76">
        <v>1</v>
      </c>
      <c r="W74" s="28">
        <v>1</v>
      </c>
      <c r="X74" s="76">
        <v>2</v>
      </c>
      <c r="Y74" s="171">
        <v>2</v>
      </c>
      <c r="Z74" s="171">
        <v>2</v>
      </c>
      <c r="AA74" s="199">
        <v>2</v>
      </c>
    </row>
    <row r="75" spans="1:27" x14ac:dyDescent="0.3">
      <c r="A75" s="183">
        <v>5</v>
      </c>
      <c r="B75" s="178">
        <v>5</v>
      </c>
      <c r="C75" s="178">
        <v>0</v>
      </c>
      <c r="D75" s="196" t="s">
        <v>644</v>
      </c>
      <c r="E75" s="197" t="str">
        <f t="shared" si="2"/>
        <v/>
      </c>
      <c r="F75" s="198">
        <f t="shared" si="3"/>
        <v>0.6</v>
      </c>
      <c r="G75" s="85">
        <v>0.6</v>
      </c>
      <c r="H75" s="20"/>
      <c r="I75" s="18"/>
      <c r="J75" s="18"/>
      <c r="K75" s="18"/>
      <c r="L75" s="18"/>
      <c r="M75" s="18"/>
      <c r="N75" s="20"/>
      <c r="O75" s="18"/>
      <c r="P75" s="18"/>
      <c r="Q75" s="18"/>
      <c r="R75" s="18"/>
      <c r="S75" s="18"/>
      <c r="T75" s="18">
        <v>1</v>
      </c>
      <c r="U75" s="18">
        <v>1</v>
      </c>
      <c r="V75" s="18">
        <v>1</v>
      </c>
      <c r="W75" s="20">
        <v>1</v>
      </c>
      <c r="X75" s="18">
        <v>2</v>
      </c>
      <c r="Y75" s="206">
        <v>2</v>
      </c>
      <c r="Z75" s="206">
        <v>2</v>
      </c>
      <c r="AA75" s="205">
        <v>2</v>
      </c>
    </row>
  </sheetData>
  <mergeCells count="6">
    <mergeCell ref="AC2:AD2"/>
    <mergeCell ref="A1:D1"/>
    <mergeCell ref="E1:G1"/>
    <mergeCell ref="H1:M1"/>
    <mergeCell ref="N1:V1"/>
    <mergeCell ref="W1:AA1"/>
  </mergeCells>
  <conditionalFormatting sqref="N3:AA75">
    <cfRule type="cellIs" dxfId="130" priority="13" operator="equal">
      <formula>2</formula>
    </cfRule>
    <cfRule type="cellIs" dxfId="129" priority="67" operator="equal">
      <formula>1</formula>
    </cfRule>
  </conditionalFormatting>
  <conditionalFormatting sqref="H3:M75">
    <cfRule type="colorScale" priority="11">
      <colorScale>
        <cfvo type="min"/>
        <cfvo type="max"/>
        <color rgb="FFFFC7CE"/>
        <color rgb="FFC6EFCE"/>
      </colorScale>
    </cfRule>
    <cfRule type="iconSet" priority="12">
      <iconSet iconSet="3Symbols" showValue="0">
        <cfvo type="percent" val="0"/>
        <cfvo type="num" val="0"/>
        <cfvo type="num" val="1"/>
      </iconSet>
    </cfRule>
  </conditionalFormatting>
  <conditionalFormatting sqref="AC3">
    <cfRule type="colorScale" priority="9">
      <colorScale>
        <cfvo type="min"/>
        <cfvo type="max"/>
        <color rgb="FFFFC7CE"/>
        <color rgb="FFC6EFCE"/>
      </colorScale>
    </cfRule>
    <cfRule type="iconSet" priority="10">
      <iconSet iconSet="3Symbols" showValue="0">
        <cfvo type="percent" val="0"/>
        <cfvo type="num" val="0"/>
        <cfvo type="num" val="1"/>
      </iconSet>
    </cfRule>
  </conditionalFormatting>
  <conditionalFormatting sqref="AC4">
    <cfRule type="colorScale" priority="7">
      <colorScale>
        <cfvo type="min"/>
        <cfvo type="max"/>
        <color rgb="FFFFC7CE"/>
        <color rgb="FFC6EFCE"/>
      </colorScale>
    </cfRule>
    <cfRule type="iconSet" priority="8">
      <iconSet iconSet="3Symbols" showValue="0">
        <cfvo type="percent" val="0"/>
        <cfvo type="num" val="0"/>
        <cfvo type="num" val="1"/>
      </iconSet>
    </cfRule>
  </conditionalFormatting>
  <conditionalFormatting sqref="AC5">
    <cfRule type="colorScale" priority="5">
      <colorScale>
        <cfvo type="min"/>
        <cfvo type="max"/>
        <color rgb="FFFFC7CE"/>
        <color rgb="FFC6EFCE"/>
      </colorScale>
    </cfRule>
    <cfRule type="iconSet" priority="6">
      <iconSet iconSet="3Symbols" showValue="0">
        <cfvo type="percent" val="0"/>
        <cfvo type="num" val="0"/>
        <cfvo type="num" val="1"/>
      </iconSet>
    </cfRule>
  </conditionalFormatting>
  <conditionalFormatting sqref="AC7">
    <cfRule type="cellIs" dxfId="128" priority="3" operator="equal">
      <formula>2</formula>
    </cfRule>
    <cfRule type="cellIs" dxfId="127" priority="4" operator="equal">
      <formula>1</formula>
    </cfRule>
  </conditionalFormatting>
  <conditionalFormatting sqref="AC8">
    <cfRule type="cellIs" dxfId="126" priority="1" operator="equal">
      <formula>2</formula>
    </cfRule>
    <cfRule type="cellIs" dxfId="125" priority="2" operator="equal">
      <formula>1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21679B-A0F7-4982-A580-0501D3AFA298}">
          <x14:formula1>
            <xm:f>'Analysis Steps'!$K$2:$K$4</xm:f>
          </x14:formula1>
          <xm:sqref>H3:M75 AC3:AC5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8052-24CD-4579-B9DA-D63ADE3CF2DB}">
  <dimension ref="A1:AO38"/>
  <sheetViews>
    <sheetView zoomScale="90" zoomScaleNormal="90" workbookViewId="0">
      <pane xSplit="4" ySplit="1" topLeftCell="AF2" activePane="bottomRight" state="frozen"/>
      <selection pane="topRight" activeCell="E1" sqref="E1"/>
      <selection pane="bottomLeft" activeCell="A2" sqref="A2"/>
      <selection pane="bottomRight" activeCell="D30" sqref="D30"/>
    </sheetView>
  </sheetViews>
  <sheetFormatPr defaultRowHeight="14.4" x14ac:dyDescent="0.3"/>
  <cols>
    <col min="1" max="1" width="3.33203125" bestFit="1" customWidth="1"/>
    <col min="2" max="2" width="27.21875" bestFit="1" customWidth="1"/>
    <col min="3" max="3" width="11.109375" bestFit="1" customWidth="1"/>
    <col min="4" max="4" width="13.5546875" bestFit="1" customWidth="1"/>
    <col min="5" max="6" width="3.33203125" customWidth="1"/>
    <col min="7" max="7" width="3.5546875" customWidth="1"/>
    <col min="8" max="8" width="3.33203125" customWidth="1"/>
    <col min="9" max="9" width="2.88671875" customWidth="1"/>
    <col min="10" max="10" width="3.5546875" customWidth="1"/>
    <col min="11" max="11" width="3.44140625" customWidth="1"/>
    <col min="12" max="12" width="3.33203125" customWidth="1"/>
    <col min="13" max="13" width="3.5546875" customWidth="1"/>
    <col min="14" max="18" width="3.33203125" customWidth="1"/>
    <col min="19" max="19" width="3.5546875" customWidth="1"/>
    <col min="20" max="20" width="3.33203125" customWidth="1"/>
    <col min="21" max="21" width="2.88671875" customWidth="1"/>
    <col min="22" max="22" width="4" bestFit="1" customWidth="1"/>
    <col min="23" max="23" width="3.44140625" customWidth="1"/>
    <col min="24" max="24" width="3.33203125" customWidth="1"/>
    <col min="25" max="25" width="3.5546875" customWidth="1"/>
    <col min="26" max="26" width="3.33203125" customWidth="1"/>
    <col min="27" max="30" width="3.33203125" bestFit="1" customWidth="1"/>
    <col min="31" max="31" width="3.5546875" bestFit="1" customWidth="1"/>
    <col min="32" max="32" width="3.33203125" bestFit="1" customWidth="1"/>
    <col min="33" max="33" width="2.88671875" bestFit="1" customWidth="1"/>
    <col min="34" max="34" width="4" bestFit="1" customWidth="1"/>
    <col min="35" max="35" width="3.44140625" bestFit="1" customWidth="1"/>
    <col min="36" max="36" width="3.33203125" bestFit="1" customWidth="1"/>
    <col min="37" max="37" width="3.5546875" bestFit="1" customWidth="1"/>
    <col min="38" max="41" width="3.33203125" bestFit="1" customWidth="1"/>
  </cols>
  <sheetData>
    <row r="1" spans="1:41" x14ac:dyDescent="0.3">
      <c r="A1" s="5" t="s">
        <v>0</v>
      </c>
      <c r="B1" s="5" t="s">
        <v>1</v>
      </c>
      <c r="C1" s="5" t="s">
        <v>2</v>
      </c>
      <c r="D1" s="5" t="s">
        <v>3</v>
      </c>
      <c r="E1" s="34">
        <v>43891</v>
      </c>
      <c r="F1" s="34">
        <v>43922</v>
      </c>
      <c r="G1" s="34">
        <v>43952</v>
      </c>
      <c r="H1" s="34">
        <v>43983</v>
      </c>
      <c r="I1" s="34">
        <v>44013</v>
      </c>
      <c r="J1" s="34">
        <v>44044</v>
      </c>
      <c r="K1" s="34">
        <v>44075</v>
      </c>
      <c r="L1" s="34">
        <v>44105</v>
      </c>
      <c r="M1" s="34">
        <v>44136</v>
      </c>
      <c r="N1" s="34">
        <v>44166</v>
      </c>
      <c r="O1" s="34">
        <v>44197</v>
      </c>
      <c r="P1" s="34">
        <v>44228</v>
      </c>
      <c r="Q1" s="34">
        <v>44256</v>
      </c>
      <c r="R1" s="34">
        <v>44287</v>
      </c>
      <c r="S1" s="34">
        <v>44317</v>
      </c>
      <c r="T1" s="34">
        <v>44348</v>
      </c>
      <c r="U1" s="34">
        <v>44378</v>
      </c>
      <c r="V1" s="34">
        <v>44409</v>
      </c>
      <c r="W1" s="34">
        <v>44440</v>
      </c>
      <c r="X1" s="34">
        <v>44470</v>
      </c>
      <c r="Y1" s="34">
        <v>44501</v>
      </c>
      <c r="Z1" s="34">
        <v>44531</v>
      </c>
      <c r="AA1" s="34">
        <v>44562</v>
      </c>
      <c r="AB1" s="34">
        <v>44593</v>
      </c>
      <c r="AC1" s="34">
        <v>44621</v>
      </c>
      <c r="AD1" s="34">
        <v>44652</v>
      </c>
      <c r="AE1" s="34">
        <v>44682</v>
      </c>
      <c r="AF1" s="34">
        <v>44713</v>
      </c>
      <c r="AG1" s="34">
        <v>44743</v>
      </c>
      <c r="AH1" s="34">
        <v>44774</v>
      </c>
      <c r="AI1" s="34">
        <v>44805</v>
      </c>
      <c r="AJ1" s="34">
        <v>44835</v>
      </c>
      <c r="AK1" s="34">
        <v>44866</v>
      </c>
      <c r="AL1" s="34">
        <v>44896</v>
      </c>
      <c r="AM1" s="34">
        <v>44927</v>
      </c>
      <c r="AN1" s="34">
        <v>44958</v>
      </c>
      <c r="AO1" s="34">
        <v>44986</v>
      </c>
    </row>
    <row r="2" spans="1:41" x14ac:dyDescent="0.3">
      <c r="A2" s="337">
        <v>1</v>
      </c>
      <c r="B2" s="13" t="s">
        <v>4</v>
      </c>
      <c r="C2" s="14"/>
      <c r="D2" s="14"/>
      <c r="E2" s="15">
        <v>1</v>
      </c>
      <c r="F2" s="16">
        <v>1</v>
      </c>
      <c r="G2" s="16">
        <v>1</v>
      </c>
      <c r="H2" s="16">
        <v>1</v>
      </c>
      <c r="I2" s="16">
        <v>1</v>
      </c>
      <c r="J2" s="16">
        <v>1</v>
      </c>
      <c r="K2" s="16">
        <v>1</v>
      </c>
      <c r="L2" s="16">
        <v>1</v>
      </c>
      <c r="M2" s="16">
        <v>1</v>
      </c>
      <c r="N2" s="17">
        <v>1</v>
      </c>
      <c r="O2" s="15">
        <v>1</v>
      </c>
      <c r="P2" s="16">
        <v>1</v>
      </c>
      <c r="Q2" s="16">
        <v>1</v>
      </c>
      <c r="R2" s="16">
        <v>1</v>
      </c>
      <c r="S2" s="16">
        <v>1</v>
      </c>
      <c r="T2" s="16">
        <v>1</v>
      </c>
      <c r="U2" s="16">
        <v>1</v>
      </c>
      <c r="V2" s="16">
        <v>1</v>
      </c>
      <c r="W2" s="16">
        <v>1</v>
      </c>
      <c r="X2" s="16">
        <v>1</v>
      </c>
      <c r="Y2" s="16">
        <v>1</v>
      </c>
      <c r="Z2" s="17">
        <v>1</v>
      </c>
      <c r="AA2" s="15">
        <v>1</v>
      </c>
      <c r="AB2" s="16">
        <v>1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16">
        <v>1</v>
      </c>
      <c r="AI2" s="16">
        <v>1</v>
      </c>
      <c r="AJ2" s="16">
        <v>1</v>
      </c>
      <c r="AK2" s="16">
        <v>1</v>
      </c>
      <c r="AL2" s="17">
        <v>1</v>
      </c>
      <c r="AM2" s="15">
        <v>1</v>
      </c>
      <c r="AN2" s="16">
        <v>1</v>
      </c>
      <c r="AO2" s="17">
        <v>1</v>
      </c>
    </row>
    <row r="3" spans="1:41" x14ac:dyDescent="0.3">
      <c r="A3" s="338"/>
      <c r="B3" s="18" t="s">
        <v>5</v>
      </c>
      <c r="C3" s="19"/>
      <c r="D3" s="19"/>
      <c r="E3" s="20"/>
      <c r="F3" s="18"/>
      <c r="G3" s="18"/>
      <c r="H3" s="18"/>
      <c r="I3" s="18"/>
      <c r="J3" s="21">
        <v>1</v>
      </c>
      <c r="K3" s="21">
        <v>1</v>
      </c>
      <c r="L3" s="21">
        <v>1</v>
      </c>
      <c r="M3" s="21">
        <v>1</v>
      </c>
      <c r="N3" s="22">
        <v>1</v>
      </c>
      <c r="O3" s="23">
        <v>1</v>
      </c>
      <c r="P3" s="21">
        <v>1</v>
      </c>
      <c r="Q3" s="18"/>
      <c r="R3" s="18"/>
      <c r="S3" s="18"/>
      <c r="T3" s="18"/>
      <c r="U3" s="18"/>
      <c r="V3" s="18"/>
      <c r="W3" s="18"/>
      <c r="X3" s="18"/>
      <c r="Y3" s="18"/>
      <c r="Z3" s="24"/>
      <c r="AA3" s="20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24"/>
      <c r="AM3" s="20"/>
      <c r="AN3" s="18"/>
      <c r="AO3" s="24"/>
    </row>
    <row r="4" spans="1:41" x14ac:dyDescent="0.3">
      <c r="A4" s="337">
        <v>2</v>
      </c>
      <c r="B4" s="13" t="s">
        <v>6</v>
      </c>
      <c r="C4" s="14">
        <v>30</v>
      </c>
      <c r="D4" s="14"/>
      <c r="E4" s="25"/>
      <c r="F4" s="13"/>
      <c r="G4" s="13"/>
      <c r="H4" s="13"/>
      <c r="I4" s="16">
        <v>1</v>
      </c>
      <c r="J4" s="13"/>
      <c r="K4" s="13"/>
      <c r="L4" s="13"/>
      <c r="M4" s="13"/>
      <c r="N4" s="26"/>
      <c r="O4" s="25"/>
      <c r="P4" s="13"/>
      <c r="Q4" s="13"/>
      <c r="R4" s="13"/>
      <c r="S4" s="13"/>
      <c r="T4" s="13"/>
      <c r="U4" s="13"/>
      <c r="V4" s="13"/>
      <c r="W4" s="13"/>
      <c r="X4" s="13"/>
      <c r="Y4" s="13"/>
      <c r="Z4" s="26"/>
      <c r="AA4" s="25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26"/>
      <c r="AM4" s="25"/>
      <c r="AN4" s="13"/>
      <c r="AO4" s="26"/>
    </row>
    <row r="5" spans="1:41" x14ac:dyDescent="0.3">
      <c r="A5" s="339"/>
      <c r="B5" t="s">
        <v>7</v>
      </c>
      <c r="C5" s="27"/>
      <c r="D5" s="27"/>
      <c r="E5" s="28"/>
      <c r="I5" s="29">
        <v>1</v>
      </c>
      <c r="N5" s="30"/>
      <c r="O5" s="28"/>
      <c r="Z5" s="30"/>
      <c r="AA5" s="28"/>
      <c r="AL5" s="30"/>
      <c r="AM5" s="28"/>
      <c r="AO5" s="30"/>
    </row>
    <row r="6" spans="1:41" x14ac:dyDescent="0.3">
      <c r="A6" s="339"/>
      <c r="B6" t="s">
        <v>8</v>
      </c>
      <c r="C6" s="27">
        <f>60*1.5</f>
        <v>90</v>
      </c>
      <c r="D6" s="27"/>
      <c r="E6" s="28"/>
      <c r="J6" s="29">
        <v>1</v>
      </c>
      <c r="N6" s="30"/>
      <c r="O6" s="28"/>
      <c r="S6" s="29">
        <v>1</v>
      </c>
      <c r="Z6" s="30"/>
      <c r="AA6" s="28"/>
      <c r="AL6" s="30"/>
      <c r="AM6" s="28"/>
      <c r="AO6" s="30"/>
    </row>
    <row r="7" spans="1:41" x14ac:dyDescent="0.3">
      <c r="A7" s="339"/>
      <c r="B7" t="s">
        <v>9</v>
      </c>
      <c r="C7" s="27">
        <f>(2500+1000)*1.5</f>
        <v>5250</v>
      </c>
      <c r="D7" s="27">
        <f>1000*1.5</f>
        <v>1500</v>
      </c>
      <c r="E7" s="28"/>
      <c r="K7" s="29">
        <v>1</v>
      </c>
      <c r="L7" s="29">
        <v>1</v>
      </c>
      <c r="N7" s="30"/>
      <c r="O7" s="28"/>
      <c r="T7" s="29">
        <v>1</v>
      </c>
      <c r="U7" s="29">
        <v>1</v>
      </c>
      <c r="Z7" s="30"/>
      <c r="AA7" s="28"/>
      <c r="AL7" s="30"/>
      <c r="AM7" s="28"/>
      <c r="AO7" s="30"/>
    </row>
    <row r="8" spans="1:41" x14ac:dyDescent="0.3">
      <c r="A8" s="339"/>
      <c r="B8" t="s">
        <v>10</v>
      </c>
      <c r="C8" s="27">
        <f>(6000+550)*1.5</f>
        <v>9825</v>
      </c>
      <c r="D8" s="27">
        <f>(12000+175)*1.5</f>
        <v>18262.5</v>
      </c>
      <c r="E8" s="28"/>
      <c r="L8" s="29">
        <v>1</v>
      </c>
      <c r="M8" s="29">
        <v>1</v>
      </c>
      <c r="N8" s="30"/>
      <c r="O8" s="28"/>
      <c r="U8" s="29">
        <v>1</v>
      </c>
      <c r="V8" s="29">
        <v>1</v>
      </c>
      <c r="Z8" s="30"/>
      <c r="AA8" s="28"/>
      <c r="AL8" s="30"/>
      <c r="AM8" s="28"/>
      <c r="AO8" s="30"/>
    </row>
    <row r="9" spans="1:41" x14ac:dyDescent="0.3">
      <c r="A9" s="339"/>
      <c r="B9" t="s">
        <v>11</v>
      </c>
      <c r="C9" s="27">
        <v>30</v>
      </c>
      <c r="D9" s="27"/>
      <c r="E9" s="28"/>
      <c r="I9" s="29">
        <v>1</v>
      </c>
      <c r="N9" s="30"/>
      <c r="O9" s="28"/>
      <c r="Z9" s="30"/>
      <c r="AA9" s="28"/>
      <c r="AL9" s="30"/>
      <c r="AM9" s="28"/>
      <c r="AO9" s="30"/>
    </row>
    <row r="10" spans="1:41" x14ac:dyDescent="0.3">
      <c r="A10" s="339"/>
      <c r="B10" t="s">
        <v>12</v>
      </c>
      <c r="C10" s="27">
        <f>60*4*1.5</f>
        <v>360</v>
      </c>
      <c r="D10" s="27"/>
      <c r="E10" s="28"/>
      <c r="J10" s="29">
        <v>1</v>
      </c>
      <c r="N10" s="30"/>
      <c r="O10" s="28"/>
      <c r="Z10" s="30"/>
      <c r="AA10" s="28"/>
      <c r="AL10" s="30"/>
      <c r="AM10" s="28"/>
      <c r="AO10" s="30"/>
    </row>
    <row r="11" spans="1:41" x14ac:dyDescent="0.3">
      <c r="A11" s="339"/>
      <c r="B11" t="s">
        <v>13</v>
      </c>
      <c r="C11" s="27">
        <f>4000*1.5</f>
        <v>6000</v>
      </c>
      <c r="D11" s="27"/>
      <c r="E11" s="28"/>
      <c r="K11" s="29">
        <v>1</v>
      </c>
      <c r="L11" s="29">
        <v>1</v>
      </c>
      <c r="N11" s="30"/>
      <c r="O11" s="28"/>
      <c r="Z11" s="30"/>
      <c r="AA11" s="28"/>
      <c r="AL11" s="30"/>
      <c r="AM11" s="28"/>
      <c r="AO11" s="30"/>
    </row>
    <row r="12" spans="1:41" x14ac:dyDescent="0.3">
      <c r="A12" s="339"/>
      <c r="B12" t="s">
        <v>14</v>
      </c>
      <c r="C12" s="27">
        <f>6000*1.5</f>
        <v>9000</v>
      </c>
      <c r="D12" s="27"/>
      <c r="E12" s="28"/>
      <c r="M12" s="29">
        <v>1</v>
      </c>
      <c r="N12" s="30"/>
      <c r="O12" s="28"/>
      <c r="Z12" s="30"/>
      <c r="AA12" s="28"/>
      <c r="AL12" s="30"/>
      <c r="AM12" s="28"/>
      <c r="AO12" s="30"/>
    </row>
    <row r="13" spans="1:41" x14ac:dyDescent="0.3">
      <c r="A13" s="339"/>
      <c r="B13" t="s">
        <v>15</v>
      </c>
      <c r="D13" s="27"/>
      <c r="E13" s="28"/>
      <c r="N13" s="30"/>
      <c r="O13" s="28"/>
      <c r="Q13" s="29">
        <v>1</v>
      </c>
      <c r="R13" s="29">
        <v>1</v>
      </c>
      <c r="S13" s="29">
        <v>1</v>
      </c>
      <c r="T13" s="29">
        <v>1</v>
      </c>
      <c r="U13" s="29">
        <v>1</v>
      </c>
      <c r="V13" s="29">
        <v>1</v>
      </c>
      <c r="W13" s="29"/>
      <c r="X13" s="29"/>
      <c r="Y13" s="29"/>
      <c r="Z13" s="29"/>
      <c r="AA13" s="28"/>
      <c r="AL13" s="30"/>
      <c r="AM13" s="28"/>
      <c r="AO13" s="30"/>
    </row>
    <row r="14" spans="1:41" x14ac:dyDescent="0.3">
      <c r="A14" s="339"/>
      <c r="B14" t="s">
        <v>16</v>
      </c>
      <c r="D14" s="27"/>
      <c r="E14" s="28"/>
      <c r="N14" s="30"/>
      <c r="O14" s="28"/>
      <c r="Q14" s="29"/>
      <c r="R14" s="29"/>
      <c r="S14" s="29">
        <v>1</v>
      </c>
      <c r="T14" s="29">
        <v>1</v>
      </c>
      <c r="U14" s="29">
        <v>1</v>
      </c>
      <c r="V14" s="29">
        <v>1</v>
      </c>
      <c r="W14" s="29">
        <v>1</v>
      </c>
      <c r="X14" s="29">
        <v>1</v>
      </c>
      <c r="Y14" s="29"/>
      <c r="Z14" s="29"/>
      <c r="AA14" s="28"/>
      <c r="AL14" s="30"/>
      <c r="AM14" s="28"/>
      <c r="AO14" s="30"/>
    </row>
    <row r="15" spans="1:41" x14ac:dyDescent="0.3">
      <c r="A15" s="339"/>
      <c r="B15" t="s">
        <v>17</v>
      </c>
      <c r="D15" s="27"/>
      <c r="E15" s="28"/>
      <c r="N15" s="30"/>
      <c r="O15" s="28"/>
      <c r="Q15" s="29"/>
      <c r="R15" s="29"/>
      <c r="S15" s="29"/>
      <c r="T15" s="29"/>
      <c r="U15" s="29">
        <v>1</v>
      </c>
      <c r="V15" s="29">
        <v>1</v>
      </c>
      <c r="W15" s="29">
        <v>1</v>
      </c>
      <c r="X15" s="29">
        <v>1</v>
      </c>
      <c r="Y15" s="29">
        <v>1</v>
      </c>
      <c r="Z15" s="29">
        <v>1</v>
      </c>
      <c r="AA15" s="28"/>
      <c r="AL15" s="30"/>
      <c r="AM15" s="28"/>
      <c r="AO15" s="30"/>
    </row>
    <row r="16" spans="1:41" x14ac:dyDescent="0.3">
      <c r="A16" s="339"/>
      <c r="B16" t="s">
        <v>18</v>
      </c>
      <c r="D16" s="27"/>
      <c r="E16" s="28"/>
      <c r="N16" s="30"/>
      <c r="O16" s="28"/>
      <c r="U16" s="29"/>
      <c r="V16" s="29"/>
      <c r="W16" s="29">
        <v>1</v>
      </c>
      <c r="X16" s="29">
        <v>1</v>
      </c>
      <c r="Y16" s="29">
        <v>1</v>
      </c>
      <c r="Z16" s="29">
        <v>1</v>
      </c>
      <c r="AA16" s="29">
        <v>1</v>
      </c>
      <c r="AB16" s="29">
        <v>1</v>
      </c>
      <c r="AC16" s="29"/>
      <c r="AD16" s="29"/>
      <c r="AE16" s="29"/>
      <c r="AF16" s="29"/>
      <c r="AL16" s="30"/>
      <c r="AM16" s="28"/>
      <c r="AO16" s="30"/>
    </row>
    <row r="17" spans="1:41" x14ac:dyDescent="0.3">
      <c r="A17" s="339"/>
      <c r="B17" t="s">
        <v>19</v>
      </c>
      <c r="D17" s="27"/>
      <c r="E17" s="28"/>
      <c r="N17" s="30"/>
      <c r="O17" s="28"/>
      <c r="U17" s="29"/>
      <c r="V17" s="29"/>
      <c r="W17" s="29"/>
      <c r="X17" s="29"/>
      <c r="Y17" s="29"/>
      <c r="Z17" s="29"/>
      <c r="AA17" s="29"/>
      <c r="AB17" s="29"/>
      <c r="AC17" s="29">
        <v>1</v>
      </c>
      <c r="AD17" s="29">
        <v>1</v>
      </c>
      <c r="AE17" s="29"/>
      <c r="AF17" s="29"/>
      <c r="AL17" s="30"/>
      <c r="AM17" s="28"/>
      <c r="AO17" s="30"/>
    </row>
    <row r="18" spans="1:41" x14ac:dyDescent="0.3">
      <c r="A18" s="339"/>
      <c r="B18" t="s">
        <v>20</v>
      </c>
      <c r="D18" s="27"/>
      <c r="E18" s="28"/>
      <c r="N18" s="30"/>
      <c r="O18" s="28"/>
      <c r="U18" s="29"/>
      <c r="V18" s="29"/>
      <c r="W18" s="29"/>
      <c r="X18" s="29"/>
      <c r="Y18" s="29"/>
      <c r="Z18" s="29"/>
      <c r="AA18" s="29">
        <v>1</v>
      </c>
      <c r="AB18" s="29">
        <v>1</v>
      </c>
      <c r="AC18" s="29">
        <v>1</v>
      </c>
      <c r="AD18" s="29">
        <v>1</v>
      </c>
      <c r="AE18" s="29">
        <v>1</v>
      </c>
      <c r="AF18" s="29">
        <v>1</v>
      </c>
      <c r="AL18" s="30"/>
      <c r="AM18" s="28"/>
      <c r="AO18" s="30"/>
    </row>
    <row r="19" spans="1:41" x14ac:dyDescent="0.3">
      <c r="A19" s="339"/>
      <c r="B19" s="18" t="s">
        <v>21</v>
      </c>
      <c r="C19" s="18"/>
      <c r="D19" s="19"/>
      <c r="E19" s="20"/>
      <c r="F19" s="18"/>
      <c r="G19" s="18"/>
      <c r="H19" s="18"/>
      <c r="I19" s="18"/>
      <c r="J19" s="18"/>
      <c r="K19" s="18"/>
      <c r="L19" s="18"/>
      <c r="M19" s="18"/>
      <c r="N19" s="24"/>
      <c r="O19" s="20"/>
      <c r="P19" s="18"/>
      <c r="Q19" s="18"/>
      <c r="R19" s="18"/>
      <c r="S19" s="18"/>
      <c r="T19" s="18"/>
      <c r="U19" s="29"/>
      <c r="V19" s="29"/>
      <c r="W19" s="29"/>
      <c r="X19" s="29"/>
      <c r="Y19" s="29"/>
      <c r="Z19" s="29"/>
      <c r="AA19" s="29"/>
      <c r="AB19" s="29"/>
      <c r="AC19" s="29"/>
      <c r="AD19" s="29">
        <v>1</v>
      </c>
      <c r="AE19" s="29">
        <v>1</v>
      </c>
      <c r="AF19" s="29">
        <v>1</v>
      </c>
      <c r="AG19" s="18">
        <v>1</v>
      </c>
      <c r="AH19" s="18">
        <v>1</v>
      </c>
      <c r="AI19" s="18"/>
      <c r="AJ19" s="18"/>
      <c r="AK19" s="18"/>
      <c r="AL19" s="24"/>
      <c r="AM19" s="20"/>
      <c r="AN19" s="18"/>
      <c r="AO19" s="24"/>
    </row>
    <row r="20" spans="1:41" x14ac:dyDescent="0.3">
      <c r="A20" s="337">
        <v>3</v>
      </c>
      <c r="B20" s="13" t="s">
        <v>22</v>
      </c>
      <c r="C20" s="14">
        <v>30</v>
      </c>
      <c r="D20" s="14"/>
      <c r="E20" s="25"/>
      <c r="F20" s="13"/>
      <c r="G20" s="13"/>
      <c r="H20" s="13"/>
      <c r="I20" s="16">
        <v>1</v>
      </c>
      <c r="J20" s="13"/>
      <c r="K20" s="13"/>
      <c r="L20" s="13"/>
      <c r="M20" s="13"/>
      <c r="N20" s="26"/>
      <c r="O20" s="25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26"/>
      <c r="AA20" s="25"/>
      <c r="AB20" s="13"/>
      <c r="AC20" s="13"/>
      <c r="AD20" s="13"/>
      <c r="AE20" s="13"/>
      <c r="AG20" s="13"/>
      <c r="AH20" s="13"/>
      <c r="AI20" s="13"/>
      <c r="AJ20" s="13"/>
      <c r="AK20" s="13"/>
      <c r="AL20" s="26"/>
      <c r="AM20" s="25"/>
      <c r="AN20" s="13"/>
      <c r="AO20" s="26"/>
    </row>
    <row r="21" spans="1:41" x14ac:dyDescent="0.3">
      <c r="A21" s="339"/>
      <c r="B21" t="s">
        <v>7</v>
      </c>
      <c r="C21" s="27"/>
      <c r="D21" s="27"/>
      <c r="E21" s="28"/>
      <c r="I21" s="29">
        <v>1</v>
      </c>
      <c r="N21" s="30"/>
      <c r="O21" s="28"/>
      <c r="Z21" s="30"/>
      <c r="AA21" s="28"/>
      <c r="AL21" s="30"/>
      <c r="AM21" s="28"/>
      <c r="AO21" s="30"/>
    </row>
    <row r="22" spans="1:41" x14ac:dyDescent="0.3">
      <c r="A22" s="339"/>
      <c r="B22" t="s">
        <v>23</v>
      </c>
      <c r="C22" s="27">
        <f>40*4*1.5</f>
        <v>240</v>
      </c>
      <c r="D22" s="27"/>
      <c r="E22" s="28"/>
      <c r="J22" s="29">
        <v>1</v>
      </c>
      <c r="N22" s="30"/>
      <c r="O22" s="28"/>
      <c r="Z22" s="30"/>
      <c r="AA22" s="28"/>
      <c r="AL22" s="30"/>
      <c r="AM22" s="28"/>
      <c r="AO22" s="30"/>
    </row>
    <row r="23" spans="1:41" x14ac:dyDescent="0.3">
      <c r="A23" s="339"/>
      <c r="B23" t="s">
        <v>24</v>
      </c>
      <c r="C23" s="27">
        <f>2000*1.5</f>
        <v>3000</v>
      </c>
      <c r="D23" s="27"/>
      <c r="E23" s="28"/>
      <c r="K23" s="29">
        <v>1</v>
      </c>
      <c r="L23" s="29">
        <v>1</v>
      </c>
      <c r="N23" s="30"/>
      <c r="O23" s="28"/>
      <c r="Z23" s="30"/>
      <c r="AA23" s="28"/>
      <c r="AL23" s="30"/>
      <c r="AM23" s="28"/>
      <c r="AO23" s="30"/>
    </row>
    <row r="24" spans="1:41" x14ac:dyDescent="0.3">
      <c r="A24" s="339"/>
      <c r="B24" t="s">
        <v>25</v>
      </c>
      <c r="C24" s="27">
        <f>4500*1.5</f>
        <v>6750</v>
      </c>
      <c r="D24" s="27"/>
      <c r="E24" s="28"/>
      <c r="M24" s="29">
        <v>1</v>
      </c>
      <c r="N24" s="30"/>
      <c r="O24" s="28"/>
      <c r="Z24" s="30"/>
      <c r="AA24" s="28"/>
      <c r="AL24" s="30"/>
      <c r="AM24" s="28"/>
      <c r="AO24" s="30"/>
    </row>
    <row r="25" spans="1:41" x14ac:dyDescent="0.3">
      <c r="A25" s="339"/>
      <c r="B25" t="s">
        <v>26</v>
      </c>
      <c r="C25" s="27"/>
      <c r="D25" s="27"/>
      <c r="E25" s="28"/>
      <c r="N25" s="30"/>
      <c r="O25" s="28"/>
      <c r="W25" s="29"/>
      <c r="X25" s="29"/>
      <c r="Y25" s="29"/>
      <c r="AB25" s="29">
        <v>1</v>
      </c>
      <c r="AC25" s="29">
        <v>1</v>
      </c>
      <c r="AD25" s="29">
        <v>1</v>
      </c>
      <c r="AE25" s="29">
        <v>1</v>
      </c>
      <c r="AF25" s="29">
        <v>1</v>
      </c>
      <c r="AG25" s="29"/>
      <c r="AH25" s="29"/>
      <c r="AL25" s="30"/>
      <c r="AM25" s="28"/>
      <c r="AO25" s="30"/>
    </row>
    <row r="26" spans="1:41" x14ac:dyDescent="0.3">
      <c r="A26" s="339"/>
      <c r="B26" t="s">
        <v>27</v>
      </c>
      <c r="C26" s="27"/>
      <c r="D26" s="27"/>
      <c r="E26" s="28"/>
      <c r="N26" s="30"/>
      <c r="O26" s="28"/>
      <c r="W26" s="29"/>
      <c r="X26" s="29"/>
      <c r="Y26" s="29"/>
      <c r="AB26" s="29"/>
      <c r="AC26" s="29"/>
      <c r="AD26" s="29">
        <v>1</v>
      </c>
      <c r="AE26" s="29">
        <v>1</v>
      </c>
      <c r="AF26" s="29">
        <v>1</v>
      </c>
      <c r="AG26" s="29">
        <v>1</v>
      </c>
      <c r="AH26" s="29">
        <v>1</v>
      </c>
      <c r="AL26" s="30"/>
      <c r="AM26" s="28"/>
      <c r="AO26" s="30"/>
    </row>
    <row r="27" spans="1:41" x14ac:dyDescent="0.3">
      <c r="A27" s="338"/>
      <c r="B27" s="18" t="s">
        <v>28</v>
      </c>
      <c r="C27" s="19">
        <f>173+1250</f>
        <v>1423</v>
      </c>
      <c r="D27" s="19"/>
      <c r="E27" s="20"/>
      <c r="F27" s="18"/>
      <c r="G27" s="18"/>
      <c r="H27" s="18"/>
      <c r="I27" s="18"/>
      <c r="J27" s="18"/>
      <c r="K27" s="18"/>
      <c r="L27" s="18"/>
      <c r="M27" s="18"/>
      <c r="N27" s="22">
        <v>1</v>
      </c>
      <c r="O27" s="20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24"/>
      <c r="AA27" s="20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24"/>
      <c r="AM27" s="20"/>
      <c r="AN27" s="18"/>
      <c r="AO27" s="24"/>
    </row>
    <row r="28" spans="1:41" x14ac:dyDescent="0.3">
      <c r="A28" s="36"/>
      <c r="B28" s="5" t="s">
        <v>29</v>
      </c>
      <c r="C28" s="27"/>
      <c r="D28" s="32">
        <f>SUM(C4:D27)</f>
        <v>61790.5</v>
      </c>
      <c r="E28" s="28"/>
      <c r="O28" s="28"/>
      <c r="Z28" s="30"/>
      <c r="AA28" s="28"/>
      <c r="AL28" s="30"/>
      <c r="AM28" s="28"/>
      <c r="AO28" s="30"/>
    </row>
    <row r="29" spans="1:41" x14ac:dyDescent="0.3">
      <c r="A29" s="337">
        <v>4</v>
      </c>
      <c r="B29" s="13" t="s">
        <v>30</v>
      </c>
      <c r="C29" s="14">
        <f>30*4</f>
        <v>120</v>
      </c>
      <c r="D29" s="14">
        <v>120</v>
      </c>
      <c r="E29" s="25"/>
      <c r="F29" s="13"/>
      <c r="G29" s="13"/>
      <c r="H29" s="13"/>
      <c r="I29" s="13"/>
      <c r="J29" s="13"/>
      <c r="K29" s="13"/>
      <c r="L29" s="13"/>
      <c r="M29" s="13"/>
      <c r="N29" s="26"/>
      <c r="O29" s="25"/>
      <c r="P29" s="13"/>
      <c r="Q29" s="13"/>
      <c r="R29" s="16">
        <v>1</v>
      </c>
      <c r="S29" s="16">
        <v>1</v>
      </c>
      <c r="T29" s="16">
        <v>1</v>
      </c>
      <c r="U29" s="16">
        <v>1</v>
      </c>
      <c r="V29" s="16">
        <v>1</v>
      </c>
      <c r="W29" s="16">
        <v>1</v>
      </c>
      <c r="X29" s="16">
        <v>1</v>
      </c>
      <c r="Y29" s="13"/>
      <c r="Z29" s="26"/>
      <c r="AA29" s="25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26"/>
      <c r="AM29" s="25"/>
      <c r="AN29" s="13"/>
      <c r="AO29" s="26"/>
    </row>
    <row r="30" spans="1:41" x14ac:dyDescent="0.3">
      <c r="A30" s="339"/>
      <c r="B30" t="s">
        <v>31</v>
      </c>
      <c r="C30" s="27"/>
      <c r="D30" s="27">
        <v>5400</v>
      </c>
      <c r="E30" s="28"/>
      <c r="N30" s="30"/>
      <c r="O30" s="28"/>
      <c r="AA30" s="29"/>
      <c r="AB30" s="30"/>
      <c r="AD30">
        <v>1</v>
      </c>
      <c r="AL30" s="30"/>
      <c r="AM30" s="28"/>
      <c r="AO30" s="30"/>
    </row>
    <row r="31" spans="1:41" x14ac:dyDescent="0.3">
      <c r="A31" s="339"/>
      <c r="B31" t="s">
        <v>32</v>
      </c>
      <c r="C31" s="27"/>
      <c r="D31" s="27"/>
      <c r="E31" s="28"/>
      <c r="N31" s="30"/>
      <c r="O31" s="28"/>
      <c r="AB31" s="31"/>
      <c r="AC31" s="29"/>
      <c r="AE31">
        <v>1</v>
      </c>
      <c r="AF31" s="171">
        <v>1</v>
      </c>
      <c r="AL31" s="30"/>
      <c r="AM31" s="28"/>
      <c r="AO31" s="30"/>
    </row>
    <row r="32" spans="1:41" x14ac:dyDescent="0.3">
      <c r="A32" s="339"/>
      <c r="B32" t="s">
        <v>33</v>
      </c>
      <c r="C32" s="27"/>
      <c r="D32" s="27">
        <v>15000</v>
      </c>
      <c r="E32" s="28"/>
      <c r="N32" s="30"/>
      <c r="O32" s="28"/>
      <c r="AB32" s="30"/>
      <c r="AD32" s="29"/>
      <c r="AG32">
        <v>1</v>
      </c>
      <c r="AL32" s="30"/>
      <c r="AM32" s="28"/>
      <c r="AO32" s="30"/>
    </row>
    <row r="33" spans="1:41" x14ac:dyDescent="0.3">
      <c r="A33" s="338"/>
      <c r="B33" t="s">
        <v>34</v>
      </c>
      <c r="C33" s="19"/>
      <c r="D33" s="19"/>
      <c r="E33" s="20"/>
      <c r="F33" s="18"/>
      <c r="G33" s="18"/>
      <c r="H33" s="18"/>
      <c r="I33" s="18"/>
      <c r="J33" s="18"/>
      <c r="K33" s="18"/>
      <c r="L33" s="18"/>
      <c r="M33" s="18"/>
      <c r="N33" s="24"/>
      <c r="O33" s="20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24"/>
      <c r="AD33" s="23"/>
      <c r="AE33" s="21"/>
      <c r="AF33" s="21"/>
      <c r="AG33" s="21"/>
      <c r="AH33" s="21">
        <v>1</v>
      </c>
      <c r="AI33" s="21">
        <v>1</v>
      </c>
      <c r="AJ33" s="18">
        <v>1</v>
      </c>
      <c r="AK33" s="18"/>
      <c r="AL33" s="24"/>
      <c r="AM33" s="20"/>
      <c r="AN33" s="18"/>
      <c r="AO33" s="24"/>
    </row>
    <row r="34" spans="1:41" x14ac:dyDescent="0.3">
      <c r="A34" s="25"/>
      <c r="B34" s="33" t="s">
        <v>35</v>
      </c>
      <c r="C34" s="340">
        <f>SUM(C28:D33)</f>
        <v>82430.5</v>
      </c>
      <c r="D34" s="341"/>
      <c r="E34" s="28"/>
    </row>
    <row r="35" spans="1:41" x14ac:dyDescent="0.3">
      <c r="B35" t="s">
        <v>36</v>
      </c>
      <c r="D35" s="65">
        <v>18000</v>
      </c>
    </row>
    <row r="36" spans="1:41" x14ac:dyDescent="0.3">
      <c r="B36">
        <f>696-450</f>
        <v>246</v>
      </c>
      <c r="D36" s="65"/>
    </row>
    <row r="37" spans="1:41" x14ac:dyDescent="0.3">
      <c r="B37">
        <v>2000</v>
      </c>
    </row>
    <row r="38" spans="1:41" x14ac:dyDescent="0.3">
      <c r="B38">
        <v>5000</v>
      </c>
    </row>
  </sheetData>
  <mergeCells count="5">
    <mergeCell ref="A2:A3"/>
    <mergeCell ref="A4:A19"/>
    <mergeCell ref="A20:A27"/>
    <mergeCell ref="A29:A33"/>
    <mergeCell ref="C34:D34"/>
  </mergeCells>
  <conditionalFormatting sqref="E33:Z33 AD33:AO33 E2:AO24 E25:Y26 AB25:AO26 E27:AO29 E30:X32 AA30:AO32">
    <cfRule type="expression" dxfId="124" priority="1">
      <formula>E2&lt;&gt;1</formula>
    </cfRule>
    <cfRule type="expression" dxfId="123" priority="2">
      <formula>E2=1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DFDB-5B90-4E2A-B28B-9EEC93B52595}">
  <dimension ref="A1:AAI85"/>
  <sheetViews>
    <sheetView zoomScale="96" zoomScaleNormal="96" workbookViewId="0">
      <pane xSplit="1" ySplit="1" topLeftCell="P14" activePane="bottomRight" state="frozen"/>
      <selection pane="topRight" activeCell="B1" sqref="B1"/>
      <selection pane="bottomLeft" activeCell="A2" sqref="A2"/>
      <selection pane="bottomRight" activeCell="P34" sqref="P34"/>
    </sheetView>
  </sheetViews>
  <sheetFormatPr defaultRowHeight="14.4" x14ac:dyDescent="0.3"/>
  <cols>
    <col min="1" max="1" width="28.5546875" bestFit="1" customWidth="1"/>
    <col min="2" max="2" width="18.33203125" customWidth="1"/>
    <col min="3" max="3" width="18.44140625" bestFit="1" customWidth="1"/>
    <col min="4" max="4" width="18.44140625" customWidth="1"/>
    <col min="5" max="5" width="5.109375" bestFit="1" customWidth="1"/>
    <col min="6" max="12" width="4.88671875" bestFit="1" customWidth="1"/>
    <col min="13" max="13" width="3.88671875" bestFit="1" customWidth="1"/>
    <col min="14" max="14" width="4.33203125" bestFit="1" customWidth="1"/>
    <col min="15" max="15" width="3.6640625" bestFit="1" customWidth="1"/>
    <col min="16" max="16" width="12.33203125" bestFit="1" customWidth="1"/>
    <col min="17" max="17" width="12.6640625" customWidth="1"/>
    <col min="18" max="18" width="11.44140625" customWidth="1"/>
    <col min="19" max="19" width="11.21875" customWidth="1"/>
    <col min="20" max="20" width="11.109375" bestFit="1" customWidth="1"/>
    <col min="24" max="24" width="11.109375" bestFit="1" customWidth="1"/>
  </cols>
  <sheetData>
    <row r="1" spans="1:37" ht="15" thickBot="1" x14ac:dyDescent="0.35">
      <c r="A1" s="73" t="s">
        <v>53</v>
      </c>
      <c r="B1" s="5" t="s">
        <v>37</v>
      </c>
      <c r="C1" s="5" t="s">
        <v>54</v>
      </c>
      <c r="D1" s="5" t="s">
        <v>55</v>
      </c>
      <c r="E1" s="54" t="s">
        <v>56</v>
      </c>
      <c r="F1" s="54" t="s">
        <v>57</v>
      </c>
      <c r="G1" s="54" t="s">
        <v>58</v>
      </c>
      <c r="H1" s="54" t="s">
        <v>59</v>
      </c>
      <c r="I1" s="54" t="s">
        <v>60</v>
      </c>
      <c r="J1" s="54" t="s">
        <v>61</v>
      </c>
      <c r="K1" s="54" t="s">
        <v>62</v>
      </c>
      <c r="L1" s="54" t="s">
        <v>63</v>
      </c>
      <c r="M1" s="54" t="s">
        <v>64</v>
      </c>
      <c r="N1" s="54" t="s">
        <v>65</v>
      </c>
      <c r="O1" s="54" t="s">
        <v>66</v>
      </c>
      <c r="P1" s="223" t="s">
        <v>67</v>
      </c>
      <c r="Q1" s="223" t="s">
        <v>68</v>
      </c>
      <c r="R1" s="54" t="s">
        <v>69</v>
      </c>
      <c r="S1" s="54" t="s">
        <v>70</v>
      </c>
      <c r="T1" s="54" t="s">
        <v>71</v>
      </c>
      <c r="U1" s="73" t="s">
        <v>455</v>
      </c>
      <c r="V1" s="73" t="s">
        <v>457</v>
      </c>
      <c r="W1" s="73" t="s">
        <v>456</v>
      </c>
      <c r="X1" s="73" t="s">
        <v>105</v>
      </c>
      <c r="Y1" s="73" t="s">
        <v>494</v>
      </c>
      <c r="Z1" s="73" t="s">
        <v>476</v>
      </c>
      <c r="AA1" s="5" t="s">
        <v>525</v>
      </c>
      <c r="AB1" s="5" t="s">
        <v>470</v>
      </c>
      <c r="AC1" s="5" t="s">
        <v>469</v>
      </c>
      <c r="AD1" s="5" t="s">
        <v>102</v>
      </c>
      <c r="AE1" s="5" t="s">
        <v>98</v>
      </c>
      <c r="AF1" s="5" t="s">
        <v>493</v>
      </c>
      <c r="AG1" s="5" t="s">
        <v>106</v>
      </c>
      <c r="AH1" s="5" t="s">
        <v>113</v>
      </c>
      <c r="AI1" s="5" t="s">
        <v>527</v>
      </c>
      <c r="AJ1" s="5" t="s">
        <v>528</v>
      </c>
      <c r="AK1" s="5" t="s">
        <v>530</v>
      </c>
    </row>
    <row r="2" spans="1:37" ht="15.6" thickTop="1" thickBot="1" x14ac:dyDescent="0.35">
      <c r="A2" s="220" t="s">
        <v>72</v>
      </c>
      <c r="B2" t="s">
        <v>15</v>
      </c>
      <c r="C2" s="12">
        <f ca="1">INDEX('Analysis Steps'!$D$2:$D$11,MATCH('Per Tool Deadlines'!B2,'Analysis Steps'!$A$2:$A$11,0))+INDEX('Analysis Steps'!$I$2:$I$11,MATCH('Per Tool Deadlines'!B2,'Analysis Steps'!$A$2:$A$11,0))*COUNTIF($B$2:$B2,"="&amp;B2)</f>
        <v>44271.333333333336</v>
      </c>
      <c r="D2" s="12">
        <f ca="1">EDATE(C2,6)</f>
        <v>44455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-1</v>
      </c>
      <c r="P2" s="74" t="s">
        <v>73</v>
      </c>
      <c r="Q2" s="74"/>
      <c r="AA2" s="46"/>
      <c r="AE2" s="46"/>
      <c r="AF2" s="46"/>
      <c r="AK2" s="46"/>
    </row>
    <row r="3" spans="1:37" ht="15.6" thickTop="1" thickBot="1" x14ac:dyDescent="0.35">
      <c r="A3" s="220" t="s">
        <v>74</v>
      </c>
      <c r="B3" t="s">
        <v>15</v>
      </c>
      <c r="C3" s="12">
        <f ca="1">INDEX('Analysis Steps'!$D$2:$D$11,MATCH('Per Tool Deadlines'!B3,'Analysis Steps'!$A$2:$A$11,0))+INDEX('Analysis Steps'!$I$2:$I$11,MATCH('Per Tool Deadlines'!B3,'Analysis Steps'!$A$2:$A$11,0))*COUNTIF($B$2:$B3,"="&amp;B3)</f>
        <v>44286.666666666664</v>
      </c>
      <c r="D3" s="12">
        <f ca="1">EDATE(C3,6)</f>
        <v>44469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-1</v>
      </c>
      <c r="P3" s="74" t="s">
        <v>73</v>
      </c>
      <c r="Q3" s="74"/>
      <c r="AA3" s="46"/>
      <c r="AE3" s="46"/>
      <c r="AF3" s="46"/>
      <c r="AK3" s="46"/>
    </row>
    <row r="4" spans="1:37" ht="15.6" thickTop="1" thickBot="1" x14ac:dyDescent="0.35">
      <c r="A4" s="220" t="s">
        <v>75</v>
      </c>
      <c r="B4" t="s">
        <v>15</v>
      </c>
      <c r="C4" s="12">
        <f ca="1">INDEX('Analysis Steps'!$D$2:$D$11,MATCH('Per Tool Deadlines'!B4,'Analysis Steps'!$A$2:$A$11,0))+INDEX('Analysis Steps'!$I$2:$I$11,MATCH('Per Tool Deadlines'!B4,'Analysis Steps'!$A$2:$A$11,0))*COUNTIF($B$2:$B4,"="&amp;B4)</f>
        <v>44302</v>
      </c>
      <c r="D4" s="12">
        <f t="shared" ref="D4:D12" ca="1" si="0">EDATE(C4,6)</f>
        <v>44485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-1</v>
      </c>
      <c r="P4" s="74" t="s">
        <v>73</v>
      </c>
      <c r="Q4" s="74" t="s">
        <v>73</v>
      </c>
      <c r="R4" t="s">
        <v>73</v>
      </c>
      <c r="S4" t="s">
        <v>73</v>
      </c>
      <c r="T4" t="s">
        <v>73</v>
      </c>
      <c r="Y4" t="s">
        <v>488</v>
      </c>
      <c r="AA4" s="46"/>
      <c r="AE4" s="46"/>
      <c r="AF4" s="46"/>
      <c r="AK4" s="46"/>
    </row>
    <row r="5" spans="1:37" ht="15.6" thickTop="1" thickBot="1" x14ac:dyDescent="0.35">
      <c r="A5" s="220" t="s">
        <v>76</v>
      </c>
      <c r="B5" t="s">
        <v>15</v>
      </c>
      <c r="C5" s="12">
        <f ca="1">INDEX('Analysis Steps'!$D$2:$D$11,MATCH('Per Tool Deadlines'!B5,'Analysis Steps'!$A$2:$A$11,0))+INDEX('Analysis Steps'!$I$2:$I$11,MATCH('Per Tool Deadlines'!B5,'Analysis Steps'!$A$2:$A$11,0))*COUNTIF($B$2:$B5,"="&amp;B5)</f>
        <v>44317.333333333336</v>
      </c>
      <c r="D5" s="12">
        <f t="shared" ref="D5:D10" ca="1" si="1">EDATE(C5,6)</f>
        <v>44501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-1</v>
      </c>
      <c r="P5" s="74" t="s">
        <v>77</v>
      </c>
      <c r="Q5" s="74"/>
      <c r="Y5" t="s">
        <v>487</v>
      </c>
      <c r="AA5" s="46"/>
      <c r="AE5" s="46"/>
      <c r="AF5" s="46"/>
      <c r="AK5" s="46"/>
    </row>
    <row r="6" spans="1:37" ht="15.6" thickTop="1" thickBot="1" x14ac:dyDescent="0.35">
      <c r="A6" s="220" t="s">
        <v>78</v>
      </c>
      <c r="B6" t="s">
        <v>15</v>
      </c>
      <c r="C6" s="12">
        <f ca="1">INDEX('Analysis Steps'!$D$2:$D$11,MATCH('Per Tool Deadlines'!B6,'Analysis Steps'!$A$2:$A$11,0))+INDEX('Analysis Steps'!$I$2:$I$11,MATCH('Per Tool Deadlines'!B6,'Analysis Steps'!$A$2:$A$11,0))*COUNTIF($B$2:$B6,"="&amp;B6)</f>
        <v>44332.666666666664</v>
      </c>
      <c r="D6" s="12">
        <f t="shared" ca="1" si="1"/>
        <v>44516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-1</v>
      </c>
      <c r="P6" s="74" t="s">
        <v>77</v>
      </c>
      <c r="Q6" s="74"/>
      <c r="AA6" s="46"/>
      <c r="AE6" s="46"/>
      <c r="AF6" s="46"/>
      <c r="AK6" s="46"/>
    </row>
    <row r="7" spans="1:37" ht="15.6" thickTop="1" thickBot="1" x14ac:dyDescent="0.35">
      <c r="A7" s="220" t="s">
        <v>80</v>
      </c>
      <c r="B7" t="s">
        <v>15</v>
      </c>
      <c r="C7" s="12">
        <f ca="1">INDEX('Analysis Steps'!$D$2:$D$11,MATCH('Per Tool Deadlines'!B7,'Analysis Steps'!$A$2:$A$11,0))+INDEX('Analysis Steps'!$I$2:$I$11,MATCH('Per Tool Deadlines'!B7,'Analysis Steps'!$A$2:$A$11,0))*COUNTIF($B$2:$B7,"="&amp;B7)</f>
        <v>44348</v>
      </c>
      <c r="D7" s="12">
        <f t="shared" ca="1" si="1"/>
        <v>44531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</v>
      </c>
      <c r="P7" s="74" t="s">
        <v>77</v>
      </c>
      <c r="Q7" s="74"/>
      <c r="AA7" s="46"/>
      <c r="AE7" s="46"/>
      <c r="AF7" s="46"/>
      <c r="AK7" s="46"/>
    </row>
    <row r="8" spans="1:37" ht="15.6" thickTop="1" thickBot="1" x14ac:dyDescent="0.35">
      <c r="A8" s="220" t="s">
        <v>81</v>
      </c>
      <c r="B8" t="s">
        <v>15</v>
      </c>
      <c r="C8" s="12">
        <f ca="1">INDEX('Analysis Steps'!$D$2:$D$11,MATCH('Per Tool Deadlines'!B8,'Analysis Steps'!$A$2:$A$11,0))+INDEX('Analysis Steps'!$I$2:$I$11,MATCH('Per Tool Deadlines'!B8,'Analysis Steps'!$A$2:$A$11,0))*COUNTIF($B$2:$B8,"="&amp;B8)</f>
        <v>44363.333333333336</v>
      </c>
      <c r="D8" s="12">
        <f t="shared" ca="1" si="1"/>
        <v>44546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-1</v>
      </c>
      <c r="P8" s="74" t="s">
        <v>77</v>
      </c>
      <c r="Q8" s="74"/>
      <c r="AA8" s="46"/>
      <c r="AE8" s="46"/>
      <c r="AF8" s="46"/>
      <c r="AK8" s="46"/>
    </row>
    <row r="9" spans="1:37" ht="15.6" thickTop="1" thickBot="1" x14ac:dyDescent="0.35">
      <c r="A9" s="220" t="s">
        <v>82</v>
      </c>
      <c r="B9" t="s">
        <v>15</v>
      </c>
      <c r="C9" s="12">
        <f ca="1">INDEX('Analysis Steps'!$D$2:$D$11,MATCH('Per Tool Deadlines'!B9,'Analysis Steps'!$A$2:$A$11,0))+INDEX('Analysis Steps'!$I$2:$I$11,MATCH('Per Tool Deadlines'!B9,'Analysis Steps'!$A$2:$A$11,0))*COUNTIF($B$2:$B9,"="&amp;B9)</f>
        <v>44378.666666666664</v>
      </c>
      <c r="D9" s="12">
        <f t="shared" ca="1" si="1"/>
        <v>44562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-1</v>
      </c>
      <c r="P9" s="74" t="s">
        <v>77</v>
      </c>
      <c r="Q9" s="74"/>
      <c r="AA9" s="5" t="s">
        <v>457</v>
      </c>
      <c r="AE9" s="5" t="s">
        <v>457</v>
      </c>
      <c r="AF9" s="5" t="s">
        <v>457</v>
      </c>
      <c r="AG9" s="342" t="s">
        <v>529</v>
      </c>
      <c r="AH9" s="342"/>
      <c r="AI9" s="342" t="s">
        <v>529</v>
      </c>
      <c r="AJ9" s="342"/>
      <c r="AK9" s="5" t="s">
        <v>457</v>
      </c>
    </row>
    <row r="10" spans="1:37" ht="15.6" thickTop="1" thickBot="1" x14ac:dyDescent="0.35">
      <c r="A10" s="220" t="s">
        <v>83</v>
      </c>
      <c r="B10" t="s">
        <v>15</v>
      </c>
      <c r="C10" s="12">
        <f ca="1">INDEX('Analysis Steps'!$D$2:$D$11,MATCH('Per Tool Deadlines'!B10,'Analysis Steps'!$A$2:$A$11,0))+INDEX('Analysis Steps'!$I$2:$I$11,MATCH('Per Tool Deadlines'!B10,'Analysis Steps'!$A$2:$A$11,0))*COUNTIF($B$2:$B10,"="&amp;B10)</f>
        <v>44394</v>
      </c>
      <c r="D10" s="12">
        <f t="shared" ca="1" si="1"/>
        <v>44578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-1</v>
      </c>
      <c r="P10" s="74" t="s">
        <v>77</v>
      </c>
      <c r="Q10" s="74"/>
      <c r="AA10" s="46"/>
      <c r="AE10" s="46"/>
      <c r="AF10" s="46"/>
      <c r="AK10" s="46"/>
    </row>
    <row r="11" spans="1:37" ht="15.6" thickTop="1" thickBot="1" x14ac:dyDescent="0.35">
      <c r="A11" s="220" t="s">
        <v>85</v>
      </c>
      <c r="B11" t="s">
        <v>15</v>
      </c>
      <c r="C11" s="12">
        <f ca="1">INDEX('Analysis Steps'!$D$2:$D$11,MATCH('Per Tool Deadlines'!B11,'Analysis Steps'!$A$2:$A$11,0))+INDEX('Analysis Steps'!$I$2:$I$11,MATCH('Per Tool Deadlines'!B11,'Analysis Steps'!$A$2:$A$11,0))*COUNTIF($B$2:$B11,"="&amp;B11)</f>
        <v>44409.333333333336</v>
      </c>
      <c r="D11" s="12">
        <f ca="1">EDATE(C11,6)</f>
        <v>44593</v>
      </c>
      <c r="E11" s="2">
        <v>1</v>
      </c>
      <c r="F11" s="2">
        <v>1</v>
      </c>
      <c r="G11">
        <v>0</v>
      </c>
      <c r="H11">
        <v>1</v>
      </c>
      <c r="I11">
        <v>1</v>
      </c>
      <c r="J11">
        <v>1</v>
      </c>
      <c r="K11">
        <v>1</v>
      </c>
      <c r="L11" s="4">
        <v>1</v>
      </c>
      <c r="M11">
        <v>0</v>
      </c>
      <c r="N11" s="2">
        <v>1</v>
      </c>
      <c r="O11">
        <v>-1</v>
      </c>
      <c r="P11" s="74" t="s">
        <v>77</v>
      </c>
      <c r="Q11" s="74"/>
      <c r="AA11" s="46" t="s">
        <v>526</v>
      </c>
      <c r="AE11" s="46"/>
      <c r="AF11" s="46"/>
      <c r="AK11" s="46"/>
    </row>
    <row r="12" spans="1:37" ht="15.6" thickTop="1" thickBot="1" x14ac:dyDescent="0.35">
      <c r="A12" s="220" t="s">
        <v>86</v>
      </c>
      <c r="B12" t="s">
        <v>15</v>
      </c>
      <c r="C12" s="12">
        <f ca="1">INDEX('Analysis Steps'!$D$2:$D$11,MATCH('Per Tool Deadlines'!B12,'Analysis Steps'!$A$2:$A$11,0))+INDEX('Analysis Steps'!$I$2:$I$11,MATCH('Per Tool Deadlines'!B12,'Analysis Steps'!$A$2:$A$11,0))*COUNTIF($B$2:$B12,"="&amp;B12)</f>
        <v>44424.666666666664</v>
      </c>
      <c r="D12" s="12">
        <f t="shared" ca="1" si="0"/>
        <v>44608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-1</v>
      </c>
      <c r="P12" s="74" t="s">
        <v>77</v>
      </c>
      <c r="Q12" s="74" t="s">
        <v>73</v>
      </c>
      <c r="Y12" t="str">
        <f>X13</f>
        <v>TETOOLS</v>
      </c>
      <c r="AA12" s="46" t="str">
        <f>Z13</f>
        <v>Hicup</v>
      </c>
      <c r="AB12" t="str">
        <f>X13</f>
        <v>TETOOLS</v>
      </c>
      <c r="AC12" t="str">
        <f>AB13</f>
        <v>purgeD</v>
      </c>
      <c r="AD12" t="str">
        <f>X13</f>
        <v>TETOOLS</v>
      </c>
      <c r="AE12" s="46" t="str">
        <f>AC13</f>
        <v>haploM</v>
      </c>
      <c r="AF12" s="46"/>
      <c r="AG12" t="str">
        <f>AC13</f>
        <v>haploM</v>
      </c>
      <c r="AH12" t="str">
        <f>AC13</f>
        <v>haploM</v>
      </c>
      <c r="AI12" t="str">
        <f>AH13</f>
        <v>SALSA2</v>
      </c>
      <c r="AJ12" t="str">
        <f>AH13</f>
        <v>SALSA2</v>
      </c>
      <c r="AK12" s="46"/>
    </row>
    <row r="13" spans="1:37" ht="15.6" thickTop="1" thickBot="1" x14ac:dyDescent="0.35">
      <c r="A13" s="220" t="s">
        <v>87</v>
      </c>
      <c r="B13" s="3" t="s">
        <v>15</v>
      </c>
      <c r="C13" s="12">
        <f ca="1">INDEX('Analysis Steps'!$D$2:$D$11,MATCH('Per Tool Deadlines'!B13,'Analysis Steps'!$A$2:$A$11,0))+INDEX('Analysis Steps'!$I$2:$I$11,MATCH('Per Tool Deadlines'!B13,'Analysis Steps'!$A$2:$A$11,0))*COUNTIF($B$2:$B13,"="&amp;B13)</f>
        <v>44440</v>
      </c>
      <c r="D13" s="12">
        <f t="shared" ref="D13" ca="1" si="2">EDATE(C13,6)</f>
        <v>44621</v>
      </c>
      <c r="E13">
        <v>1</v>
      </c>
      <c r="F13">
        <v>1</v>
      </c>
      <c r="G13">
        <v>1</v>
      </c>
      <c r="H13">
        <v>1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>
        <v>1</v>
      </c>
      <c r="O13">
        <v>-1</v>
      </c>
      <c r="P13" s="74" t="s">
        <v>77</v>
      </c>
      <c r="Q13" s="74"/>
      <c r="U13" s="73" t="s">
        <v>455</v>
      </c>
      <c r="V13" s="73" t="s">
        <v>457</v>
      </c>
      <c r="W13" s="73" t="s">
        <v>456</v>
      </c>
      <c r="X13" s="73" t="s">
        <v>105</v>
      </c>
      <c r="Y13" s="73" t="s">
        <v>494</v>
      </c>
      <c r="Z13" s="73" t="s">
        <v>476</v>
      </c>
      <c r="AA13" s="46" t="s">
        <v>525</v>
      </c>
      <c r="AB13" s="73" t="s">
        <v>470</v>
      </c>
      <c r="AC13" s="73" t="s">
        <v>469</v>
      </c>
      <c r="AD13" s="73" t="s">
        <v>102</v>
      </c>
      <c r="AE13" s="46" t="s">
        <v>98</v>
      </c>
      <c r="AF13" s="46" t="s">
        <v>493</v>
      </c>
      <c r="AG13" s="101" t="s">
        <v>106</v>
      </c>
      <c r="AH13" s="101" t="s">
        <v>113</v>
      </c>
      <c r="AI13" s="138" t="s">
        <v>527</v>
      </c>
      <c r="AJ13" s="138" t="s">
        <v>528</v>
      </c>
      <c r="AK13" s="46"/>
    </row>
    <row r="14" spans="1:37" ht="15.6" thickTop="1" thickBot="1" x14ac:dyDescent="0.35">
      <c r="A14" s="220" t="s">
        <v>88</v>
      </c>
      <c r="B14" s="13" t="s">
        <v>16</v>
      </c>
      <c r="C14" s="80">
        <f ca="1">INDEX('Analysis Steps'!$D$2:$D$11,MATCH('Per Tool Deadlines'!B14,'Analysis Steps'!$A$2:$A$11,0))+INDEX('Analysis Steps'!$I$2:$I$11,MATCH('Per Tool Deadlines'!B14,'Analysis Steps'!$A$2:$A$11,0))*COUNTIF($B$2:$B14,"="&amp;B14)</f>
        <v>44335.4</v>
      </c>
      <c r="D14" s="80">
        <f t="shared" ref="D14:D21" ca="1" si="3">EDATE(C14,6)</f>
        <v>44519</v>
      </c>
      <c r="E14" s="13">
        <v>1</v>
      </c>
      <c r="F14" s="13">
        <v>1</v>
      </c>
      <c r="G14" s="13">
        <v>1</v>
      </c>
      <c r="H14" s="13">
        <v>1</v>
      </c>
      <c r="I14">
        <v>0</v>
      </c>
      <c r="J14">
        <v>0</v>
      </c>
      <c r="K14">
        <v>0</v>
      </c>
      <c r="L14">
        <v>0</v>
      </c>
      <c r="M14">
        <v>0</v>
      </c>
      <c r="N14" s="13">
        <v>1</v>
      </c>
      <c r="O14" s="13">
        <v>-1</v>
      </c>
      <c r="P14" s="74" t="s">
        <v>77</v>
      </c>
      <c r="Q14" s="74"/>
      <c r="R14" s="13"/>
      <c r="S14" s="13"/>
      <c r="T14" s="26"/>
      <c r="U14" s="74" t="s">
        <v>77</v>
      </c>
      <c r="V14" s="74" t="s">
        <v>77</v>
      </c>
      <c r="W14" s="74" t="s">
        <v>77</v>
      </c>
      <c r="Y14" s="74" t="s">
        <v>77</v>
      </c>
      <c r="Z14" s="74"/>
      <c r="AA14" s="46"/>
      <c r="AB14" s="74"/>
      <c r="AC14" s="74"/>
      <c r="AE14" s="46"/>
      <c r="AF14" s="46"/>
      <c r="AK14" s="46"/>
    </row>
    <row r="15" spans="1:37" ht="15.6" thickTop="1" thickBot="1" x14ac:dyDescent="0.35">
      <c r="A15" s="220" t="s">
        <v>89</v>
      </c>
      <c r="B15" s="76" t="s">
        <v>16</v>
      </c>
      <c r="C15" s="81">
        <f ca="1">INDEX('Analysis Steps'!$D$2:$D$11,MATCH('Per Tool Deadlines'!B15,'Analysis Steps'!$A$2:$A$11,0))+INDEX('Analysis Steps'!$I$2:$I$11,MATCH('Per Tool Deadlines'!B15,'Analysis Steps'!$A$2:$A$11,0))*COUNTIF($B$2:$B15,"="&amp;B15)</f>
        <v>44353.8</v>
      </c>
      <c r="D15" s="81">
        <f t="shared" ca="1" si="3"/>
        <v>44536</v>
      </c>
      <c r="E15" s="76">
        <v>1</v>
      </c>
      <c r="F15" s="76">
        <v>1</v>
      </c>
      <c r="G15" s="76">
        <v>1</v>
      </c>
      <c r="H15" s="76">
        <v>1</v>
      </c>
      <c r="I15">
        <v>0</v>
      </c>
      <c r="J15">
        <v>0</v>
      </c>
      <c r="K15">
        <v>0</v>
      </c>
      <c r="L15">
        <v>0</v>
      </c>
      <c r="M15">
        <v>0</v>
      </c>
      <c r="N15" s="76">
        <v>1</v>
      </c>
      <c r="O15" s="171">
        <v>-1</v>
      </c>
      <c r="P15" s="224" t="s">
        <v>77</v>
      </c>
      <c r="Q15" s="74"/>
      <c r="R15" s="76"/>
      <c r="S15" s="76"/>
      <c r="T15" s="30"/>
      <c r="U15" s="74" t="s">
        <v>77</v>
      </c>
      <c r="V15" s="74" t="s">
        <v>77</v>
      </c>
      <c r="W15" s="74" t="s">
        <v>77</v>
      </c>
      <c r="X15" s="74"/>
      <c r="Y15" s="74" t="s">
        <v>77</v>
      </c>
      <c r="Z15" s="74"/>
      <c r="AA15" s="46"/>
      <c r="AB15" s="74"/>
      <c r="AC15" s="74"/>
      <c r="AD15" s="74"/>
      <c r="AE15" s="46"/>
      <c r="AF15" s="46"/>
      <c r="AK15" s="46"/>
    </row>
    <row r="16" spans="1:37" ht="15.6" thickTop="1" thickBot="1" x14ac:dyDescent="0.35">
      <c r="A16" s="220" t="s">
        <v>90</v>
      </c>
      <c r="B16" s="76" t="s">
        <v>16</v>
      </c>
      <c r="C16" s="81">
        <f ca="1">INDEX('Analysis Steps'!$D$2:$D$11,MATCH('Per Tool Deadlines'!B16,'Analysis Steps'!$A$2:$A$11,0))+INDEX('Analysis Steps'!$I$2:$I$11,MATCH('Per Tool Deadlines'!B16,'Analysis Steps'!$A$2:$A$11,0))*COUNTIF($B$2:$B16,"="&amp;B16)</f>
        <v>44372.2</v>
      </c>
      <c r="D16" s="81">
        <f t="shared" ca="1" si="3"/>
        <v>44555</v>
      </c>
      <c r="E16" s="76">
        <v>1</v>
      </c>
      <c r="F16" s="76">
        <v>1</v>
      </c>
      <c r="G16" s="76">
        <v>1</v>
      </c>
      <c r="H16" s="76">
        <v>1</v>
      </c>
      <c r="I16">
        <v>0</v>
      </c>
      <c r="J16">
        <v>0</v>
      </c>
      <c r="K16">
        <v>0</v>
      </c>
      <c r="L16">
        <v>0</v>
      </c>
      <c r="M16">
        <v>0</v>
      </c>
      <c r="N16" s="76">
        <v>1</v>
      </c>
      <c r="O16" s="171">
        <v>-1</v>
      </c>
      <c r="P16" s="74" t="s">
        <v>77</v>
      </c>
      <c r="Q16" s="74"/>
      <c r="R16" s="76"/>
      <c r="S16" s="76"/>
      <c r="T16" s="30"/>
      <c r="U16" s="74" t="s">
        <v>77</v>
      </c>
      <c r="V16" s="74" t="s">
        <v>77</v>
      </c>
      <c r="W16" s="74" t="s">
        <v>77</v>
      </c>
      <c r="X16" s="74"/>
      <c r="Y16" s="74" t="s">
        <v>77</v>
      </c>
      <c r="Z16" s="74"/>
      <c r="AA16" s="46"/>
      <c r="AB16" s="74"/>
      <c r="AC16" s="74"/>
      <c r="AD16" s="74"/>
      <c r="AE16" s="46"/>
      <c r="AF16" s="46"/>
      <c r="AK16" s="46"/>
    </row>
    <row r="17" spans="1:711" ht="15.6" thickTop="1" thickBot="1" x14ac:dyDescent="0.35">
      <c r="A17" s="220" t="s">
        <v>91</v>
      </c>
      <c r="B17" s="76" t="s">
        <v>16</v>
      </c>
      <c r="C17" s="81">
        <f ca="1">INDEX('Analysis Steps'!$D$2:$D$11,MATCH('Per Tool Deadlines'!B17,'Analysis Steps'!$A$2:$A$11,0))+INDEX('Analysis Steps'!$I$2:$I$11,MATCH('Per Tool Deadlines'!B17,'Analysis Steps'!$A$2:$A$11,0))*COUNTIF($B$2:$B17,"="&amp;B17)</f>
        <v>44390.6</v>
      </c>
      <c r="D17" s="81">
        <f t="shared" ca="1" si="3"/>
        <v>44574</v>
      </c>
      <c r="E17" s="76">
        <v>1</v>
      </c>
      <c r="F17" s="76">
        <v>1</v>
      </c>
      <c r="G17" s="76">
        <v>1</v>
      </c>
      <c r="H17" s="76">
        <v>1</v>
      </c>
      <c r="I17">
        <v>0</v>
      </c>
      <c r="J17">
        <v>0</v>
      </c>
      <c r="K17">
        <v>0</v>
      </c>
      <c r="L17">
        <v>0</v>
      </c>
      <c r="M17">
        <v>0</v>
      </c>
      <c r="N17" s="76">
        <v>1</v>
      </c>
      <c r="O17" s="171">
        <v>-1</v>
      </c>
      <c r="P17" s="74" t="s">
        <v>77</v>
      </c>
      <c r="Q17" s="74"/>
      <c r="R17" s="76"/>
      <c r="S17" s="76"/>
      <c r="T17" s="30"/>
      <c r="U17" s="74" t="s">
        <v>77</v>
      </c>
      <c r="V17" s="74" t="s">
        <v>77</v>
      </c>
      <c r="W17" s="74" t="s">
        <v>77</v>
      </c>
      <c r="X17" s="74"/>
      <c r="Y17" s="74" t="s">
        <v>77</v>
      </c>
      <c r="Z17" s="74"/>
      <c r="AA17" s="46"/>
      <c r="AB17" s="74"/>
      <c r="AC17" s="74"/>
      <c r="AD17" s="74"/>
      <c r="AE17" s="46"/>
      <c r="AF17" s="46"/>
      <c r="AK17" s="46"/>
    </row>
    <row r="18" spans="1:711" ht="15.6" thickTop="1" thickBot="1" x14ac:dyDescent="0.35">
      <c r="A18" s="220" t="s">
        <v>92</v>
      </c>
      <c r="B18" s="76" t="s">
        <v>16</v>
      </c>
      <c r="C18" s="81">
        <f ca="1">INDEX('Analysis Steps'!$D$2:$D$11,MATCH('Per Tool Deadlines'!B18,'Analysis Steps'!$A$2:$A$11,0))+INDEX('Analysis Steps'!$I$2:$I$11,MATCH('Per Tool Deadlines'!B18,'Analysis Steps'!$A$2:$A$11,0))*COUNTIF($B$2:$B18,"="&amp;B18)</f>
        <v>44409</v>
      </c>
      <c r="D18" s="81">
        <f t="shared" ca="1" si="3"/>
        <v>44593</v>
      </c>
      <c r="E18" s="76">
        <v>1</v>
      </c>
      <c r="F18" s="76">
        <v>1</v>
      </c>
      <c r="G18" s="76">
        <v>1</v>
      </c>
      <c r="H18" s="76">
        <v>1</v>
      </c>
      <c r="I18">
        <v>0</v>
      </c>
      <c r="J18">
        <v>0</v>
      </c>
      <c r="K18">
        <v>0</v>
      </c>
      <c r="L18">
        <v>0</v>
      </c>
      <c r="M18">
        <v>0</v>
      </c>
      <c r="N18" s="76">
        <v>1</v>
      </c>
      <c r="O18" s="171">
        <v>-1</v>
      </c>
      <c r="P18" s="74" t="s">
        <v>77</v>
      </c>
      <c r="Q18" s="74"/>
      <c r="R18" s="76"/>
      <c r="S18" s="76"/>
      <c r="T18" s="30"/>
      <c r="U18" s="74" t="s">
        <v>77</v>
      </c>
      <c r="V18" s="74" t="s">
        <v>77</v>
      </c>
      <c r="W18" s="74" t="s">
        <v>77</v>
      </c>
      <c r="X18" s="74"/>
      <c r="Y18" s="74" t="s">
        <v>77</v>
      </c>
      <c r="Z18" s="74"/>
      <c r="AA18" s="46"/>
      <c r="AB18" s="74"/>
      <c r="AC18" s="74"/>
      <c r="AD18" s="74"/>
      <c r="AE18" s="46"/>
      <c r="AF18" s="46"/>
      <c r="AK18" s="46"/>
    </row>
    <row r="19" spans="1:711" ht="15.6" thickTop="1" thickBot="1" x14ac:dyDescent="0.35">
      <c r="A19" s="220" t="s">
        <v>93</v>
      </c>
      <c r="B19" s="76" t="s">
        <v>16</v>
      </c>
      <c r="C19" s="81">
        <f ca="1">INDEX('Analysis Steps'!$D$2:$D$11,MATCH('Per Tool Deadlines'!B19,'Analysis Steps'!$A$2:$A$11,0))+INDEX('Analysis Steps'!$I$2:$I$11,MATCH('Per Tool Deadlines'!B19,'Analysis Steps'!$A$2:$A$11,0))*COUNTIF($B$2:$B19,"="&amp;B19)</f>
        <v>44427.4</v>
      </c>
      <c r="D19" s="81">
        <f t="shared" ca="1" si="3"/>
        <v>44611</v>
      </c>
      <c r="E19" s="76">
        <v>1</v>
      </c>
      <c r="F19" s="76">
        <v>1</v>
      </c>
      <c r="G19" s="76">
        <v>1</v>
      </c>
      <c r="H19" s="76">
        <v>1</v>
      </c>
      <c r="I19">
        <v>0</v>
      </c>
      <c r="J19">
        <v>0</v>
      </c>
      <c r="K19">
        <v>0</v>
      </c>
      <c r="L19">
        <v>0</v>
      </c>
      <c r="M19">
        <v>0</v>
      </c>
      <c r="N19" s="76">
        <v>1</v>
      </c>
      <c r="O19" s="171">
        <v>-1</v>
      </c>
      <c r="P19" s="74" t="s">
        <v>77</v>
      </c>
      <c r="Q19" s="74"/>
      <c r="R19" s="76"/>
      <c r="S19" s="76"/>
      <c r="T19" s="30"/>
      <c r="U19" s="74" t="s">
        <v>77</v>
      </c>
      <c r="V19" s="74" t="s">
        <v>77</v>
      </c>
      <c r="W19" s="74" t="s">
        <v>77</v>
      </c>
      <c r="X19" s="74" t="s">
        <v>77</v>
      </c>
      <c r="Y19" s="74" t="s">
        <v>77</v>
      </c>
      <c r="Z19" s="74" t="s">
        <v>524</v>
      </c>
      <c r="AA19" s="46"/>
      <c r="AB19" s="74"/>
      <c r="AC19" s="74"/>
      <c r="AD19" s="74"/>
      <c r="AE19" s="46"/>
      <c r="AF19" s="46" t="s">
        <v>84</v>
      </c>
      <c r="AK19" s="46"/>
    </row>
    <row r="20" spans="1:711" ht="15.6" thickTop="1" thickBot="1" x14ac:dyDescent="0.35">
      <c r="A20" s="220" t="s">
        <v>94</v>
      </c>
      <c r="B20" s="76" t="s">
        <v>16</v>
      </c>
      <c r="C20" s="81">
        <f ca="1">INDEX('Analysis Steps'!$D$2:$D$11,MATCH('Per Tool Deadlines'!B20,'Analysis Steps'!$A$2:$A$11,0))+INDEX('Analysis Steps'!$I$2:$I$11,MATCH('Per Tool Deadlines'!B20,'Analysis Steps'!$A$2:$A$11,0))*COUNTIF($B$2:$B20,"="&amp;B20)</f>
        <v>44445.8</v>
      </c>
      <c r="D20" s="81">
        <f t="shared" ca="1" si="3"/>
        <v>44626</v>
      </c>
      <c r="E20" s="76">
        <v>1</v>
      </c>
      <c r="F20" s="76">
        <v>1</v>
      </c>
      <c r="G20" s="76">
        <v>0</v>
      </c>
      <c r="H20" s="76">
        <v>0</v>
      </c>
      <c r="I20">
        <v>0</v>
      </c>
      <c r="J20">
        <v>0</v>
      </c>
      <c r="K20">
        <v>0</v>
      </c>
      <c r="L20">
        <v>0</v>
      </c>
      <c r="M20" s="76">
        <v>1</v>
      </c>
      <c r="N20" s="76">
        <v>1</v>
      </c>
      <c r="O20" s="171">
        <v>-1</v>
      </c>
      <c r="P20" s="74" t="s">
        <v>77</v>
      </c>
      <c r="Q20" s="74"/>
      <c r="R20" s="76"/>
      <c r="S20" s="76"/>
      <c r="T20" s="30"/>
      <c r="U20" s="74" t="s">
        <v>77</v>
      </c>
      <c r="V20" s="74" t="s">
        <v>77</v>
      </c>
      <c r="W20" s="74" t="s">
        <v>77</v>
      </c>
      <c r="X20" s="74"/>
      <c r="Y20" s="74" t="s">
        <v>77</v>
      </c>
      <c r="Z20" s="74"/>
      <c r="AA20" s="46"/>
      <c r="AB20" s="74"/>
      <c r="AC20" s="74"/>
      <c r="AD20" s="74"/>
      <c r="AE20" s="46"/>
      <c r="AF20" s="46"/>
      <c r="AK20" s="46"/>
    </row>
    <row r="21" spans="1:711" ht="15.6" thickTop="1" thickBot="1" x14ac:dyDescent="0.35">
      <c r="A21" s="220" t="s">
        <v>95</v>
      </c>
      <c r="B21" s="76" t="s">
        <v>16</v>
      </c>
      <c r="C21" s="81">
        <f ca="1">INDEX('Analysis Steps'!$D$2:$D$11,MATCH('Per Tool Deadlines'!B21,'Analysis Steps'!$A$2:$A$11,0))+INDEX('Analysis Steps'!$I$2:$I$11,MATCH('Per Tool Deadlines'!B21,'Analysis Steps'!$A$2:$A$11,0))*COUNTIF($B$2:$B21,"="&amp;B21)</f>
        <v>44464.2</v>
      </c>
      <c r="D21" s="81">
        <f t="shared" ca="1" si="3"/>
        <v>44645</v>
      </c>
      <c r="E21" s="76">
        <v>1</v>
      </c>
      <c r="F21" s="76">
        <v>1</v>
      </c>
      <c r="G21" s="76">
        <v>1</v>
      </c>
      <c r="H21" s="76">
        <v>1</v>
      </c>
      <c r="I21">
        <v>0</v>
      </c>
      <c r="J21">
        <v>0</v>
      </c>
      <c r="K21">
        <v>0</v>
      </c>
      <c r="L21">
        <v>0</v>
      </c>
      <c r="M21">
        <v>0</v>
      </c>
      <c r="N21" s="76">
        <v>1</v>
      </c>
      <c r="O21" s="171">
        <v>-1</v>
      </c>
      <c r="P21" s="74" t="s">
        <v>77</v>
      </c>
      <c r="Q21" s="74"/>
      <c r="R21" s="76"/>
      <c r="S21" s="76"/>
      <c r="T21" s="30"/>
      <c r="U21" s="74" t="s">
        <v>77</v>
      </c>
      <c r="V21" s="74" t="s">
        <v>77</v>
      </c>
      <c r="W21" s="74" t="s">
        <v>77</v>
      </c>
      <c r="X21" s="74"/>
      <c r="Y21" s="74" t="s">
        <v>77</v>
      </c>
      <c r="Z21" s="74"/>
      <c r="AA21" s="46"/>
      <c r="AB21" s="74"/>
      <c r="AC21" s="74"/>
      <c r="AD21" s="74"/>
      <c r="AE21" s="46"/>
      <c r="AF21" s="46"/>
      <c r="AK21" s="46"/>
    </row>
    <row r="22" spans="1:711" ht="15.6" thickTop="1" thickBot="1" x14ac:dyDescent="0.35">
      <c r="A22" s="221" t="s">
        <v>97</v>
      </c>
      <c r="B22" t="s">
        <v>16</v>
      </c>
      <c r="C22" s="12">
        <f ca="1">INDEX('Analysis Steps'!$D$2:$D$11,MATCH('Per Tool Deadlines'!B22,'Analysis Steps'!$A$2:$A$11,0))+INDEX('Analysis Steps'!$I$2:$I$11,MATCH('Per Tool Deadlines'!B22,'Analysis Steps'!$A$2:$A$11,0))*COUNTIF($B$2:$B23,"="&amp;B22)</f>
        <v>44501</v>
      </c>
      <c r="D22" s="12">
        <f ca="1">EDATE(C22,6)</f>
        <v>44682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171">
        <v>0</v>
      </c>
      <c r="P22" s="46" t="s">
        <v>77</v>
      </c>
      <c r="Q22" s="74"/>
      <c r="U22" s="13"/>
      <c r="V22" s="13"/>
      <c r="W22" s="13"/>
      <c r="Y22" s="13"/>
      <c r="AA22" s="46"/>
      <c r="AD22" s="13"/>
      <c r="AE22" s="46"/>
      <c r="AF22" s="46"/>
      <c r="AK22" s="46"/>
    </row>
    <row r="23" spans="1:711" ht="15.6" hidden="1" thickTop="1" thickBot="1" x14ac:dyDescent="0.35">
      <c r="A23" s="220" t="s">
        <v>96</v>
      </c>
      <c r="B23" s="18" t="s">
        <v>16</v>
      </c>
      <c r="C23" s="82">
        <f ca="1">INDEX('Analysis Steps'!$D$2:$D$11,MATCH('Per Tool Deadlines'!B23,'Analysis Steps'!$A$2:$A$11,0))+INDEX('Analysis Steps'!$I$2:$I$11,MATCH('Per Tool Deadlines'!B23,'Analysis Steps'!$A$2:$A$11,0))*COUNTIF($B$2:$B23,"="&amp;B23)</f>
        <v>44501</v>
      </c>
      <c r="D23" s="82">
        <f t="shared" ref="D23" ca="1" si="4">EDATE(C23,6)</f>
        <v>44682</v>
      </c>
      <c r="E23" s="18">
        <v>1</v>
      </c>
      <c r="F23" s="18">
        <v>0</v>
      </c>
      <c r="G23" s="18">
        <v>0</v>
      </c>
      <c r="H23" s="18">
        <v>1</v>
      </c>
      <c r="I23" s="18">
        <v>0</v>
      </c>
      <c r="J23" s="18">
        <v>0</v>
      </c>
      <c r="K23" s="18">
        <v>0</v>
      </c>
      <c r="L23" s="18">
        <v>0</v>
      </c>
      <c r="M23" s="18">
        <v>1</v>
      </c>
      <c r="N23" s="18">
        <v>1</v>
      </c>
      <c r="O23" s="18"/>
      <c r="P23" s="74" t="s">
        <v>77</v>
      </c>
      <c r="Q23" s="74"/>
      <c r="R23" s="18"/>
      <c r="S23" s="18"/>
      <c r="T23" s="24"/>
      <c r="U23" s="75"/>
      <c r="V23" s="75"/>
      <c r="W23" s="75"/>
      <c r="X23" s="74"/>
      <c r="Y23" s="75"/>
      <c r="Z23" s="74"/>
      <c r="AA23" s="46"/>
      <c r="AB23" s="74"/>
      <c r="AC23" s="74"/>
      <c r="AD23" s="75"/>
      <c r="AE23" s="46"/>
      <c r="AF23" s="46"/>
      <c r="AK23" s="46"/>
    </row>
    <row r="24" spans="1:711" ht="15.6" thickTop="1" thickBot="1" x14ac:dyDescent="0.35">
      <c r="A24" s="220" t="s">
        <v>106</v>
      </c>
      <c r="B24" t="s">
        <v>20</v>
      </c>
      <c r="C24" s="12">
        <f ca="1">INDEX('Analysis Steps'!$D$2:$D$11,MATCH('Per Tool Deadlines'!B24,'Analysis Steps'!$A$2:$A$11,0))+INDEX('Analysis Steps'!$I$2:$I$11,MATCH('Per Tool Deadlines'!B24,'Analysis Steps'!$A$2:$A$11,0))*COUNTIF($B$2:$B32,"="&amp;B24)</f>
        <v>44634.400000000001</v>
      </c>
      <c r="D24" s="12">
        <f ca="1">EDATE(C24,6)</f>
        <v>44818</v>
      </c>
      <c r="E24">
        <v>1</v>
      </c>
      <c r="F24">
        <v>-1</v>
      </c>
      <c r="G24">
        <v>-1</v>
      </c>
      <c r="H24">
        <v>-1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71">
        <v>-1</v>
      </c>
      <c r="P24" s="224" t="s">
        <v>77</v>
      </c>
      <c r="Q24" s="224" t="s">
        <v>77</v>
      </c>
      <c r="R24" s="224" t="s">
        <v>77</v>
      </c>
      <c r="S24" s="224" t="s">
        <v>77</v>
      </c>
      <c r="T24" s="46" t="s">
        <v>1102</v>
      </c>
      <c r="AA24" s="46"/>
      <c r="AE24" s="46"/>
      <c r="AF24" s="46"/>
      <c r="AK24" s="46"/>
    </row>
    <row r="25" spans="1:711" ht="15.6" thickTop="1" thickBot="1" x14ac:dyDescent="0.35">
      <c r="A25" s="220" t="s">
        <v>104</v>
      </c>
      <c r="B25" s="3" t="s">
        <v>17</v>
      </c>
      <c r="C25" s="12">
        <f ca="1">INDEX('Analysis Steps'!$D$2:$D$11,MATCH('Per Tool Deadlines'!B25,'Analysis Steps'!$A$2:$A$11,0))+INDEX('Analysis Steps'!$I$2:$I$11,MATCH('Per Tool Deadlines'!B25,'Analysis Steps'!$A$2:$A$11,0))*COUNTIF($B$2:$B25,"="&amp;B25)</f>
        <v>44439.333333333336</v>
      </c>
      <c r="D25" s="12">
        <f t="shared" ref="D25" ca="1" si="5">EDATE(C25,6)</f>
        <v>44620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 s="171">
        <v>-1</v>
      </c>
      <c r="P25" s="224" t="s">
        <v>77</v>
      </c>
      <c r="Q25" s="74"/>
      <c r="AA25" s="46"/>
      <c r="AE25" s="46"/>
      <c r="AF25" s="46"/>
      <c r="AK25" s="46"/>
    </row>
    <row r="26" spans="1:711" ht="15.6" thickTop="1" thickBot="1" x14ac:dyDescent="0.35">
      <c r="A26" s="220" t="s">
        <v>103</v>
      </c>
      <c r="B26" s="3" t="s">
        <v>17</v>
      </c>
      <c r="C26" s="12">
        <f ca="1">INDEX('Analysis Steps'!$D$2:$D$11,MATCH('Per Tool Deadlines'!B26,'Analysis Steps'!$A$2:$A$11,0))+INDEX('Analysis Steps'!$I$2:$I$11,MATCH('Per Tool Deadlines'!B26,'Analysis Steps'!$A$2:$A$11,0))*COUNTIF($B$2:$B26,"="&amp;B26)</f>
        <v>44500.666666666664</v>
      </c>
      <c r="D26" s="12">
        <f t="shared" ref="D26:D53" ca="1" si="6">EDATE(C26,6)</f>
        <v>44681</v>
      </c>
      <c r="E26">
        <v>1</v>
      </c>
      <c r="F26">
        <v>1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s="171">
        <v>-1</v>
      </c>
      <c r="P26" s="224" t="s">
        <v>77</v>
      </c>
      <c r="Q26" s="74"/>
      <c r="V26" t="s">
        <v>536</v>
      </c>
      <c r="AA26" s="46"/>
      <c r="AE26" s="46"/>
      <c r="AF26" s="46"/>
      <c r="AK26" s="46"/>
    </row>
    <row r="27" spans="1:711" ht="15.6" thickTop="1" thickBot="1" x14ac:dyDescent="0.35">
      <c r="A27" s="220" t="s">
        <v>100</v>
      </c>
      <c r="B27" s="3" t="s">
        <v>17</v>
      </c>
      <c r="C27" s="12">
        <f ca="1">INDEX('Analysis Steps'!$D$2:$D$11,MATCH('Per Tool Deadlines'!B27,'Analysis Steps'!$A$2:$A$11,0))+INDEX('Analysis Steps'!$I$2:$I$11,MATCH('Per Tool Deadlines'!B27,'Analysis Steps'!$A$2:$A$11,0))*COUNTIF($B$2:$B27,"="&amp;B27)</f>
        <v>44562</v>
      </c>
      <c r="D27" s="12">
        <f t="shared" ca="1" si="6"/>
        <v>44743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 s="171">
        <v>-1</v>
      </c>
      <c r="P27" s="224" t="s">
        <v>77</v>
      </c>
      <c r="Q27" s="74"/>
      <c r="V27" t="s">
        <v>537</v>
      </c>
      <c r="AA27" s="46"/>
      <c r="AE27" s="46"/>
      <c r="AF27" s="46"/>
      <c r="AK27" s="46"/>
    </row>
    <row r="28" spans="1:711" ht="15.6" thickTop="1" thickBot="1" x14ac:dyDescent="0.35">
      <c r="A28" s="222" t="s">
        <v>495</v>
      </c>
      <c r="B28" t="s">
        <v>19</v>
      </c>
      <c r="C28" s="12">
        <f ca="1">INDEX('Analysis Steps'!$D$2:$D$11,MATCH('Per Tool Deadlines'!B28,'Analysis Steps'!$A$2:$A$11,0))+INDEX('Analysis Steps'!$I$2:$I$11,MATCH('Per Tool Deadlines'!B28,'Analysis Steps'!$A$2:$A$11,0))*COUNTIF($B$2:$B28,"="&amp;B28)</f>
        <v>44631.166666666664</v>
      </c>
      <c r="D28" s="12">
        <f ca="1">EDATE(C28,6)</f>
        <v>44815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 s="171"/>
      <c r="P28" s="224" t="s">
        <v>77</v>
      </c>
      <c r="Q28" s="224" t="s">
        <v>77</v>
      </c>
      <c r="R28" s="224" t="s">
        <v>77</v>
      </c>
      <c r="S28" s="3" t="s">
        <v>1124</v>
      </c>
      <c r="AA28" s="46"/>
      <c r="AE28" s="46"/>
      <c r="AF28" s="46"/>
      <c r="AK28" s="46"/>
    </row>
    <row r="29" spans="1:711" s="3" customFormat="1" ht="15.6" thickTop="1" thickBot="1" x14ac:dyDescent="0.35">
      <c r="A29" s="222" t="s">
        <v>112</v>
      </c>
      <c r="B29" s="3" t="s">
        <v>20</v>
      </c>
      <c r="C29" s="12">
        <f ca="1">INDEX('Analysis Steps'!$D$2:$D$11,MATCH('Per Tool Deadlines'!B29,'Analysis Steps'!$A$2:$A$11,0))+INDEX('Analysis Steps'!$I$2:$I$11,MATCH('Per Tool Deadlines'!B29,'Analysis Steps'!$A$2:$A$11,0))*COUNTIF($B$2:$B29,"="&amp;B29)</f>
        <v>44634.400000000001</v>
      </c>
      <c r="D29" s="12">
        <f t="shared" ca="1" si="6"/>
        <v>44818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/>
      <c r="P29" s="224" t="s">
        <v>77</v>
      </c>
      <c r="Q29" s="224" t="s">
        <v>77</v>
      </c>
      <c r="R29"/>
      <c r="S29"/>
      <c r="T29"/>
      <c r="U29"/>
      <c r="V29" t="s">
        <v>539</v>
      </c>
      <c r="W29" t="s">
        <v>464</v>
      </c>
      <c r="X29" t="s">
        <v>1037</v>
      </c>
      <c r="Y29"/>
      <c r="Z29"/>
      <c r="AA29" s="46"/>
      <c r="AB29"/>
      <c r="AC29"/>
      <c r="AD29"/>
      <c r="AE29" s="46"/>
      <c r="AF29" s="46"/>
      <c r="AK29" s="46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</row>
    <row r="30" spans="1:711" ht="15.6" thickTop="1" thickBot="1" x14ac:dyDescent="0.35">
      <c r="A30" s="220" t="s">
        <v>107</v>
      </c>
      <c r="B30" t="s">
        <v>18</v>
      </c>
      <c r="C30" s="12">
        <f ca="1">INDEX('Analysis Steps'!$D$2:$D$11,MATCH('Per Tool Deadlines'!B30,'Analysis Steps'!$A$2:$A$11,0))+INDEX('Analysis Steps'!$I$2:$I$11,MATCH('Per Tool Deadlines'!B30,'Analysis Steps'!$A$2:$A$11,0))*COUNTIF($B$2:$B38,"="&amp;B30)</f>
        <v>44575.75</v>
      </c>
      <c r="D30" s="12">
        <f ca="1">EDATE(C30,6)</f>
        <v>44756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O30" s="171"/>
      <c r="P30" s="224" t="s">
        <v>975</v>
      </c>
      <c r="Q30" s="278" t="s">
        <v>77</v>
      </c>
      <c r="R30" s="256" t="s">
        <v>77</v>
      </c>
      <c r="S30" s="256" t="s">
        <v>77</v>
      </c>
      <c r="AA30" s="46"/>
      <c r="AE30" s="46"/>
      <c r="AF30" s="46"/>
      <c r="AK30" s="46"/>
    </row>
    <row r="31" spans="1:711" s="3" customFormat="1" ht="15.6" thickTop="1" thickBot="1" x14ac:dyDescent="0.35">
      <c r="A31" s="222" t="s">
        <v>1122</v>
      </c>
      <c r="C31" s="12"/>
      <c r="D31" s="12"/>
      <c r="E31"/>
      <c r="F31"/>
      <c r="G31"/>
      <c r="H31"/>
      <c r="I31"/>
      <c r="J31"/>
      <c r="K31"/>
      <c r="L31"/>
      <c r="M31"/>
      <c r="N31"/>
      <c r="O31"/>
      <c r="P31" s="224" t="s">
        <v>77</v>
      </c>
      <c r="Q31" s="224"/>
      <c r="R31"/>
      <c r="S31"/>
      <c r="T31"/>
      <c r="U31"/>
      <c r="V31"/>
      <c r="W31"/>
      <c r="X31"/>
      <c r="Y31"/>
      <c r="Z31"/>
      <c r="AA31" s="46"/>
      <c r="AB31"/>
      <c r="AC31"/>
      <c r="AD31"/>
      <c r="AE31" s="46"/>
      <c r="AF31" s="46"/>
      <c r="AK31" s="46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</row>
    <row r="32" spans="1:711" s="3" customFormat="1" ht="15.6" thickTop="1" thickBot="1" x14ac:dyDescent="0.35">
      <c r="A32" s="222" t="s">
        <v>1123</v>
      </c>
      <c r="C32" s="12"/>
      <c r="D32" s="12"/>
      <c r="E32"/>
      <c r="F32"/>
      <c r="G32"/>
      <c r="H32"/>
      <c r="I32"/>
      <c r="J32"/>
      <c r="K32"/>
      <c r="L32"/>
      <c r="M32"/>
      <c r="N32"/>
      <c r="O32"/>
      <c r="P32" s="224" t="s">
        <v>77</v>
      </c>
      <c r="Q32" s="224" t="s">
        <v>77</v>
      </c>
      <c r="R32" t="s">
        <v>868</v>
      </c>
      <c r="S32"/>
      <c r="T32"/>
      <c r="U32"/>
      <c r="V32"/>
      <c r="W32"/>
      <c r="X32"/>
      <c r="Y32"/>
      <c r="Z32"/>
      <c r="AA32" s="46"/>
      <c r="AB32"/>
      <c r="AC32"/>
      <c r="AD32"/>
      <c r="AE32" s="46"/>
      <c r="AF32" s="46"/>
      <c r="AK32" s="46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</row>
    <row r="33" spans="1:711" ht="15.6" thickTop="1" thickBot="1" x14ac:dyDescent="0.35">
      <c r="A33" s="220" t="s">
        <v>754</v>
      </c>
      <c r="B33" t="s">
        <v>20</v>
      </c>
      <c r="C33" s="12">
        <f ca="1">INDEX('Analysis Steps'!$D$2:$D$11,MATCH('Per Tool Deadlines'!B33,'Analysis Steps'!$A$2:$A$11,0))+INDEX('Analysis Steps'!$I$2:$I$11,MATCH('Per Tool Deadlines'!B33,'Analysis Steps'!$A$2:$A$11,0))*COUNTIF($B$2:$B33,"="&amp;B33)</f>
        <v>44670.6</v>
      </c>
      <c r="D33" s="12">
        <f t="shared" ca="1" si="6"/>
        <v>44853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 s="171"/>
      <c r="P33" s="331" t="s">
        <v>77</v>
      </c>
      <c r="Q33" s="331"/>
      <c r="AA33" s="46"/>
      <c r="AE33" s="46"/>
      <c r="AF33" s="46"/>
      <c r="AK33" s="46"/>
    </row>
    <row r="34" spans="1:711" s="3" customFormat="1" ht="15.6" thickTop="1" thickBot="1" x14ac:dyDescent="0.35">
      <c r="A34" s="220" t="s">
        <v>114</v>
      </c>
      <c r="B34" t="s">
        <v>20</v>
      </c>
      <c r="C34" s="12">
        <f ca="1">INDEX('Analysis Steps'!$D$2:$D$11,MATCH('Per Tool Deadlines'!B34,'Analysis Steps'!$A$2:$A$11,0))+INDEX('Analysis Steps'!$I$2:$I$11,MATCH('Per Tool Deadlines'!B34,'Analysis Steps'!$A$2:$A$11,0))*COUNTIF($B$2:$B51,"="&amp;B34)</f>
        <v>44743</v>
      </c>
      <c r="D34" s="12">
        <f ca="1">EDATE(C34,6)</f>
        <v>44927</v>
      </c>
      <c r="E34"/>
      <c r="F34"/>
      <c r="G34"/>
      <c r="H34"/>
      <c r="I34"/>
      <c r="J34"/>
      <c r="K34"/>
      <c r="L34"/>
      <c r="M34"/>
      <c r="N34"/>
      <c r="O34"/>
      <c r="P34" s="278" t="s">
        <v>290</v>
      </c>
      <c r="Q34" s="278"/>
      <c r="R34"/>
      <c r="S34"/>
      <c r="T34"/>
      <c r="U34"/>
      <c r="V34"/>
      <c r="W34"/>
      <c r="X34"/>
      <c r="Y34"/>
      <c r="Z34"/>
      <c r="AA34" s="46"/>
      <c r="AB34"/>
      <c r="AC34"/>
      <c r="AD34"/>
      <c r="AE34" s="46"/>
      <c r="AF34" s="46"/>
      <c r="AK34" s="46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</row>
    <row r="35" spans="1:711" ht="15.6" thickTop="1" thickBot="1" x14ac:dyDescent="0.35">
      <c r="A35" s="220" t="s">
        <v>1213</v>
      </c>
      <c r="C35" s="12"/>
      <c r="D35" s="12"/>
      <c r="O35" s="171"/>
      <c r="P35" s="278"/>
      <c r="Q35" s="76"/>
      <c r="AA35" s="46"/>
      <c r="AE35" s="46"/>
      <c r="AF35" s="46"/>
      <c r="AK35" s="46"/>
    </row>
    <row r="36" spans="1:711" ht="15.6" thickTop="1" thickBot="1" x14ac:dyDescent="0.35">
      <c r="A36" s="220" t="s">
        <v>750</v>
      </c>
      <c r="B36" t="s">
        <v>20</v>
      </c>
      <c r="C36" s="12">
        <f ca="1">INDEX('Analysis Steps'!$D$2:$D$11,MATCH('Per Tool Deadlines'!B36,'Analysis Steps'!$A$2:$A$11,0))+INDEX('Analysis Steps'!$I$2:$I$11,MATCH('Per Tool Deadlines'!B36,'Analysis Steps'!$A$2:$A$11,0))*COUNTIF($B$2:$B36,"="&amp;B36)</f>
        <v>44743</v>
      </c>
      <c r="D36" s="12">
        <f ca="1">EDATE(C36,6)</f>
        <v>44927</v>
      </c>
      <c r="O36" s="171"/>
      <c r="P36" s="278" t="s">
        <v>1214</v>
      </c>
      <c r="Q36" s="224"/>
      <c r="R36" s="3"/>
      <c r="S36" s="278"/>
      <c r="AA36" s="46"/>
      <c r="AE36" s="46"/>
      <c r="AF36" s="46"/>
      <c r="AK36" s="46"/>
    </row>
    <row r="37" spans="1:711" ht="15.6" thickTop="1" thickBot="1" x14ac:dyDescent="0.35">
      <c r="A37" s="220" t="s">
        <v>236</v>
      </c>
      <c r="B37" t="s">
        <v>18</v>
      </c>
      <c r="C37" s="12">
        <f ca="1">INDEX('Analysis Steps'!$D$2:$D$11,MATCH('Per Tool Deadlines'!B37,'Analysis Steps'!$A$2:$A$11,0))+INDEX('Analysis Steps'!$I$2:$I$11,MATCH('Per Tool Deadlines'!B37,'Analysis Steps'!$A$2:$A$11,0))*COUNTIF($B$2:$B38,"="&amp;B37)</f>
        <v>44575.75</v>
      </c>
      <c r="D37" s="12">
        <f ca="1">EDATE(C37,6)</f>
        <v>44756</v>
      </c>
      <c r="O37" s="171"/>
      <c r="P37" s="278" t="s">
        <v>1114</v>
      </c>
      <c r="Q37" s="74"/>
      <c r="R37" s="278"/>
      <c r="S37" t="s">
        <v>1035</v>
      </c>
      <c r="X37">
        <v>72</v>
      </c>
      <c r="Y37">
        <v>20</v>
      </c>
      <c r="AA37" s="46"/>
      <c r="AE37" s="46"/>
      <c r="AF37" s="46"/>
      <c r="AK37" s="46"/>
    </row>
    <row r="38" spans="1:711" ht="15.6" thickTop="1" thickBot="1" x14ac:dyDescent="0.35">
      <c r="A38" s="220" t="s">
        <v>752</v>
      </c>
      <c r="B38" t="s">
        <v>18</v>
      </c>
      <c r="C38" s="12">
        <f ca="1">INDEX('Analysis Steps'!$D$2:$D$11,MATCH('Per Tool Deadlines'!B38,'Analysis Steps'!$A$2:$A$11,0))+INDEX('Analysis Steps'!$I$2:$I$11,MATCH('Per Tool Deadlines'!B38,'Analysis Steps'!$A$2:$A$11,0))*COUNTIF($B$2:$B38,"="&amp;B38)</f>
        <v>44575.75</v>
      </c>
      <c r="D38" s="12">
        <f ca="1">EDATE(C38,6)</f>
        <v>44756</v>
      </c>
      <c r="O38" s="171"/>
      <c r="P38" s="278" t="s">
        <v>1114</v>
      </c>
      <c r="Q38" s="74"/>
      <c r="AA38" s="46"/>
      <c r="AE38" s="46"/>
      <c r="AF38" s="46"/>
      <c r="AK38" s="46"/>
    </row>
    <row r="39" spans="1:711" s="3" customFormat="1" ht="15.6" thickTop="1" thickBot="1" x14ac:dyDescent="0.35">
      <c r="A39" s="220" t="s">
        <v>1113</v>
      </c>
      <c r="B39"/>
      <c r="C39" s="12"/>
      <c r="D39" s="12"/>
      <c r="E39"/>
      <c r="F39"/>
      <c r="G39"/>
      <c r="H39"/>
      <c r="I39"/>
      <c r="J39"/>
      <c r="K39"/>
      <c r="L39"/>
      <c r="M39"/>
      <c r="N39"/>
      <c r="O39"/>
      <c r="P39" s="224" t="s">
        <v>290</v>
      </c>
      <c r="Q39" s="256"/>
      <c r="R39"/>
      <c r="S39"/>
      <c r="T39"/>
      <c r="U39"/>
      <c r="V39"/>
      <c r="W39"/>
      <c r="X39"/>
      <c r="Y39"/>
      <c r="Z39"/>
      <c r="AA39" s="46"/>
      <c r="AB39"/>
      <c r="AC39"/>
      <c r="AD39"/>
      <c r="AE39" s="46"/>
      <c r="AF39" s="46"/>
      <c r="AK39" s="46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</row>
    <row r="40" spans="1:711" ht="15.6" thickTop="1" thickBot="1" x14ac:dyDescent="0.35">
      <c r="A40" s="220" t="s">
        <v>748</v>
      </c>
      <c r="B40" t="s">
        <v>18</v>
      </c>
      <c r="C40" s="12">
        <f ca="1">INDEX('Analysis Steps'!$D$2:$D$11,MATCH('Per Tool Deadlines'!B40,'Analysis Steps'!$A$2:$A$11,0))+INDEX('Analysis Steps'!$I$2:$I$11,MATCH('Per Tool Deadlines'!B40,'Analysis Steps'!$A$2:$A$11,0))*COUNTIF($B$2:$B40,"="&amp;B40)</f>
        <v>44621</v>
      </c>
      <c r="D40" s="12">
        <f t="shared" ref="D40:D45" ca="1" si="7">EDATE(C40,6)</f>
        <v>44805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O40" s="171"/>
      <c r="P40" s="278" t="s">
        <v>1133</v>
      </c>
      <c r="R40" t="s">
        <v>1079</v>
      </c>
      <c r="AA40" s="46"/>
      <c r="AE40" s="46"/>
      <c r="AF40" s="46"/>
      <c r="AK40" s="46"/>
    </row>
    <row r="41" spans="1:711" ht="15.6" thickTop="1" thickBot="1" x14ac:dyDescent="0.35">
      <c r="A41" s="222" t="s">
        <v>105</v>
      </c>
      <c r="B41" s="3" t="s">
        <v>26</v>
      </c>
      <c r="C41" s="12">
        <f ca="1">INDEX('Analysis Steps'!$D$2:$D$11,MATCH('Per Tool Deadlines'!B41,'Analysis Steps'!$A$2:$A$11,0))+INDEX('Analysis Steps'!$I$2:$I$11,MATCH('Per Tool Deadlines'!B41,'Analysis Steps'!$A$2:$A$11,0))*COUNTIF($B$2:$B41,"="&amp;B41)</f>
        <v>44600.894736842107</v>
      </c>
      <c r="D41" s="12">
        <f t="shared" ca="1" si="7"/>
        <v>44781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 s="171">
        <v>-1</v>
      </c>
      <c r="P41" s="224" t="s">
        <v>77</v>
      </c>
      <c r="Q41" s="3" t="s">
        <v>1063</v>
      </c>
      <c r="S41" s="3"/>
      <c r="V41" t="s">
        <v>538</v>
      </c>
      <c r="AA41" s="46"/>
      <c r="AE41" s="46"/>
      <c r="AF41" s="46"/>
      <c r="AK41" s="46"/>
    </row>
    <row r="42" spans="1:711" ht="15.6" thickTop="1" thickBot="1" x14ac:dyDescent="0.35">
      <c r="A42" s="222" t="s">
        <v>904</v>
      </c>
      <c r="B42" s="3" t="s">
        <v>26</v>
      </c>
      <c r="C42" s="12">
        <f ca="1">INDEX('Analysis Steps'!$D$2:$D$11,MATCH('Per Tool Deadlines'!B42,'Analysis Steps'!$A$2:$A$11,0))+INDEX('Analysis Steps'!$I$2:$I$11,MATCH('Per Tool Deadlines'!B42,'Analysis Steps'!$A$2:$A$11,0))*COUNTIF($B$2:$B42,"="&amp;B42)</f>
        <v>44608.789473684214</v>
      </c>
      <c r="D42" s="12">
        <f t="shared" ca="1" si="7"/>
        <v>44789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O42" s="171"/>
      <c r="P42" s="224" t="s">
        <v>905</v>
      </c>
      <c r="Q42" t="s">
        <v>906</v>
      </c>
      <c r="AA42" s="46"/>
      <c r="AE42" s="46"/>
      <c r="AF42" s="46"/>
      <c r="AK42" s="46"/>
    </row>
    <row r="43" spans="1:711" ht="15.6" thickTop="1" thickBot="1" x14ac:dyDescent="0.35">
      <c r="A43" s="222" t="s">
        <v>866</v>
      </c>
      <c r="B43" s="3" t="s">
        <v>26</v>
      </c>
      <c r="C43" s="12">
        <f ca="1">INDEX('Analysis Steps'!$D$2:$D$11,MATCH('Per Tool Deadlines'!B43,'Analysis Steps'!$A$2:$A$11,0))+INDEX('Analysis Steps'!$I$2:$I$11,MATCH('Per Tool Deadlines'!B43,'Analysis Steps'!$A$2:$A$11,0))*COUNTIF($B$2:$B43,"="&amp;B43)</f>
        <v>44616.684210526313</v>
      </c>
      <c r="D43" s="12">
        <f t="shared" ca="1" si="7"/>
        <v>44797</v>
      </c>
      <c r="O43" s="171"/>
      <c r="P43" t="s">
        <v>867</v>
      </c>
      <c r="AA43" s="46"/>
      <c r="AE43" s="46"/>
      <c r="AF43" s="46"/>
      <c r="AK43" s="46"/>
    </row>
    <row r="44" spans="1:711" ht="15" thickTop="1" x14ac:dyDescent="0.3">
      <c r="A44" s="220" t="s">
        <v>540</v>
      </c>
      <c r="B44" s="3" t="s">
        <v>26</v>
      </c>
      <c r="C44" s="12">
        <f ca="1">INDEX('Analysis Steps'!$D$2:$D$11,MATCH('Per Tool Deadlines'!B44,'Analysis Steps'!$A$2:$A$11,0))+INDEX('Analysis Steps'!$I$2:$I$11,MATCH('Per Tool Deadlines'!B44,'Analysis Steps'!$A$2:$A$11,0))*COUNTIF($B$2:$B65,"="&amp;B44)</f>
        <v>44743</v>
      </c>
      <c r="D44" s="12">
        <f t="shared" ca="1" si="7"/>
        <v>44927</v>
      </c>
      <c r="P44" s="74" t="s">
        <v>290</v>
      </c>
      <c r="Q44" s="74"/>
    </row>
    <row r="45" spans="1:711" ht="15.6" thickTop="1" thickBot="1" x14ac:dyDescent="0.35">
      <c r="A45" s="220" t="s">
        <v>492</v>
      </c>
      <c r="B45" s="3" t="s">
        <v>26</v>
      </c>
      <c r="C45" s="12">
        <f ca="1">INDEX('Analysis Steps'!$D$2:$D$11,MATCH('Per Tool Deadlines'!B45,'Analysis Steps'!$A$2:$A$11,0))+INDEX('Analysis Steps'!$I$2:$I$11,MATCH('Per Tool Deadlines'!B45,'Analysis Steps'!$A$2:$A$11,0))*COUNTIF($B$2:$B45,"="&amp;B45)</f>
        <v>44632.473684210527</v>
      </c>
      <c r="D45" s="12">
        <f t="shared" ca="1" si="7"/>
        <v>44816</v>
      </c>
      <c r="E45">
        <v>1</v>
      </c>
      <c r="F45">
        <v>-1</v>
      </c>
      <c r="G45">
        <v>-1</v>
      </c>
      <c r="H45">
        <v>-1</v>
      </c>
      <c r="I45">
        <v>0</v>
      </c>
      <c r="J45">
        <v>0</v>
      </c>
      <c r="K45">
        <v>0</v>
      </c>
      <c r="L45">
        <v>0</v>
      </c>
      <c r="M45">
        <v>0</v>
      </c>
      <c r="N45">
        <v>-1</v>
      </c>
      <c r="P45" t="s">
        <v>290</v>
      </c>
      <c r="Q45" s="74"/>
    </row>
    <row r="46" spans="1:711" ht="15" thickBot="1" x14ac:dyDescent="0.35">
      <c r="A46" s="220" t="s">
        <v>102</v>
      </c>
      <c r="B46" s="3" t="s">
        <v>26</v>
      </c>
      <c r="C46" s="12">
        <f ca="1">INDEX('Analysis Steps'!$D$2:$D$11,MATCH('Per Tool Deadlines'!B46,'Analysis Steps'!$A$2:$A$11,0))+INDEX('Analysis Steps'!$I$2:$I$11,MATCH('Per Tool Deadlines'!B46,'Analysis Steps'!$A$2:$A$11,0))*COUNTIF($B$2:$B53,"="&amp;B46)</f>
        <v>44656.15789473684</v>
      </c>
      <c r="D46" s="12">
        <f t="shared" ref="D46" ca="1" si="8">EDATE(C46,6)</f>
        <v>44839</v>
      </c>
      <c r="P46" t="s">
        <v>290</v>
      </c>
      <c r="Q46" s="74"/>
    </row>
    <row r="47" spans="1:711" s="218" customFormat="1" ht="15.6" thickTop="1" thickBot="1" x14ac:dyDescent="0.35">
      <c r="A47" s="74" t="s">
        <v>115</v>
      </c>
      <c r="B47" t="s">
        <v>26</v>
      </c>
      <c r="C47" s="12">
        <f ca="1">INDEX('Analysis Steps'!$D$2:$D$11,MATCH('Per Tool Deadlines'!B47,'Analysis Steps'!$A$2:$A$11,0))+INDEX('Analysis Steps'!$I$2:$I$11,MATCH('Per Tool Deadlines'!B47,'Analysis Steps'!$A$2:$A$11,0))*COUNTIF($B$2:$B47,"="&amp;B47)</f>
        <v>44648.26315789474</v>
      </c>
      <c r="D47" s="12">
        <f ca="1">EDATE(C47,6)</f>
        <v>44832</v>
      </c>
      <c r="E47"/>
      <c r="F47"/>
      <c r="G47"/>
      <c r="H47"/>
      <c r="I47"/>
      <c r="J47"/>
      <c r="K47"/>
      <c r="L47"/>
      <c r="M47"/>
      <c r="N47"/>
      <c r="O47"/>
      <c r="P47" s="74" t="s">
        <v>290</v>
      </c>
      <c r="Q47" s="74"/>
      <c r="R47"/>
      <c r="S47"/>
      <c r="T47"/>
      <c r="U47"/>
      <c r="V47"/>
      <c r="W47"/>
      <c r="X47"/>
      <c r="Y47"/>
      <c r="Z47"/>
      <c r="AA47" s="219"/>
      <c r="AB47"/>
      <c r="AC47"/>
      <c r="AD47"/>
      <c r="AE47" s="219"/>
      <c r="AF47" s="219"/>
      <c r="AK47" s="219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</row>
    <row r="48" spans="1:711" ht="15.6" thickTop="1" thickBot="1" x14ac:dyDescent="0.35">
      <c r="A48" s="220" t="s">
        <v>116</v>
      </c>
      <c r="B48" t="s">
        <v>26</v>
      </c>
      <c r="C48" s="12">
        <f ca="1">INDEX('Analysis Steps'!$D$2:$D$11,MATCH('Per Tool Deadlines'!B48,'Analysis Steps'!$A$2:$A$11,0))+INDEX('Analysis Steps'!$I$2:$I$11,MATCH('Per Tool Deadlines'!B48,'Analysis Steps'!$A$2:$A$11,0))*COUNTIF($B$2:$B48,"="&amp;B48)</f>
        <v>44656.15789473684</v>
      </c>
      <c r="D48" s="12">
        <f t="shared" ca="1" si="6"/>
        <v>44839</v>
      </c>
      <c r="P48" s="74" t="s">
        <v>756</v>
      </c>
      <c r="Q48" s="74"/>
      <c r="AA48" s="46"/>
      <c r="AE48" s="46"/>
      <c r="AF48" s="46"/>
      <c r="AK48" s="46"/>
    </row>
    <row r="49" spans="1:37" ht="15.6" thickTop="1" thickBot="1" x14ac:dyDescent="0.35">
      <c r="A49" s="220" t="s">
        <v>120</v>
      </c>
      <c r="B49" t="s">
        <v>21</v>
      </c>
      <c r="C49" s="12">
        <f ca="1">INDEX('Analysis Steps'!$D$2:$D$11,MATCH('Per Tool Deadlines'!B49,'Analysis Steps'!$A$2:$A$11,0))+INDEX('Analysis Steps'!$I$2:$I$11,MATCH('Per Tool Deadlines'!B49,'Analysis Steps'!$A$2:$A$11,0))*COUNTIF($B$2:$B49,"="&amp;B49)</f>
        <v>44690.25</v>
      </c>
      <c r="D49" s="12">
        <f t="shared" ca="1" si="6"/>
        <v>44874</v>
      </c>
      <c r="P49" s="74" t="s">
        <v>756</v>
      </c>
      <c r="Q49" s="74"/>
      <c r="AA49" s="46"/>
      <c r="AE49" s="46"/>
      <c r="AF49" s="46"/>
      <c r="AK49" s="46"/>
    </row>
    <row r="50" spans="1:37" ht="15.6" thickTop="1" thickBot="1" x14ac:dyDescent="0.35">
      <c r="A50" s="220" t="s">
        <v>121</v>
      </c>
      <c r="B50" t="s">
        <v>21</v>
      </c>
      <c r="C50" s="12">
        <f ca="1">INDEX('Analysis Steps'!$D$2:$D$11,MATCH('Per Tool Deadlines'!B50,'Analysis Steps'!$A$2:$A$11,0))+INDEX('Analysis Steps'!$I$2:$I$11,MATCH('Per Tool Deadlines'!B50,'Analysis Steps'!$A$2:$A$11,0))*COUNTIF($B$2:$B50,"="&amp;B50)</f>
        <v>44728.5</v>
      </c>
      <c r="D50" s="12">
        <f t="shared" ca="1" si="6"/>
        <v>44911</v>
      </c>
      <c r="P50" s="74" t="s">
        <v>756</v>
      </c>
      <c r="Q50" s="74"/>
      <c r="AA50" s="46"/>
      <c r="AE50" s="46"/>
      <c r="AF50" s="46"/>
      <c r="AK50" s="46"/>
    </row>
    <row r="51" spans="1:37" ht="15.6" thickTop="1" thickBot="1" x14ac:dyDescent="0.35">
      <c r="A51" s="220" t="s">
        <v>110</v>
      </c>
      <c r="B51" t="s">
        <v>21</v>
      </c>
      <c r="C51" s="12">
        <f ca="1">INDEX('Analysis Steps'!$D$2:$D$11,MATCH('Per Tool Deadlines'!B51,'Analysis Steps'!$A$2:$A$11,0))+INDEX('Analysis Steps'!$I$2:$I$11,MATCH('Per Tool Deadlines'!B51,'Analysis Steps'!$A$2:$A$11,0))*COUNTIF($B$2:$B51,"="&amp;B51)</f>
        <v>44766.75</v>
      </c>
      <c r="D51" s="12">
        <f ca="1">EDATE(C51,6)</f>
        <v>44950</v>
      </c>
      <c r="P51" s="225" t="s">
        <v>751</v>
      </c>
      <c r="Q51" s="74"/>
      <c r="AA51" s="46"/>
      <c r="AE51" s="46"/>
      <c r="AF51" s="46"/>
      <c r="AK51" s="46"/>
    </row>
    <row r="52" spans="1:37" ht="15.6" thickTop="1" thickBot="1" x14ac:dyDescent="0.35">
      <c r="A52" s="220" t="s">
        <v>111</v>
      </c>
      <c r="B52" t="s">
        <v>19</v>
      </c>
      <c r="C52" s="12">
        <f ca="1">INDEX('Analysis Steps'!$D$2:$D$11,MATCH('Per Tool Deadlines'!B52,'Analysis Steps'!$A$2:$A$11,0))+INDEX('Analysis Steps'!$I$2:$I$11,MATCH('Per Tool Deadlines'!B52,'Analysis Steps'!$A$2:$A$11,0))*COUNTIF($B$2:$B52,"="&amp;B52)</f>
        <v>44641.333333333336</v>
      </c>
      <c r="D52" s="12">
        <f t="shared" ca="1" si="6"/>
        <v>44825</v>
      </c>
      <c r="P52" s="74" t="s">
        <v>755</v>
      </c>
      <c r="Q52" s="74" t="s">
        <v>290</v>
      </c>
      <c r="AA52" s="46"/>
      <c r="AE52" s="46"/>
      <c r="AF52" s="46"/>
      <c r="AK52" s="46"/>
    </row>
    <row r="53" spans="1:37" ht="15.6" thickTop="1" thickBot="1" x14ac:dyDescent="0.35">
      <c r="A53" s="220" t="s">
        <v>87</v>
      </c>
      <c r="B53" t="s">
        <v>19</v>
      </c>
      <c r="C53" s="12">
        <f ca="1">INDEX('Analysis Steps'!$D$2:$D$11,MATCH('Per Tool Deadlines'!B53,'Analysis Steps'!$A$2:$A$11,0))+INDEX('Analysis Steps'!$I$2:$I$11,MATCH('Per Tool Deadlines'!B53,'Analysis Steps'!$A$2:$A$11,0))*COUNTIF($B$2:$B53,"="&amp;B53)</f>
        <v>44651.5</v>
      </c>
      <c r="D53" s="12">
        <f t="shared" ca="1" si="6"/>
        <v>44834</v>
      </c>
      <c r="P53" s="74" t="s">
        <v>669</v>
      </c>
      <c r="Q53" s="74"/>
      <c r="AA53" s="46"/>
      <c r="AE53" s="46"/>
      <c r="AF53" s="46"/>
      <c r="AK53" s="46"/>
    </row>
    <row r="54" spans="1:37" ht="15" thickTop="1" x14ac:dyDescent="0.3">
      <c r="A54" s="220" t="s">
        <v>122</v>
      </c>
      <c r="B54" s="3" t="s">
        <v>26</v>
      </c>
      <c r="C54" s="12">
        <f ca="1">INDEX('Analysis Steps'!$D$2:$D$11,MATCH('Per Tool Deadlines'!B54,'Analysis Steps'!$A$2:$A$11,0))+INDEX('Analysis Steps'!$I$2:$I$11,MATCH('Per Tool Deadlines'!B54,'Analysis Steps'!$A$2:$A$11,0))*COUNTIF($B$2:$B54,"="&amp;B54)</f>
        <v>44664.052631578947</v>
      </c>
      <c r="D54" s="12">
        <f t="shared" ref="D54:D63" ca="1" si="9">EDATE(C54,6)</f>
        <v>44847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P54" s="74" t="s">
        <v>749</v>
      </c>
      <c r="Q54" s="224"/>
    </row>
    <row r="55" spans="1:37" x14ac:dyDescent="0.3">
      <c r="A55" s="220" t="s">
        <v>1104</v>
      </c>
      <c r="B55" t="s">
        <v>26</v>
      </c>
      <c r="C55" s="12">
        <f ca="1">INDEX('Analysis Steps'!$D$2:$D$11,MATCH('Per Tool Deadlines'!B55,'Analysis Steps'!$A$2:$A$11,0))+INDEX('Analysis Steps'!$I$2:$I$11,MATCH('Per Tool Deadlines'!B55,'Analysis Steps'!$A$2:$A$11,0))*COUNTIF($B$2:$B55,"="&amp;B55)</f>
        <v>44671.947368421053</v>
      </c>
      <c r="D55" s="12">
        <f t="shared" ca="1" si="9"/>
        <v>44854</v>
      </c>
      <c r="P55" s="74"/>
      <c r="Q55" s="74"/>
    </row>
    <row r="56" spans="1:37" x14ac:dyDescent="0.3">
      <c r="A56" s="220" t="s">
        <v>123</v>
      </c>
      <c r="B56" t="s">
        <v>26</v>
      </c>
      <c r="C56" s="12">
        <f ca="1">INDEX('Analysis Steps'!$D$2:$D$11,MATCH('Per Tool Deadlines'!B56,'Analysis Steps'!$A$2:$A$11,0))+INDEX('Analysis Steps'!$I$2:$I$11,MATCH('Per Tool Deadlines'!B56,'Analysis Steps'!$A$2:$A$11,0))*COUNTIF($B$2:$B56,"="&amp;B56)</f>
        <v>44679.84210526316</v>
      </c>
      <c r="D56" s="12">
        <f t="shared" ca="1" si="9"/>
        <v>44862</v>
      </c>
      <c r="P56" s="224" t="s">
        <v>1103</v>
      </c>
      <c r="Q56" s="224" t="s">
        <v>290</v>
      </c>
    </row>
    <row r="57" spans="1:37" x14ac:dyDescent="0.3">
      <c r="A57" s="220" t="s">
        <v>1105</v>
      </c>
      <c r="B57" t="s">
        <v>26</v>
      </c>
      <c r="C57" s="12">
        <f ca="1">INDEX('Analysis Steps'!$D$2:$D$11,MATCH('Per Tool Deadlines'!B57,'Analysis Steps'!$A$2:$A$11,0))+INDEX('Analysis Steps'!$I$2:$I$11,MATCH('Per Tool Deadlines'!B57,'Analysis Steps'!$A$2:$A$11,0))*COUNTIF($B$2:$B57,"="&amp;B57)</f>
        <v>44687.73684210526</v>
      </c>
      <c r="D57" s="12">
        <f t="shared" ca="1" si="9"/>
        <v>44871</v>
      </c>
      <c r="P57" s="74"/>
      <c r="Q57" s="74"/>
    </row>
    <row r="58" spans="1:37" x14ac:dyDescent="0.3">
      <c r="A58" s="220" t="s">
        <v>1106</v>
      </c>
      <c r="B58" t="s">
        <v>26</v>
      </c>
      <c r="C58" s="12">
        <f ca="1">INDEX('Analysis Steps'!$D$2:$D$11,MATCH('Per Tool Deadlines'!B58,'Analysis Steps'!$A$2:$A$11,0))+INDEX('Analysis Steps'!$I$2:$I$11,MATCH('Per Tool Deadlines'!B58,'Analysis Steps'!$A$2:$A$11,0))*COUNTIF($B$2:$B58,"="&amp;B58)</f>
        <v>44695.631578947367</v>
      </c>
      <c r="D58" s="12">
        <f t="shared" ca="1" si="9"/>
        <v>44879</v>
      </c>
      <c r="P58" s="74"/>
      <c r="Q58" s="74"/>
    </row>
    <row r="59" spans="1:37" x14ac:dyDescent="0.3">
      <c r="A59" s="220" t="s">
        <v>1107</v>
      </c>
      <c r="B59" t="s">
        <v>26</v>
      </c>
      <c r="C59" s="12"/>
      <c r="D59" s="12"/>
      <c r="P59" s="74"/>
      <c r="Q59" s="74"/>
    </row>
    <row r="60" spans="1:37" x14ac:dyDescent="0.3">
      <c r="A60" s="220" t="s">
        <v>1108</v>
      </c>
      <c r="B60" t="s">
        <v>26</v>
      </c>
      <c r="C60" s="12"/>
      <c r="D60" s="12"/>
      <c r="P60" s="74"/>
      <c r="Q60" s="74"/>
    </row>
    <row r="61" spans="1:37" x14ac:dyDescent="0.3">
      <c r="A61" s="220" t="s">
        <v>127</v>
      </c>
      <c r="B61" t="s">
        <v>26</v>
      </c>
      <c r="C61" s="12">
        <f ca="1">INDEX('Analysis Steps'!$D$2:$D$11,MATCH('Per Tool Deadlines'!B61,'Analysis Steps'!$A$2:$A$11,0))+INDEX('Analysis Steps'!$I$2:$I$11,MATCH('Per Tool Deadlines'!B61,'Analysis Steps'!$A$2:$A$11,0))*COUNTIF($B$2:$B61,"="&amp;B61)</f>
        <v>44719.315789473687</v>
      </c>
      <c r="D61" s="12">
        <f t="shared" ca="1" si="9"/>
        <v>44902</v>
      </c>
      <c r="P61" s="74"/>
      <c r="Q61" s="74"/>
    </row>
    <row r="62" spans="1:37" ht="15.6" thickTop="1" thickBot="1" x14ac:dyDescent="0.35">
      <c r="A62" s="220" t="s">
        <v>128</v>
      </c>
      <c r="B62" t="s">
        <v>26</v>
      </c>
      <c r="C62" s="12">
        <f ca="1">INDEX('Analysis Steps'!$D$2:$D$11,MATCH('Per Tool Deadlines'!B62,'Analysis Steps'!$A$2:$A$11,0))+INDEX('Analysis Steps'!$I$2:$I$11,MATCH('Per Tool Deadlines'!B62,'Analysis Steps'!$A$2:$A$11,0))*COUNTIF($B$2:$B62,"="&amp;B62)</f>
        <v>44727.210526315786</v>
      </c>
      <c r="D62" s="12">
        <f t="shared" ca="1" si="9"/>
        <v>44910</v>
      </c>
      <c r="P62" s="74"/>
      <c r="Q62" s="74"/>
    </row>
    <row r="63" spans="1:37" x14ac:dyDescent="0.3">
      <c r="A63" s="220" t="s">
        <v>129</v>
      </c>
      <c r="B63" t="s">
        <v>26</v>
      </c>
      <c r="C63" s="12">
        <f ca="1">INDEX('Analysis Steps'!$D$2:$D$11,MATCH('Per Tool Deadlines'!B63,'Analysis Steps'!$A$2:$A$11,0))+INDEX('Analysis Steps'!$I$2:$I$11,MATCH('Per Tool Deadlines'!B63,'Analysis Steps'!$A$2:$A$11,0))*COUNTIF($B$2:$B63,"="&amp;B63)</f>
        <v>44735.105263157893</v>
      </c>
      <c r="D63" s="12">
        <f t="shared" ca="1" si="9"/>
        <v>44918</v>
      </c>
      <c r="P63" s="74"/>
      <c r="Q63" s="74"/>
    </row>
    <row r="64" spans="1:37" ht="15" thickBot="1" x14ac:dyDescent="0.35">
      <c r="A64" s="220" t="s">
        <v>1109</v>
      </c>
      <c r="B64" t="s">
        <v>26</v>
      </c>
      <c r="C64" s="12"/>
      <c r="D64" s="12"/>
      <c r="P64" s="74"/>
      <c r="Q64" s="74"/>
    </row>
    <row r="65" spans="1:37" ht="15.6" thickTop="1" thickBot="1" x14ac:dyDescent="0.35">
      <c r="A65" s="220" t="s">
        <v>98</v>
      </c>
      <c r="B65" t="s">
        <v>19</v>
      </c>
      <c r="C65" s="12">
        <f ca="1">INDEX('Analysis Steps'!$D$2:$D$11,MATCH('Per Tool Deadlines'!B65,'Analysis Steps'!$A$2:$A$11,0))+INDEX('Analysis Steps'!$I$2:$I$11,MATCH('Per Tool Deadlines'!B65,'Analysis Steps'!$A$2:$A$11,0))*COUNTIF($B$2:$B65,"="&amp;B65)</f>
        <v>44661.666666666664</v>
      </c>
      <c r="D65" s="12">
        <f ca="1">EDATE(C65,6)</f>
        <v>44844</v>
      </c>
      <c r="E65">
        <v>1</v>
      </c>
      <c r="F65">
        <v>-1</v>
      </c>
      <c r="G65">
        <v>-1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 s="171"/>
      <c r="P65" t="s">
        <v>907</v>
      </c>
      <c r="AA65" s="46"/>
      <c r="AE65" s="46"/>
      <c r="AF65" s="46"/>
      <c r="AK65" s="46"/>
    </row>
    <row r="66" spans="1:37" ht="15" thickTop="1" x14ac:dyDescent="0.3">
      <c r="A66" s="220" t="s">
        <v>130</v>
      </c>
      <c r="B66" t="s">
        <v>19</v>
      </c>
      <c r="C66" s="12">
        <f ca="1">INDEX('Analysis Steps'!$D$2:$D$11,MATCH('Per Tool Deadlines'!B66,'Analysis Steps'!$A$2:$A$11,0))+INDEX('Analysis Steps'!$I$2:$I$11,MATCH('Per Tool Deadlines'!B66,'Analysis Steps'!$A$2:$A$11,0))*COUNTIF($B$2:$B66,"="&amp;B66)</f>
        <v>44671.833333333336</v>
      </c>
      <c r="D66" s="12">
        <f t="shared" ref="D66:D71" ca="1" si="10">EDATE(C66,6)</f>
        <v>44854</v>
      </c>
      <c r="P66" s="74"/>
      <c r="Q66" s="74"/>
    </row>
    <row r="67" spans="1:37" ht="15.6" thickTop="1" thickBot="1" x14ac:dyDescent="0.35">
      <c r="A67" s="220" t="s">
        <v>119</v>
      </c>
      <c r="B67" t="s">
        <v>19</v>
      </c>
      <c r="C67" s="12">
        <f ca="1">INDEX('Analysis Steps'!$D$2:$D$11,MATCH('Per Tool Deadlines'!B67,'Analysis Steps'!$A$2:$A$11,0))+INDEX('Analysis Steps'!$I$2:$I$11,MATCH('Per Tool Deadlines'!B67,'Analysis Steps'!$A$2:$A$11,0))*COUNTIF($B$2:$B67,"="&amp;B67)</f>
        <v>44682</v>
      </c>
      <c r="D67" s="12">
        <f t="shared" ca="1" si="10"/>
        <v>44866</v>
      </c>
      <c r="P67" s="74"/>
      <c r="Q67" s="74"/>
    </row>
    <row r="68" spans="1:37" ht="15.6" thickTop="1" thickBot="1" x14ac:dyDescent="0.35">
      <c r="A68" s="220" t="s">
        <v>99</v>
      </c>
      <c r="B68" t="s">
        <v>21</v>
      </c>
      <c r="C68" s="12">
        <f ca="1">INDEX('Analysis Steps'!$D$2:$D$11,MATCH('Per Tool Deadlines'!B68,'Analysis Steps'!$A$2:$A$11,0))+INDEX('Analysis Steps'!$I$2:$I$11,MATCH('Per Tool Deadlines'!B68,'Analysis Steps'!$A$2:$A$11,0))*COUNTIF($B$2:$B68,"="&amp;B68)</f>
        <v>44805</v>
      </c>
      <c r="D68" s="12">
        <f ca="1">EDATE(C68,6)</f>
        <v>44986</v>
      </c>
      <c r="E68">
        <v>1</v>
      </c>
      <c r="F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P68" s="74"/>
      <c r="Q68" s="74"/>
    </row>
    <row r="69" spans="1:37" ht="15.6" thickTop="1" thickBot="1" x14ac:dyDescent="0.35">
      <c r="A69" s="220" t="s">
        <v>117</v>
      </c>
      <c r="B69" t="s">
        <v>27</v>
      </c>
      <c r="C69" s="12">
        <f ca="1">INDEX('Analysis Steps'!$D$2:$D$11,MATCH('Per Tool Deadlines'!B69,'Analysis Steps'!$A$2:$A$11,0))+INDEX('Analysis Steps'!$I$2:$I$11,MATCH('Per Tool Deadlines'!B69,'Analysis Steps'!$A$2:$A$11,0))*COUNTIF($B$2:$B69,"="&amp;B69)</f>
        <v>44663.769230769234</v>
      </c>
      <c r="D69" s="12">
        <f ca="1">EDATE(C69,6)</f>
        <v>44846</v>
      </c>
      <c r="P69" s="74"/>
      <c r="Q69" s="74"/>
    </row>
    <row r="70" spans="1:37" ht="15.6" thickTop="1" thickBot="1" x14ac:dyDescent="0.35">
      <c r="A70" s="220" t="s">
        <v>131</v>
      </c>
      <c r="B70" t="s">
        <v>27</v>
      </c>
      <c r="C70" s="12">
        <f ca="1">INDEX('Analysis Steps'!$D$2:$D$11,MATCH('Per Tool Deadlines'!B70,'Analysis Steps'!$A$2:$A$11,0))+INDEX('Analysis Steps'!$I$2:$I$11,MATCH('Per Tool Deadlines'!B70,'Analysis Steps'!$A$2:$A$11,0))*COUNTIF($B$2:$B70,"="&amp;B70)</f>
        <v>44675.538461538461</v>
      </c>
      <c r="D70" s="12">
        <f ca="1">EDATE(C70,6)</f>
        <v>44858</v>
      </c>
    </row>
    <row r="71" spans="1:37" ht="15.6" thickTop="1" thickBot="1" x14ac:dyDescent="0.35">
      <c r="A71" s="220" t="s">
        <v>132</v>
      </c>
      <c r="B71" t="s">
        <v>27</v>
      </c>
      <c r="C71" s="12">
        <f ca="1">INDEX('Analysis Steps'!$D$2:$D$11,MATCH('Per Tool Deadlines'!B71,'Analysis Steps'!$A$2:$A$11,0))+INDEX('Analysis Steps'!$I$2:$I$11,MATCH('Per Tool Deadlines'!B71,'Analysis Steps'!$A$2:$A$11,0))*COUNTIF($B$2:$B71,"="&amp;B71)</f>
        <v>44687.307692307695</v>
      </c>
      <c r="D71" s="12">
        <f t="shared" ca="1" si="10"/>
        <v>44871</v>
      </c>
    </row>
    <row r="72" spans="1:37" ht="15.6" thickTop="1" thickBot="1" x14ac:dyDescent="0.35">
      <c r="A72" s="220" t="s">
        <v>133</v>
      </c>
      <c r="B72" t="s">
        <v>27</v>
      </c>
      <c r="C72" s="12">
        <f ca="1">INDEX('Analysis Steps'!$D$2:$D$11,MATCH('Per Tool Deadlines'!B72,'Analysis Steps'!$A$2:$A$11,0))+INDEX('Analysis Steps'!$I$2:$I$11,MATCH('Per Tool Deadlines'!B72,'Analysis Steps'!$A$2:$A$11,0))*COUNTIF($B$2:$B72,"="&amp;B72)</f>
        <v>44699.076923076922</v>
      </c>
      <c r="D72" s="12">
        <f t="shared" ref="D72:D81" ca="1" si="11">EDATE(C72,6)</f>
        <v>44883</v>
      </c>
    </row>
    <row r="73" spans="1:37" ht="15.6" thickTop="1" thickBot="1" x14ac:dyDescent="0.35">
      <c r="A73" s="220" t="s">
        <v>134</v>
      </c>
      <c r="B73" t="s">
        <v>27</v>
      </c>
      <c r="C73" s="12">
        <f ca="1">INDEX('Analysis Steps'!$D$2:$D$11,MATCH('Per Tool Deadlines'!B73,'Analysis Steps'!$A$2:$A$11,0))+INDEX('Analysis Steps'!$I$2:$I$11,MATCH('Per Tool Deadlines'!B73,'Analysis Steps'!$A$2:$A$11,0))*COUNTIF($B$2:$B73,"="&amp;B73)</f>
        <v>44710.846153846156</v>
      </c>
      <c r="D73" s="12">
        <f t="shared" ca="1" si="11"/>
        <v>44894</v>
      </c>
    </row>
    <row r="74" spans="1:37" ht="15.6" thickTop="1" thickBot="1" x14ac:dyDescent="0.35">
      <c r="A74" s="220" t="s">
        <v>135</v>
      </c>
      <c r="B74" t="s">
        <v>27</v>
      </c>
      <c r="C74" s="12">
        <f ca="1">INDEX('Analysis Steps'!$D$2:$D$11,MATCH('Per Tool Deadlines'!B74,'Analysis Steps'!$A$2:$A$11,0))+INDEX('Analysis Steps'!$I$2:$I$11,MATCH('Per Tool Deadlines'!B74,'Analysis Steps'!$A$2:$A$11,0))*COUNTIF($B$2:$B74,"="&amp;B74)</f>
        <v>44722.615384615383</v>
      </c>
      <c r="D74" s="12">
        <f t="shared" ca="1" si="11"/>
        <v>44905</v>
      </c>
    </row>
    <row r="75" spans="1:37" ht="15.6" thickTop="1" thickBot="1" x14ac:dyDescent="0.35">
      <c r="A75" s="220" t="s">
        <v>136</v>
      </c>
      <c r="B75" t="s">
        <v>27</v>
      </c>
      <c r="C75" s="12">
        <f ca="1">INDEX('Analysis Steps'!$D$2:$D$11,MATCH('Per Tool Deadlines'!B75,'Analysis Steps'!$A$2:$A$11,0))+INDEX('Analysis Steps'!$I$2:$I$11,MATCH('Per Tool Deadlines'!B75,'Analysis Steps'!$A$2:$A$11,0))*COUNTIF($B$2:$B75,"="&amp;B75)</f>
        <v>44734.384615384617</v>
      </c>
      <c r="D75" s="12">
        <f t="shared" ca="1" si="11"/>
        <v>44917</v>
      </c>
    </row>
    <row r="76" spans="1:37" ht="15.6" thickTop="1" thickBot="1" x14ac:dyDescent="0.35">
      <c r="A76" s="220" t="s">
        <v>137</v>
      </c>
      <c r="B76" t="s">
        <v>27</v>
      </c>
      <c r="C76" s="12">
        <f ca="1">INDEX('Analysis Steps'!$D$2:$D$11,MATCH('Per Tool Deadlines'!B76,'Analysis Steps'!$A$2:$A$11,0))+INDEX('Analysis Steps'!$I$2:$I$11,MATCH('Per Tool Deadlines'!B76,'Analysis Steps'!$A$2:$A$11,0))*COUNTIF($B$2:$B76,"="&amp;B76)</f>
        <v>44746.153846153844</v>
      </c>
      <c r="D76" s="12">
        <f t="shared" ca="1" si="11"/>
        <v>44930</v>
      </c>
    </row>
    <row r="77" spans="1:37" ht="15.6" thickTop="1" thickBot="1" x14ac:dyDescent="0.35">
      <c r="A77" s="220" t="s">
        <v>138</v>
      </c>
      <c r="B77" t="s">
        <v>27</v>
      </c>
      <c r="C77" s="12">
        <f ca="1">INDEX('Analysis Steps'!$D$2:$D$11,MATCH('Per Tool Deadlines'!B77,'Analysis Steps'!$A$2:$A$11,0))+INDEX('Analysis Steps'!$I$2:$I$11,MATCH('Per Tool Deadlines'!B77,'Analysis Steps'!$A$2:$A$11,0))*COUNTIF($B$2:$B77,"="&amp;B77)</f>
        <v>44757.923076923078</v>
      </c>
      <c r="D77" s="12">
        <f t="shared" ca="1" si="11"/>
        <v>44941</v>
      </c>
    </row>
    <row r="78" spans="1:37" ht="15.6" thickTop="1" thickBot="1" x14ac:dyDescent="0.35">
      <c r="A78" s="220" t="s">
        <v>139</v>
      </c>
      <c r="B78" t="s">
        <v>27</v>
      </c>
      <c r="C78" s="12">
        <f ca="1">INDEX('Analysis Steps'!$D$2:$D$11,MATCH('Per Tool Deadlines'!B78,'Analysis Steps'!$A$2:$A$11,0))+INDEX('Analysis Steps'!$I$2:$I$11,MATCH('Per Tool Deadlines'!B78,'Analysis Steps'!$A$2:$A$11,0))*COUNTIF($B$2:$B78,"="&amp;B78)</f>
        <v>44769.692307692305</v>
      </c>
      <c r="D78" s="12">
        <f t="shared" ca="1" si="11"/>
        <v>44953</v>
      </c>
    </row>
    <row r="79" spans="1:37" ht="15.6" thickTop="1" thickBot="1" x14ac:dyDescent="0.35">
      <c r="A79" s="220" t="s">
        <v>140</v>
      </c>
      <c r="B79" t="s">
        <v>27</v>
      </c>
      <c r="C79" s="12">
        <f ca="1">INDEX('Analysis Steps'!$D$2:$D$11,MATCH('Per Tool Deadlines'!B79,'Analysis Steps'!$A$2:$A$11,0))+INDEX('Analysis Steps'!$I$2:$I$11,MATCH('Per Tool Deadlines'!B79,'Analysis Steps'!$A$2:$A$11,0))*COUNTIF($B$2:$B79,"="&amp;B79)</f>
        <v>44781.461538461539</v>
      </c>
      <c r="D79" s="12">
        <f t="shared" ca="1" si="11"/>
        <v>44965</v>
      </c>
    </row>
    <row r="80" spans="1:37" ht="15.6" thickTop="1" thickBot="1" x14ac:dyDescent="0.35">
      <c r="A80" s="220" t="s">
        <v>141</v>
      </c>
      <c r="B80" t="s">
        <v>27</v>
      </c>
      <c r="C80" s="12">
        <f ca="1">INDEX('Analysis Steps'!$D$2:$D$11,MATCH('Per Tool Deadlines'!B80,'Analysis Steps'!$A$2:$A$11,0))+INDEX('Analysis Steps'!$I$2:$I$11,MATCH('Per Tool Deadlines'!B80,'Analysis Steps'!$A$2:$A$11,0))*COUNTIF($B$2:$B80,"="&amp;B80)</f>
        <v>44793.230769230766</v>
      </c>
      <c r="D80" s="12">
        <f t="shared" ca="1" si="11"/>
        <v>44977</v>
      </c>
    </row>
    <row r="81" spans="1:37" ht="15.6" thickTop="1" thickBot="1" x14ac:dyDescent="0.35">
      <c r="A81" s="220" t="s">
        <v>142</v>
      </c>
      <c r="B81" t="s">
        <v>27</v>
      </c>
      <c r="C81" s="12">
        <f ca="1">INDEX('Analysis Steps'!$D$2:$D$11,MATCH('Per Tool Deadlines'!B81,'Analysis Steps'!$A$2:$A$11,0))+INDEX('Analysis Steps'!$I$2:$I$11,MATCH('Per Tool Deadlines'!B81,'Analysis Steps'!$A$2:$A$11,0))*COUNTIF($B$2:$B81,"="&amp;B81)</f>
        <v>44805</v>
      </c>
      <c r="D81" s="12">
        <f t="shared" ca="1" si="11"/>
        <v>44986</v>
      </c>
    </row>
    <row r="82" spans="1:37" ht="15.6" thickTop="1" thickBot="1" x14ac:dyDescent="0.35">
      <c r="A82" s="74" t="s">
        <v>1099</v>
      </c>
      <c r="P82" s="74"/>
      <c r="Q82" s="74"/>
      <c r="AA82" s="46"/>
      <c r="AE82" s="46"/>
      <c r="AF82" s="46"/>
      <c r="AK82" s="46"/>
    </row>
    <row r="83" spans="1:37" ht="15.6" thickTop="1" thickBot="1" x14ac:dyDescent="0.35">
      <c r="A83" s="74" t="s">
        <v>1098</v>
      </c>
      <c r="P83" s="74"/>
      <c r="Q83" s="74"/>
      <c r="AA83" s="46"/>
      <c r="AE83" s="46"/>
      <c r="AF83" s="46"/>
      <c r="AK83" s="46"/>
    </row>
    <row r="84" spans="1:37" ht="15.6" thickTop="1" thickBot="1" x14ac:dyDescent="0.35">
      <c r="A84" s="74" t="s">
        <v>1100</v>
      </c>
      <c r="P84" s="74"/>
      <c r="Q84" s="74"/>
      <c r="AA84" s="46"/>
      <c r="AE84" s="46"/>
      <c r="AF84" s="46"/>
      <c r="AK84" s="46"/>
    </row>
    <row r="85" spans="1:37" ht="15.6" thickTop="1" thickBot="1" x14ac:dyDescent="0.35">
      <c r="A85" s="74" t="s">
        <v>1101</v>
      </c>
      <c r="P85" s="74"/>
      <c r="Q85" s="74"/>
      <c r="AA85" s="46"/>
      <c r="AE85" s="46"/>
      <c r="AF85" s="46"/>
      <c r="AK85" s="46"/>
    </row>
  </sheetData>
  <mergeCells count="2">
    <mergeCell ref="AG9:AH9"/>
    <mergeCell ref="AI9:AJ9"/>
  </mergeCells>
  <conditionalFormatting sqref="E5 H5 N5:O5">
    <cfRule type="colorScale" priority="261">
      <colorScale>
        <cfvo type="min"/>
        <cfvo type="max"/>
        <color rgb="FFFFC7CE"/>
        <color rgb="FFC6EFCE"/>
      </colorScale>
    </cfRule>
    <cfRule type="iconSet" priority="262">
      <iconSet iconSet="3Symbols" showValue="0">
        <cfvo type="percent" val="0"/>
        <cfvo type="num" val="0"/>
        <cfvo type="num" val="1"/>
      </iconSet>
    </cfRule>
  </conditionalFormatting>
  <conditionalFormatting sqref="A2 A65 A43 A28 A30 A40 A37:A38 A35">
    <cfRule type="expression" dxfId="122" priority="242" stopIfTrue="1">
      <formula>AND(COUNTIF($E2:$N2,"&lt;"&amp;"0")=0,COUNTIF($E2:$N2,"=")=0)</formula>
    </cfRule>
    <cfRule type="expression" dxfId="121" priority="243" stopIfTrue="1">
      <formula>AND($C2&lt;TODAY(),$C2&lt;&gt;"")</formula>
    </cfRule>
  </conditionalFormatting>
  <conditionalFormatting sqref="C1048570:C1048576">
    <cfRule type="expression" dxfId="120" priority="474" stopIfTrue="1">
      <formula>AND(COUNTIF($E:$N,"&lt;"&amp;"0")=0,COUNTIF($E:$N,"=")=0)</formula>
    </cfRule>
    <cfRule type="expression" dxfId="119" priority="475" stopIfTrue="1">
      <formula>AND(#REF!&lt;TODAY(),#REF!&lt;&gt;"")</formula>
    </cfRule>
  </conditionalFormatting>
  <conditionalFormatting sqref="E51:O53">
    <cfRule type="colorScale" priority="546">
      <colorScale>
        <cfvo type="min"/>
        <cfvo type="max"/>
        <color rgb="FFFFC7CE"/>
        <color rgb="FFC6EFCE"/>
      </colorScale>
    </cfRule>
    <cfRule type="iconSet" priority="547">
      <iconSet iconSet="3Symbols" showValue="0">
        <cfvo type="percent" val="0"/>
        <cfvo type="num" val="0"/>
        <cfvo type="num" val="1"/>
      </iconSet>
    </cfRule>
  </conditionalFormatting>
  <conditionalFormatting sqref="G5">
    <cfRule type="colorScale" priority="202">
      <colorScale>
        <cfvo type="min"/>
        <cfvo type="max"/>
        <color rgb="FFFFC7CE"/>
        <color rgb="FFC6EFCE"/>
      </colorScale>
    </cfRule>
    <cfRule type="iconSet" priority="203">
      <iconSet iconSet="3Symbols" showValue="0">
        <cfvo type="percent" val="0"/>
        <cfvo type="num" val="0"/>
        <cfvo type="num" val="1"/>
      </iconSet>
    </cfRule>
  </conditionalFormatting>
  <conditionalFormatting sqref="F5">
    <cfRule type="colorScale" priority="200">
      <colorScale>
        <cfvo type="min"/>
        <cfvo type="max"/>
        <color rgb="FFFFC7CE"/>
        <color rgb="FFC6EFCE"/>
      </colorScale>
    </cfRule>
    <cfRule type="iconSet" priority="201">
      <iconSet iconSet="3Symbols" showValue="0">
        <cfvo type="percent" val="0"/>
        <cfvo type="num" val="0"/>
        <cfvo type="num" val="1"/>
      </iconSet>
    </cfRule>
  </conditionalFormatting>
  <conditionalFormatting sqref="I5:M5">
    <cfRule type="colorScale" priority="198">
      <colorScale>
        <cfvo type="min"/>
        <cfvo type="max"/>
        <color rgb="FFFFC7CE"/>
        <color rgb="FFC6EFCE"/>
      </colorScale>
    </cfRule>
    <cfRule type="iconSet" priority="199">
      <iconSet iconSet="3Symbols" showValue="0">
        <cfvo type="percent" val="0"/>
        <cfvo type="num" val="0"/>
        <cfvo type="num" val="1"/>
      </iconSet>
    </cfRule>
  </conditionalFormatting>
  <conditionalFormatting sqref="I4:M4">
    <cfRule type="colorScale" priority="196">
      <colorScale>
        <cfvo type="min"/>
        <cfvo type="max"/>
        <color rgb="FFFFC7CE"/>
        <color rgb="FFC6EFCE"/>
      </colorScale>
    </cfRule>
    <cfRule type="iconSet" priority="197">
      <iconSet iconSet="3Symbols" showValue="0">
        <cfvo type="percent" val="0"/>
        <cfvo type="num" val="0"/>
        <cfvo type="num" val="1"/>
      </iconSet>
    </cfRule>
  </conditionalFormatting>
  <conditionalFormatting sqref="I6:M6">
    <cfRule type="colorScale" priority="194">
      <colorScale>
        <cfvo type="min"/>
        <cfvo type="max"/>
        <color rgb="FFFFC7CE"/>
        <color rgb="FFC6EFCE"/>
      </colorScale>
    </cfRule>
    <cfRule type="iconSet" priority="195">
      <iconSet iconSet="3Symbols" showValue="0">
        <cfvo type="percent" val="0"/>
        <cfvo type="num" val="0"/>
        <cfvo type="num" val="1"/>
      </iconSet>
    </cfRule>
  </conditionalFormatting>
  <conditionalFormatting sqref="I7:M7">
    <cfRule type="colorScale" priority="192">
      <colorScale>
        <cfvo type="min"/>
        <cfvo type="max"/>
        <color rgb="FFFFC7CE"/>
        <color rgb="FFC6EFCE"/>
      </colorScale>
    </cfRule>
    <cfRule type="iconSet" priority="193">
      <iconSet iconSet="3Symbols" showValue="0">
        <cfvo type="percent" val="0"/>
        <cfvo type="num" val="0"/>
        <cfvo type="num" val="1"/>
      </iconSet>
    </cfRule>
  </conditionalFormatting>
  <conditionalFormatting sqref="I8:M8">
    <cfRule type="colorScale" priority="190">
      <colorScale>
        <cfvo type="min"/>
        <cfvo type="max"/>
        <color rgb="FFFFC7CE"/>
        <color rgb="FFC6EFCE"/>
      </colorScale>
    </cfRule>
    <cfRule type="iconSet" priority="191">
      <iconSet iconSet="3Symbols" showValue="0">
        <cfvo type="percent" val="0"/>
        <cfvo type="num" val="0"/>
        <cfvo type="num" val="1"/>
      </iconSet>
    </cfRule>
  </conditionalFormatting>
  <conditionalFormatting sqref="I9:M9">
    <cfRule type="colorScale" priority="188">
      <colorScale>
        <cfvo type="min"/>
        <cfvo type="max"/>
        <color rgb="FFFFC7CE"/>
        <color rgb="FFC6EFCE"/>
      </colorScale>
    </cfRule>
    <cfRule type="iconSet" priority="189">
      <iconSet iconSet="3Symbols" showValue="0">
        <cfvo type="percent" val="0"/>
        <cfvo type="num" val="0"/>
        <cfvo type="num" val="1"/>
      </iconSet>
    </cfRule>
  </conditionalFormatting>
  <conditionalFormatting sqref="I10:M10">
    <cfRule type="colorScale" priority="186">
      <colorScale>
        <cfvo type="min"/>
        <cfvo type="max"/>
        <color rgb="FFFFC7CE"/>
        <color rgb="FFC6EFCE"/>
      </colorScale>
    </cfRule>
    <cfRule type="iconSet" priority="187">
      <iconSet iconSet="3Symbols" showValue="0">
        <cfvo type="percent" val="0"/>
        <cfvo type="num" val="0"/>
        <cfvo type="num" val="1"/>
      </iconSet>
    </cfRule>
  </conditionalFormatting>
  <conditionalFormatting sqref="F6">
    <cfRule type="colorScale" priority="184">
      <colorScale>
        <cfvo type="min"/>
        <cfvo type="max"/>
        <color rgb="FFFFC7CE"/>
        <color rgb="FFC6EFCE"/>
      </colorScale>
    </cfRule>
    <cfRule type="iconSet" priority="185">
      <iconSet iconSet="3Symbols" showValue="0">
        <cfvo type="percent" val="0"/>
        <cfvo type="num" val="0"/>
        <cfvo type="num" val="1"/>
      </iconSet>
    </cfRule>
  </conditionalFormatting>
  <conditionalFormatting sqref="G6">
    <cfRule type="colorScale" priority="182">
      <colorScale>
        <cfvo type="min"/>
        <cfvo type="max"/>
        <color rgb="FFFFC7CE"/>
        <color rgb="FFC6EFCE"/>
      </colorScale>
    </cfRule>
    <cfRule type="iconSet" priority="183">
      <iconSet iconSet="3Symbols" showValue="0">
        <cfvo type="percent" val="0"/>
        <cfvo type="num" val="0"/>
        <cfvo type="num" val="1"/>
      </iconSet>
    </cfRule>
  </conditionalFormatting>
  <conditionalFormatting sqref="G8">
    <cfRule type="colorScale" priority="180">
      <colorScale>
        <cfvo type="min"/>
        <cfvo type="max"/>
        <color rgb="FFFFC7CE"/>
        <color rgb="FFC6EFCE"/>
      </colorScale>
    </cfRule>
    <cfRule type="iconSet" priority="181">
      <iconSet iconSet="3Symbols" showValue="0">
        <cfvo type="percent" val="0"/>
        <cfvo type="num" val="0"/>
        <cfvo type="num" val="1"/>
      </iconSet>
    </cfRule>
  </conditionalFormatting>
  <conditionalFormatting sqref="F8">
    <cfRule type="colorScale" priority="176">
      <colorScale>
        <cfvo type="min"/>
        <cfvo type="max"/>
        <color rgb="FFFFC7CE"/>
        <color rgb="FFC6EFCE"/>
      </colorScale>
    </cfRule>
    <cfRule type="iconSet" priority="177">
      <iconSet iconSet="3Symbols" showValue="0">
        <cfvo type="percent" val="0"/>
        <cfvo type="num" val="0"/>
        <cfvo type="num" val="1"/>
      </iconSet>
    </cfRule>
  </conditionalFormatting>
  <conditionalFormatting sqref="G11">
    <cfRule type="colorScale" priority="174">
      <colorScale>
        <cfvo type="min"/>
        <cfvo type="max"/>
        <color rgb="FFFFC7CE"/>
        <color rgb="FFC6EFCE"/>
      </colorScale>
    </cfRule>
    <cfRule type="iconSet" priority="175">
      <iconSet iconSet="3Symbols" showValue="0">
        <cfvo type="percent" val="0"/>
        <cfvo type="num" val="0"/>
        <cfvo type="num" val="1"/>
      </iconSet>
    </cfRule>
  </conditionalFormatting>
  <conditionalFormatting sqref="N6">
    <cfRule type="colorScale" priority="172">
      <colorScale>
        <cfvo type="min"/>
        <cfvo type="max"/>
        <color rgb="FFFFC7CE"/>
        <color rgb="FFC6EFCE"/>
      </colorScale>
    </cfRule>
    <cfRule type="iconSet" priority="173">
      <iconSet iconSet="3Symbols" showValue="0">
        <cfvo type="percent" val="0"/>
        <cfvo type="num" val="0"/>
        <cfvo type="num" val="1"/>
      </iconSet>
    </cfRule>
  </conditionalFormatting>
  <conditionalFormatting sqref="N7">
    <cfRule type="colorScale" priority="170">
      <colorScale>
        <cfvo type="min"/>
        <cfvo type="max"/>
        <color rgb="FFFFC7CE"/>
        <color rgb="FFC6EFCE"/>
      </colorScale>
    </cfRule>
    <cfRule type="iconSet" priority="171">
      <iconSet iconSet="3Symbols" showValue="0">
        <cfvo type="percent" val="0"/>
        <cfvo type="num" val="0"/>
        <cfvo type="num" val="1"/>
      </iconSet>
    </cfRule>
  </conditionalFormatting>
  <conditionalFormatting sqref="M11">
    <cfRule type="colorScale" priority="168">
      <colorScale>
        <cfvo type="min"/>
        <cfvo type="max"/>
        <color rgb="FFFFC7CE"/>
        <color rgb="FFC6EFCE"/>
      </colorScale>
    </cfRule>
    <cfRule type="iconSet" priority="169">
      <iconSet iconSet="3Symbols" showValue="0">
        <cfvo type="percent" val="0"/>
        <cfvo type="num" val="0"/>
        <cfvo type="num" val="1"/>
      </iconSet>
    </cfRule>
  </conditionalFormatting>
  <conditionalFormatting sqref="M12">
    <cfRule type="colorScale" priority="166">
      <colorScale>
        <cfvo type="min"/>
        <cfvo type="max"/>
        <color rgb="FFFFC7CE"/>
        <color rgb="FFC6EFCE"/>
      </colorScale>
    </cfRule>
    <cfRule type="iconSet" priority="167">
      <iconSet iconSet="3Symbols" showValue="0">
        <cfvo type="percent" val="0"/>
        <cfvo type="num" val="0"/>
        <cfvo type="num" val="1"/>
      </iconSet>
    </cfRule>
  </conditionalFormatting>
  <conditionalFormatting sqref="L12">
    <cfRule type="colorScale" priority="164">
      <colorScale>
        <cfvo type="min"/>
        <cfvo type="max"/>
        <color rgb="FFFFC7CE"/>
        <color rgb="FFC6EFCE"/>
      </colorScale>
    </cfRule>
    <cfRule type="iconSet" priority="165">
      <iconSet iconSet="3Symbols" showValue="0">
        <cfvo type="percent" val="0"/>
        <cfvo type="num" val="0"/>
        <cfvo type="num" val="1"/>
      </iconSet>
    </cfRule>
  </conditionalFormatting>
  <conditionalFormatting sqref="K12">
    <cfRule type="colorScale" priority="162">
      <colorScale>
        <cfvo type="min"/>
        <cfvo type="max"/>
        <color rgb="FFFFC7CE"/>
        <color rgb="FFC6EFCE"/>
      </colorScale>
    </cfRule>
    <cfRule type="iconSet" priority="163">
      <iconSet iconSet="3Symbols" showValue="0">
        <cfvo type="percent" val="0"/>
        <cfvo type="num" val="0"/>
        <cfvo type="num" val="1"/>
      </iconSet>
    </cfRule>
  </conditionalFormatting>
  <conditionalFormatting sqref="J12">
    <cfRule type="colorScale" priority="160">
      <colorScale>
        <cfvo type="min"/>
        <cfvo type="max"/>
        <color rgb="FFFFC7CE"/>
        <color rgb="FFC6EFCE"/>
      </colorScale>
    </cfRule>
    <cfRule type="iconSet" priority="161">
      <iconSet iconSet="3Symbols" showValue="0">
        <cfvo type="percent" val="0"/>
        <cfvo type="num" val="0"/>
        <cfvo type="num" val="1"/>
      </iconSet>
    </cfRule>
  </conditionalFormatting>
  <conditionalFormatting sqref="I12">
    <cfRule type="colorScale" priority="158">
      <colorScale>
        <cfvo type="min"/>
        <cfvo type="max"/>
        <color rgb="FFFFC7CE"/>
        <color rgb="FFC6EFCE"/>
      </colorScale>
    </cfRule>
    <cfRule type="iconSet" priority="159">
      <iconSet iconSet="3Symbols" showValue="0">
        <cfvo type="percent" val="0"/>
        <cfvo type="num" val="0"/>
        <cfvo type="num" val="1"/>
      </iconSet>
    </cfRule>
  </conditionalFormatting>
  <conditionalFormatting sqref="M13">
    <cfRule type="colorScale" priority="156">
      <colorScale>
        <cfvo type="min"/>
        <cfvo type="max"/>
        <color rgb="FFFFC7CE"/>
        <color rgb="FFC6EFCE"/>
      </colorScale>
    </cfRule>
    <cfRule type="iconSet" priority="157">
      <iconSet iconSet="3Symbols" showValue="0">
        <cfvo type="percent" val="0"/>
        <cfvo type="num" val="0"/>
        <cfvo type="num" val="1"/>
      </iconSet>
    </cfRule>
  </conditionalFormatting>
  <conditionalFormatting sqref="M14">
    <cfRule type="colorScale" priority="154">
      <colorScale>
        <cfvo type="min"/>
        <cfvo type="max"/>
        <color rgb="FFFFC7CE"/>
        <color rgb="FFC6EFCE"/>
      </colorScale>
    </cfRule>
    <cfRule type="iconSet" priority="155">
      <iconSet iconSet="3Symbols" showValue="0">
        <cfvo type="percent" val="0"/>
        <cfvo type="num" val="0"/>
        <cfvo type="num" val="1"/>
      </iconSet>
    </cfRule>
  </conditionalFormatting>
  <conditionalFormatting sqref="M15:M19">
    <cfRule type="colorScale" priority="150">
      <colorScale>
        <cfvo type="min"/>
        <cfvo type="max"/>
        <color rgb="FFFFC7CE"/>
        <color rgb="FFC6EFCE"/>
      </colorScale>
    </cfRule>
    <cfRule type="iconSet" priority="151">
      <iconSet iconSet="3Symbols" showValue="0">
        <cfvo type="percent" val="0"/>
        <cfvo type="num" val="0"/>
        <cfvo type="num" val="1"/>
      </iconSet>
    </cfRule>
  </conditionalFormatting>
  <conditionalFormatting sqref="N22">
    <cfRule type="colorScale" priority="144">
      <colorScale>
        <cfvo type="min"/>
        <cfvo type="max"/>
        <color rgb="FFFFC7CE"/>
        <color rgb="FFC6EFCE"/>
      </colorScale>
    </cfRule>
    <cfRule type="iconSet" priority="145">
      <iconSet iconSet="3Symbols" showValue="0">
        <cfvo type="percent" val="0"/>
        <cfvo type="num" val="0"/>
        <cfvo type="num" val="1"/>
      </iconSet>
    </cfRule>
  </conditionalFormatting>
  <conditionalFormatting sqref="E22:H22">
    <cfRule type="colorScale" priority="142">
      <colorScale>
        <cfvo type="min"/>
        <cfvo type="max"/>
        <color rgb="FFFFC7CE"/>
        <color rgb="FFC6EFCE"/>
      </colorScale>
    </cfRule>
    <cfRule type="iconSet" priority="143">
      <iconSet iconSet="3Symbols" showValue="0">
        <cfvo type="percent" val="0"/>
        <cfvo type="num" val="0"/>
        <cfvo type="num" val="1"/>
      </iconSet>
    </cfRule>
  </conditionalFormatting>
  <conditionalFormatting sqref="I68:M68">
    <cfRule type="colorScale" priority="140">
      <colorScale>
        <cfvo type="min"/>
        <cfvo type="max"/>
        <color rgb="FFFFC7CE"/>
        <color rgb="FFC6EFCE"/>
      </colorScale>
    </cfRule>
    <cfRule type="iconSet" priority="141">
      <iconSet iconSet="3Symbols" showValue="0">
        <cfvo type="percent" val="0"/>
        <cfvo type="num" val="0"/>
        <cfvo type="num" val="1"/>
      </iconSet>
    </cfRule>
  </conditionalFormatting>
  <conditionalFormatting sqref="A68:C1048571 A1:C66">
    <cfRule type="expression" dxfId="118" priority="255" stopIfTrue="1">
      <formula>AND(COUNTIF($E1:$N1,"&lt;"&amp;"0")=0,COUNTIF($E1:$N1,"=")=0)</formula>
    </cfRule>
    <cfRule type="expression" dxfId="117" priority="285" stopIfTrue="1">
      <formula>$C1&lt;TODAY()</formula>
    </cfRule>
  </conditionalFormatting>
  <conditionalFormatting sqref="D1:D66 D68:D1048576">
    <cfRule type="expression" dxfId="116" priority="256" stopIfTrue="1">
      <formula>$O1=1</formula>
    </cfRule>
    <cfRule type="expression" dxfId="115" priority="257" stopIfTrue="1">
      <formula>$D1&lt;TODAY()</formula>
    </cfRule>
  </conditionalFormatting>
  <conditionalFormatting sqref="E45:O45">
    <cfRule type="colorScale" priority="1820">
      <colorScale>
        <cfvo type="min"/>
        <cfvo type="max"/>
        <color rgb="FFFFC7CE"/>
        <color rgb="FFC6EFCE"/>
      </colorScale>
    </cfRule>
    <cfRule type="iconSet" priority="1821">
      <iconSet iconSet="3Symbols" showValue="0">
        <cfvo type="percent" val="0"/>
        <cfvo type="num" val="0"/>
        <cfvo type="num" val="1"/>
      </iconSet>
    </cfRule>
  </conditionalFormatting>
  <conditionalFormatting sqref="I23:L23 I14:L21">
    <cfRule type="colorScale" priority="2841">
      <colorScale>
        <cfvo type="min"/>
        <cfvo type="max"/>
        <color rgb="FFFFC7CE"/>
        <color rgb="FFC6EFCE"/>
      </colorScale>
    </cfRule>
    <cfRule type="iconSet" priority="2842">
      <iconSet iconSet="3Symbols" showValue="0">
        <cfvo type="percent" val="0"/>
        <cfvo type="num" val="0"/>
        <cfvo type="num" val="1"/>
      </iconSet>
    </cfRule>
  </conditionalFormatting>
  <conditionalFormatting sqref="P68:AK1048576 Q36 R55:AK55 P56:AK66 P1:AK27 U28:AK28 R28:S28 R34:AK36 P30:AK30 Q29:AK32 P28:P32 P33:AK33 P41:AK54 R40:AK40 P40 P37:AK39 P35:AK35">
    <cfRule type="containsText" dxfId="114" priority="230" stopIfTrue="1" operator="containsText" text="RUN">
      <formula>NOT(ISERROR(SEARCH("RUN",P1)))</formula>
    </cfRule>
    <cfRule type="containsText" dxfId="113" priority="231" stopIfTrue="1" operator="containsText" text="WRITE">
      <formula>NOT(ISERROR(SEARCH("WRITE",P1)))</formula>
    </cfRule>
    <cfRule type="containsText" dxfId="112" priority="238" stopIfTrue="1" operator="containsText" text="DONE">
      <formula>NOT(ISERROR(SEARCH("DONE",P1)))</formula>
    </cfRule>
  </conditionalFormatting>
  <conditionalFormatting sqref="M21">
    <cfRule type="colorScale" priority="4479">
      <colorScale>
        <cfvo type="min"/>
        <cfvo type="max"/>
        <color rgb="FFFFC7CE"/>
        <color rgb="FFC6EFCE"/>
      </colorScale>
    </cfRule>
    <cfRule type="iconSet" priority="4480">
      <iconSet iconSet="3Symbols" showValue="0">
        <cfvo type="percent" val="0"/>
        <cfvo type="num" val="0"/>
        <cfvo type="num" val="1"/>
      </iconSet>
    </cfRule>
  </conditionalFormatting>
  <conditionalFormatting sqref="A67 C67">
    <cfRule type="expression" dxfId="111" priority="81" stopIfTrue="1">
      <formula>AND(COUNTIF($E67:$N67,"&lt;"&amp;"0")=0,COUNTIF($E67:$N67,"=")=0)</formula>
    </cfRule>
    <cfRule type="expression" dxfId="110" priority="84" stopIfTrue="1">
      <formula>$C67&lt;TODAY()</formula>
    </cfRule>
  </conditionalFormatting>
  <conditionalFormatting sqref="D67">
    <cfRule type="expression" dxfId="109" priority="82" stopIfTrue="1">
      <formula>$O67=1</formula>
    </cfRule>
    <cfRule type="expression" dxfId="108" priority="83" stopIfTrue="1">
      <formula>$D67&lt;TODAY()</formula>
    </cfRule>
  </conditionalFormatting>
  <conditionalFormatting sqref="E67:O67">
    <cfRule type="colorScale" priority="86">
      <colorScale>
        <cfvo type="min"/>
        <cfvo type="max"/>
        <color rgb="FFFFC7CE"/>
        <color rgb="FFC6EFCE"/>
      </colorScale>
    </cfRule>
    <cfRule type="iconSet" priority="87">
      <iconSet iconSet="3Symbols" showValue="0">
        <cfvo type="percent" val="0"/>
        <cfvo type="num" val="0"/>
        <cfvo type="num" val="1"/>
      </iconSet>
    </cfRule>
  </conditionalFormatting>
  <conditionalFormatting sqref="P67:AK67">
    <cfRule type="containsText" dxfId="107" priority="78" stopIfTrue="1" operator="containsText" text="RUN">
      <formula>NOT(ISERROR(SEARCH("RUN",P67)))</formula>
    </cfRule>
    <cfRule type="containsText" dxfId="106" priority="79" stopIfTrue="1" operator="containsText" text="WRITE">
      <formula>NOT(ISERROR(SEARCH("WRITE",P67)))</formula>
    </cfRule>
    <cfRule type="containsText" dxfId="105" priority="80" stopIfTrue="1" operator="containsText" text="DONE">
      <formula>NOT(ISERROR(SEARCH("DONE",P67)))</formula>
    </cfRule>
  </conditionalFormatting>
  <conditionalFormatting sqref="C1048573:C1048576">
    <cfRule type="expression" dxfId="104" priority="5131" stopIfTrue="1">
      <formula>AND(COUNTIF($E:$N,"&lt;"&amp;"0")=0,COUNTIF($E:$N,"=")=0)</formula>
    </cfRule>
    <cfRule type="expression" dxfId="103" priority="5132" stopIfTrue="1">
      <formula>AND($C1048573&lt;TODAY(),$C1048573&lt;&gt;"")</formula>
    </cfRule>
  </conditionalFormatting>
  <conditionalFormatting sqref="A1048573:C1048576">
    <cfRule type="expression" dxfId="102" priority="5135" stopIfTrue="1">
      <formula>AND(COUNTIF($E:$N,"&lt;"&amp;"0")=0,COUNTIF($E:$N,"=")=0)</formula>
    </cfRule>
    <cfRule type="expression" dxfId="101" priority="5136" stopIfTrue="1">
      <formula>$C1048573&lt;TODAY()</formula>
    </cfRule>
  </conditionalFormatting>
  <conditionalFormatting sqref="A44:B44">
    <cfRule type="expression" dxfId="100" priority="5923" stopIfTrue="1">
      <formula>AND(COUNTIF(#REF!,"&lt;"&amp;"0")=0,COUNTIF(#REF!,"=")=0)</formula>
    </cfRule>
    <cfRule type="expression" dxfId="99" priority="5924" stopIfTrue="1">
      <formula>AND(#REF!&lt;TODAY(),#REF!&lt;&gt;"")</formula>
    </cfRule>
  </conditionalFormatting>
  <conditionalFormatting sqref="Q28">
    <cfRule type="containsText" dxfId="98" priority="68" stopIfTrue="1" operator="containsText" text="RUN">
      <formula>NOT(ISERROR(SEARCH("RUN",Q28)))</formula>
    </cfRule>
    <cfRule type="containsText" dxfId="97" priority="69" stopIfTrue="1" operator="containsText" text="WRITE">
      <formula>NOT(ISERROR(SEARCH("WRITE",Q28)))</formula>
    </cfRule>
    <cfRule type="containsText" dxfId="96" priority="70" stopIfTrue="1" operator="containsText" text="DONE">
      <formula>NOT(ISERROR(SEARCH("DONE",Q28)))</formula>
    </cfRule>
  </conditionalFormatting>
  <conditionalFormatting sqref="I42:M42">
    <cfRule type="colorScale" priority="61">
      <colorScale>
        <cfvo type="min"/>
        <cfvo type="max"/>
        <color rgb="FFFFC7CE"/>
        <color rgb="FFC6EFCE"/>
      </colorScale>
    </cfRule>
    <cfRule type="iconSet" priority="62">
      <iconSet iconSet="3Symbols" showValue="0">
        <cfvo type="percent" val="0"/>
        <cfvo type="num" val="0"/>
        <cfvo type="num" val="1"/>
      </iconSet>
    </cfRule>
  </conditionalFormatting>
  <conditionalFormatting sqref="E42:H42 N42:O42">
    <cfRule type="colorScale" priority="63">
      <colorScale>
        <cfvo type="min"/>
        <cfvo type="max"/>
        <color rgb="FFFFC7CE"/>
        <color rgb="FFC6EFCE"/>
      </colorScale>
    </cfRule>
    <cfRule type="iconSet" priority="64">
      <iconSet iconSet="3Symbols" showValue="0">
        <cfvo type="percent" val="0"/>
        <cfvo type="num" val="0"/>
        <cfvo type="num" val="1"/>
      </iconSet>
    </cfRule>
  </conditionalFormatting>
  <conditionalFormatting sqref="S41">
    <cfRule type="containsText" dxfId="95" priority="52" stopIfTrue="1" operator="containsText" text="RUN">
      <formula>NOT(ISERROR(SEARCH("RUN",S41)))</formula>
    </cfRule>
    <cfRule type="containsText" dxfId="94" priority="53" stopIfTrue="1" operator="containsText" text="WRITE">
      <formula>NOT(ISERROR(SEARCH("WRITE",S41)))</formula>
    </cfRule>
    <cfRule type="containsText" dxfId="93" priority="54" stopIfTrue="1" operator="containsText" text="DONE">
      <formula>NOT(ISERROR(SEARCH("DONE",S41)))</formula>
    </cfRule>
  </conditionalFormatting>
  <conditionalFormatting sqref="Q41">
    <cfRule type="containsText" dxfId="92" priority="43" stopIfTrue="1" operator="containsText" text="RUN">
      <formula>NOT(ISERROR(SEARCH("RUN",Q41)))</formula>
    </cfRule>
    <cfRule type="containsText" dxfId="91" priority="44" stopIfTrue="1" operator="containsText" text="WRITE">
      <formula>NOT(ISERROR(SEARCH("WRITE",Q41)))</formula>
    </cfRule>
    <cfRule type="containsText" dxfId="90" priority="45" stopIfTrue="1" operator="containsText" text="DONE">
      <formula>NOT(ISERROR(SEARCH("DONE",Q41)))</formula>
    </cfRule>
  </conditionalFormatting>
  <conditionalFormatting sqref="P24">
    <cfRule type="containsText" dxfId="89" priority="40" stopIfTrue="1" operator="containsText" text="RUN">
      <formula>NOT(ISERROR(SEARCH("RUN",P24)))</formula>
    </cfRule>
    <cfRule type="containsText" dxfId="88" priority="41" stopIfTrue="1" operator="containsText" text="WRITE">
      <formula>NOT(ISERROR(SEARCH("WRITE",P24)))</formula>
    </cfRule>
    <cfRule type="containsText" dxfId="87" priority="42" stopIfTrue="1" operator="containsText" text="DONE">
      <formula>NOT(ISERROR(SEARCH("DONE",P24)))</formula>
    </cfRule>
  </conditionalFormatting>
  <conditionalFormatting sqref="R36">
    <cfRule type="containsText" dxfId="86" priority="34" stopIfTrue="1" operator="containsText" text="RUN">
      <formula>NOT(ISERROR(SEARCH("RUN",R36)))</formula>
    </cfRule>
    <cfRule type="containsText" dxfId="85" priority="35" stopIfTrue="1" operator="containsText" text="WRITE">
      <formula>NOT(ISERROR(SEARCH("WRITE",R36)))</formula>
    </cfRule>
    <cfRule type="containsText" dxfId="84" priority="36" stopIfTrue="1" operator="containsText" text="DONE">
      <formula>NOT(ISERROR(SEARCH("DONE",R36)))</formula>
    </cfRule>
  </conditionalFormatting>
  <conditionalFormatting sqref="T24">
    <cfRule type="containsText" dxfId="83" priority="31" stopIfTrue="1" operator="containsText" text="RUN">
      <formula>NOT(ISERROR(SEARCH("RUN",T24)))</formula>
    </cfRule>
    <cfRule type="containsText" dxfId="82" priority="32" stopIfTrue="1" operator="containsText" text="WRITE">
      <formula>NOT(ISERROR(SEARCH("WRITE",T24)))</formula>
    </cfRule>
    <cfRule type="containsText" dxfId="81" priority="33" stopIfTrue="1" operator="containsText" text="DONE">
      <formula>NOT(ISERROR(SEARCH("DONE",T24)))</formula>
    </cfRule>
  </conditionalFormatting>
  <conditionalFormatting sqref="I41:M41 I25:M27 I22:M22">
    <cfRule type="colorScale" priority="7521">
      <colorScale>
        <cfvo type="min"/>
        <cfvo type="max"/>
        <color rgb="FFFFC7CE"/>
        <color rgb="FFC6EFCE"/>
      </colorScale>
    </cfRule>
    <cfRule type="iconSet" priority="7522">
      <iconSet iconSet="3Symbols" showValue="0">
        <cfvo type="percent" val="0"/>
        <cfvo type="num" val="0"/>
        <cfvo type="num" val="1"/>
      </iconSet>
    </cfRule>
  </conditionalFormatting>
  <conditionalFormatting sqref="N68:O68 O22 E54:O64 E66:O66 E34:O34 E39:O39 E46:O50 E69:O1048576 E2:O3 E29:O29 E31:O32 E4:H4 N4:O4 E7:H7 E6 H6 E9:H10 E8 H8 E11:F11 H11:L11 O6:O7 E12:H12 E13:L13 M20:O20 M23:O23 N21:O21 E14:H21 E68:H68 N8:O19 E23:H23 E25:H27 E41:H41 N25:O27 N41:O41">
    <cfRule type="colorScale" priority="8028">
      <colorScale>
        <cfvo type="min"/>
        <cfvo type="max"/>
        <color rgb="FFFFC7CE"/>
        <color rgb="FFC6EFCE"/>
      </colorScale>
    </cfRule>
    <cfRule type="iconSet" priority="8029">
      <iconSet iconSet="3Symbols" showValue="0">
        <cfvo type="percent" val="0"/>
        <cfvo type="num" val="0"/>
        <cfvo type="num" val="1"/>
      </iconSet>
    </cfRule>
  </conditionalFormatting>
  <conditionalFormatting sqref="B67">
    <cfRule type="expression" dxfId="80" priority="25" stopIfTrue="1">
      <formula>AND(COUNTIF($E67:$N67,"&lt;"&amp;"0")=0,COUNTIF($E67:$N67,"=")=0)</formula>
    </cfRule>
    <cfRule type="expression" dxfId="79" priority="26" stopIfTrue="1">
      <formula>$C67&lt;TODAY()</formula>
    </cfRule>
  </conditionalFormatting>
  <conditionalFormatting sqref="S36">
    <cfRule type="containsText" dxfId="78" priority="19" stopIfTrue="1" operator="containsText" text="RUN">
      <formula>NOT(ISERROR(SEARCH("RUN",S36)))</formula>
    </cfRule>
    <cfRule type="containsText" dxfId="77" priority="20" stopIfTrue="1" operator="containsText" text="WRITE">
      <formula>NOT(ISERROR(SEARCH("WRITE",S36)))</formula>
    </cfRule>
    <cfRule type="containsText" dxfId="76" priority="21" stopIfTrue="1" operator="containsText" text="DONE">
      <formula>NOT(ISERROR(SEARCH("DONE",S36)))</formula>
    </cfRule>
  </conditionalFormatting>
  <conditionalFormatting sqref="R37">
    <cfRule type="containsText" dxfId="75" priority="16" stopIfTrue="1" operator="containsText" text="RUN">
      <formula>NOT(ISERROR(SEARCH("RUN",R37)))</formula>
    </cfRule>
    <cfRule type="containsText" dxfId="74" priority="17" stopIfTrue="1" operator="containsText" text="WRITE">
      <formula>NOT(ISERROR(SEARCH("WRITE",R37)))</formula>
    </cfRule>
    <cfRule type="containsText" dxfId="73" priority="18" stopIfTrue="1" operator="containsText" text="DONE">
      <formula>NOT(ISERROR(SEARCH("DONE",R37)))</formula>
    </cfRule>
  </conditionalFormatting>
  <conditionalFormatting sqref="Q34:Q36">
    <cfRule type="containsText" dxfId="72" priority="10" stopIfTrue="1" operator="containsText" text="RUN">
      <formula>NOT(ISERROR(SEARCH("RUN",Q34)))</formula>
    </cfRule>
    <cfRule type="containsText" dxfId="71" priority="11" stopIfTrue="1" operator="containsText" text="WRITE">
      <formula>NOT(ISERROR(SEARCH("WRITE",Q34)))</formula>
    </cfRule>
    <cfRule type="containsText" dxfId="70" priority="12" stopIfTrue="1" operator="containsText" text="DONE">
      <formula>NOT(ISERROR(SEARCH("DONE",Q34)))</formula>
    </cfRule>
  </conditionalFormatting>
  <conditionalFormatting sqref="E65:O65 E28:O28 E37:O38 E35:O35 E40:O40 E30:O30 E43:O44">
    <cfRule type="colorScale" priority="9963">
      <colorScale>
        <cfvo type="min"/>
        <cfvo type="max"/>
        <color rgb="FFFFC7CE"/>
        <color rgb="FFC6EFCE"/>
      </colorScale>
    </cfRule>
    <cfRule type="iconSet" priority="9964">
      <iconSet iconSet="3Symbols" showValue="0">
        <cfvo type="percent" val="0"/>
        <cfvo type="num" val="0"/>
        <cfvo type="num" val="1"/>
      </iconSet>
    </cfRule>
  </conditionalFormatting>
  <conditionalFormatting sqref="P36">
    <cfRule type="containsText" dxfId="69" priority="7" stopIfTrue="1" operator="containsText" text="RUN">
      <formula>NOT(ISERROR(SEARCH("RUN",P36)))</formula>
    </cfRule>
    <cfRule type="containsText" dxfId="68" priority="8" stopIfTrue="1" operator="containsText" text="WRITE">
      <formula>NOT(ISERROR(SEARCH("WRITE",P36)))</formula>
    </cfRule>
    <cfRule type="containsText" dxfId="67" priority="9" stopIfTrue="1" operator="containsText" text="DONE">
      <formula>NOT(ISERROR(SEARCH("DONE",P36)))</formula>
    </cfRule>
  </conditionalFormatting>
  <conditionalFormatting sqref="P34:P36">
    <cfRule type="containsText" dxfId="66" priority="4" stopIfTrue="1" operator="containsText" text="RUN">
      <formula>NOT(ISERROR(SEARCH("RUN",P34)))</formula>
    </cfRule>
    <cfRule type="containsText" dxfId="65" priority="5" stopIfTrue="1" operator="containsText" text="WRITE">
      <formula>NOT(ISERROR(SEARCH("WRITE",P34)))</formula>
    </cfRule>
    <cfRule type="containsText" dxfId="64" priority="6" stopIfTrue="1" operator="containsText" text="DONE">
      <formula>NOT(ISERROR(SEARCH("DONE",P34)))</formula>
    </cfRule>
  </conditionalFormatting>
  <conditionalFormatting sqref="P37">
    <cfRule type="containsText" dxfId="63" priority="1" stopIfTrue="1" operator="containsText" text="RUN">
      <formula>NOT(ISERROR(SEARCH("RUN",P37)))</formula>
    </cfRule>
    <cfRule type="containsText" dxfId="62" priority="2" stopIfTrue="1" operator="containsText" text="WRITE">
      <formula>NOT(ISERROR(SEARCH("WRITE",P37)))</formula>
    </cfRule>
    <cfRule type="containsText" dxfId="61" priority="3" stopIfTrue="1" operator="containsText" text="DONE">
      <formula>NOT(ISERROR(SEARCH("DONE",P37)))</formula>
    </cfRule>
  </conditionalFormatting>
  <conditionalFormatting sqref="E36:O36 E33:O33 E24:O24">
    <cfRule type="colorScale" priority="11218">
      <colorScale>
        <cfvo type="min"/>
        <cfvo type="max"/>
        <color rgb="FFFFC7CE"/>
        <color rgb="FFC6EFCE"/>
      </colorScale>
    </cfRule>
    <cfRule type="iconSet" priority="11219">
      <iconSet iconSet="3Symbols" showValue="0">
        <cfvo type="percent" val="0"/>
        <cfvo type="num" val="0"/>
        <cfvo type="num" val="1"/>
      </iconSet>
    </cfRule>
  </conditionalFormatting>
  <conditionalFormatting sqref="C1048572">
    <cfRule type="expression" dxfId="54" priority="11526" stopIfTrue="1">
      <formula>AND(COUNTIF($E1048572:$N1048576,"&lt;"&amp;"0")=0,COUNTIF($E1048572:$N1048576,"=")=0)</formula>
    </cfRule>
    <cfRule type="expression" dxfId="53" priority="11527" stopIfTrue="1">
      <formula>AND($C1048572&lt;TODAY(),$C1048572&lt;&gt;"")</formula>
    </cfRule>
  </conditionalFormatting>
  <conditionalFormatting sqref="A1048572:C1048572">
    <cfRule type="expression" dxfId="52" priority="11528" stopIfTrue="1">
      <formula>AND(COUNTIF($E1048572:$N1048576,"&lt;"&amp;"0")=0,COUNTIF($E1048572:$N1048576,"=")=0)</formula>
    </cfRule>
    <cfRule type="expression" dxfId="51" priority="11529" stopIfTrue="1">
      <formula>$C1048572&lt;TODAY()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86" stopIfTrue="1" id="{00000000-000E-0000-0000-000003000000}">
            <xm:f>$C1&lt;(TODAY()-INDEX('Analysis Steps'!$I$2:$I$11,MATCH(XFD1,'Analysis Steps'!$A$2:$A$11,0)))</xm:f>
            <x14:dxf>
              <fill>
                <patternFill>
                  <bgColor rgb="FFFFC000"/>
                </patternFill>
              </fill>
            </x14:dxf>
          </x14:cfRule>
          <xm:sqref>B39:C66 A1:C38 B68:C1048576 A39:A1048576</xm:sqref>
        </x14:conditionalFormatting>
        <x14:conditionalFormatting xmlns:xm="http://schemas.microsoft.com/office/excel/2006/main">
          <x14:cfRule type="expression" priority="1568" stopIfTrue="1" id="{970140F7-9AB7-45DD-818C-139F6372FD4D}">
            <xm:f>$C28&lt;(TODAY()-INDEX('Analysis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A65 A43 A28 A30 A40 A37:A38 A35</xm:sqref>
        </x14:conditionalFormatting>
        <x14:conditionalFormatting xmlns:xm="http://schemas.microsoft.com/office/excel/2006/main">
          <x14:cfRule type="expression" priority="1569" stopIfTrue="1" id="{00000000-000E-0000-0000-000003000000}">
            <xm:f>$C46&lt;(TODAY()-INDEX('Analysis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A70:A81 A66 A46 A54:A64</xm:sqref>
        </x14:conditionalFormatting>
        <x14:conditionalFormatting xmlns:xm="http://schemas.microsoft.com/office/excel/2006/main">
          <x14:cfRule type="expression" priority="85" stopIfTrue="1" id="{53A98D5D-0AA4-4278-8ECE-1919CE57C112}">
            <xm:f>$C67&lt;(TODAY()-INDEX('Analysis Steps'!$I$2:$I$11,MATCH(B67,'Analysis Steps'!$A$2:$A$11,0)))</xm:f>
            <x14:dxf>
              <fill>
                <patternFill>
                  <bgColor rgb="FFFFC000"/>
                </patternFill>
              </fill>
            </x14:dxf>
          </x14:cfRule>
          <xm:sqref>C67</xm:sqref>
        </x14:conditionalFormatting>
        <x14:conditionalFormatting xmlns:xm="http://schemas.microsoft.com/office/excel/2006/main">
          <x14:cfRule type="expression" priority="5939" stopIfTrue="1" id="{653B5EF8-54AF-445F-8748-AF162A01CBAD}">
            <xm:f>#REF!&lt;(TODAY()-INDEX('Analysis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A44:B44</xm:sqref>
        </x14:conditionalFormatting>
        <x14:conditionalFormatting xmlns:xm="http://schemas.microsoft.com/office/excel/2006/main">
          <x14:cfRule type="expression" priority="27" stopIfTrue="1" id="{F3C3185B-223C-4DCA-A271-EA9CC365E54E}">
            <xm:f>$C67&lt;(TODAY()-INDEX('Analysis Steps'!$I$2:$I$11,MATCH(A67,'Analysis Steps'!$A$2:$A$11,0)))</xm:f>
            <x14:dxf>
              <fill>
                <patternFill>
                  <bgColor rgb="FFFFC000"/>
                </patternFill>
              </fill>
            </x14:dxf>
          </x14:cfRule>
          <xm:sqref>B67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9C6580-AA64-4325-BE73-84D836DC8E08}">
          <x14:formula1>
            <xm:f>'Analysis Steps'!$K$2:$K$4</xm:f>
          </x14:formula1>
          <xm:sqref>E39:O1048576 E2:O38</xm:sqref>
        </x14:dataValidation>
        <x14:dataValidation type="list" allowBlank="1" showInputMessage="1" showErrorMessage="1" xr:uid="{FC285DB4-035A-4D19-9E11-F61C51C1766D}">
          <x14:formula1>
            <xm:f>'Analysis Steps'!$A$2:$A$11</xm:f>
          </x14:formula1>
          <xm:sqref>B39:B1048576 B2:B38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320C-F949-4BCC-B9CB-5AB1261098C5}">
  <dimension ref="A1:AS104"/>
  <sheetViews>
    <sheetView topLeftCell="G10" zoomScale="80" zoomScaleNormal="80" workbookViewId="0">
      <selection activeCell="M37" sqref="M37"/>
    </sheetView>
  </sheetViews>
  <sheetFormatPr defaultRowHeight="14.4" x14ac:dyDescent="0.3"/>
  <cols>
    <col min="1" max="1" width="24.77734375" customWidth="1"/>
    <col min="2" max="2" width="13.6640625" bestFit="1" customWidth="1"/>
    <col min="3" max="3" width="11.33203125" customWidth="1"/>
    <col min="4" max="5" width="11.88671875" customWidth="1"/>
    <col min="6" max="6" width="11.33203125" customWidth="1"/>
    <col min="7" max="7" width="9.77734375" bestFit="1" customWidth="1"/>
    <col min="8" max="8" width="19.21875" bestFit="1" customWidth="1"/>
    <col min="9" max="9" width="13.6640625" bestFit="1" customWidth="1"/>
    <col min="10" max="10" width="11.6640625" bestFit="1" customWidth="1"/>
    <col min="11" max="11" width="12.109375" bestFit="1" customWidth="1"/>
    <col min="12" max="12" width="12.109375" customWidth="1"/>
    <col min="13" max="13" width="14.88671875" bestFit="1" customWidth="1"/>
    <col min="14" max="14" width="9.77734375" bestFit="1" customWidth="1"/>
    <col min="15" max="15" width="19.21875" bestFit="1" customWidth="1"/>
    <col min="16" max="16" width="15.5546875" bestFit="1" customWidth="1"/>
    <col min="17" max="17" width="11.33203125" bestFit="1" customWidth="1"/>
    <col min="18" max="18" width="11.88671875" bestFit="1" customWidth="1"/>
    <col min="19" max="19" width="10.5546875" bestFit="1" customWidth="1"/>
    <col min="20" max="20" width="11.33203125" bestFit="1" customWidth="1"/>
    <col min="21" max="21" width="9.77734375" bestFit="1" customWidth="1"/>
    <col min="22" max="22" width="19.6640625" bestFit="1" customWidth="1"/>
    <col min="23" max="23" width="9.6640625" bestFit="1" customWidth="1"/>
    <col min="24" max="24" width="11.44140625" bestFit="1" customWidth="1"/>
    <col min="25" max="25" width="11.88671875" bestFit="1" customWidth="1"/>
    <col min="26" max="26" width="10.5546875" bestFit="1" customWidth="1"/>
    <col min="27" max="27" width="11.33203125" bestFit="1" customWidth="1"/>
    <col min="28" max="28" width="9.77734375" bestFit="1" customWidth="1"/>
    <col min="29" max="29" width="19.6640625" bestFit="1" customWidth="1"/>
    <col min="30" max="30" width="10.5546875" bestFit="1" customWidth="1"/>
    <col min="31" max="31" width="11.44140625" bestFit="1" customWidth="1"/>
    <col min="32" max="32" width="11.88671875" bestFit="1" customWidth="1"/>
    <col min="33" max="33" width="10" bestFit="1" customWidth="1"/>
    <col min="34" max="34" width="12.21875" bestFit="1" customWidth="1"/>
    <col min="35" max="35" width="9.77734375" bestFit="1" customWidth="1"/>
  </cols>
  <sheetData>
    <row r="1" spans="1:35" s="166" customFormat="1" x14ac:dyDescent="0.3">
      <c r="A1" s="166" t="s">
        <v>556</v>
      </c>
      <c r="F1" s="166">
        <v>11</v>
      </c>
      <c r="H1" s="166" t="s">
        <v>557</v>
      </c>
      <c r="M1" s="166">
        <v>19</v>
      </c>
      <c r="O1" s="166" t="s">
        <v>555</v>
      </c>
      <c r="T1" s="166">
        <v>28</v>
      </c>
      <c r="V1" s="166" t="s">
        <v>1093</v>
      </c>
      <c r="AA1" s="166" t="s">
        <v>1083</v>
      </c>
      <c r="AC1" s="166" t="s">
        <v>1122</v>
      </c>
      <c r="AH1" s="166" t="s">
        <v>1127</v>
      </c>
    </row>
    <row r="2" spans="1:35" ht="25.8" x14ac:dyDescent="0.5">
      <c r="A2" s="103" t="s">
        <v>398</v>
      </c>
      <c r="B2" s="104" t="s">
        <v>396</v>
      </c>
      <c r="C2" s="104" t="s">
        <v>489</v>
      </c>
      <c r="D2" s="104" t="s">
        <v>397</v>
      </c>
      <c r="E2" s="104" t="s">
        <v>494</v>
      </c>
      <c r="F2" s="105" t="s">
        <v>491</v>
      </c>
      <c r="G2" s="172" t="s">
        <v>558</v>
      </c>
      <c r="H2" s="103" t="s">
        <v>398</v>
      </c>
      <c r="I2" s="104" t="s">
        <v>396</v>
      </c>
      <c r="J2" s="104" t="s">
        <v>489</v>
      </c>
      <c r="K2" s="104" t="s">
        <v>397</v>
      </c>
      <c r="L2" s="104" t="s">
        <v>494</v>
      </c>
      <c r="M2" s="105" t="s">
        <v>491</v>
      </c>
      <c r="N2" s="172" t="s">
        <v>558</v>
      </c>
      <c r="O2" s="103" t="s">
        <v>398</v>
      </c>
      <c r="P2" s="104" t="s">
        <v>396</v>
      </c>
      <c r="Q2" s="104" t="s">
        <v>489</v>
      </c>
      <c r="R2" s="104" t="s">
        <v>397</v>
      </c>
      <c r="S2" s="104" t="s">
        <v>494</v>
      </c>
      <c r="T2" s="105" t="s">
        <v>491</v>
      </c>
      <c r="U2" s="172" t="s">
        <v>558</v>
      </c>
      <c r="V2" s="103" t="s">
        <v>398</v>
      </c>
      <c r="W2" s="104" t="s">
        <v>396</v>
      </c>
      <c r="X2" s="104" t="s">
        <v>489</v>
      </c>
      <c r="Y2" s="104" t="s">
        <v>397</v>
      </c>
      <c r="Z2" s="104" t="s">
        <v>494</v>
      </c>
      <c r="AA2" s="105" t="s">
        <v>491</v>
      </c>
      <c r="AB2" s="172" t="s">
        <v>558</v>
      </c>
      <c r="AC2" s="103" t="s">
        <v>398</v>
      </c>
      <c r="AD2" s="104" t="s">
        <v>396</v>
      </c>
      <c r="AE2" s="104" t="s">
        <v>489</v>
      </c>
      <c r="AF2" s="104" t="s">
        <v>397</v>
      </c>
      <c r="AG2" s="104" t="s">
        <v>494</v>
      </c>
      <c r="AH2" s="105" t="s">
        <v>491</v>
      </c>
      <c r="AI2" s="172" t="s">
        <v>558</v>
      </c>
    </row>
    <row r="3" spans="1:35" ht="25.8" x14ac:dyDescent="0.5">
      <c r="A3" s="106" t="str">
        <f t="shared" ref="A3:A11" si="0">H3</f>
        <v>Canu</v>
      </c>
      <c r="B3" s="165">
        <f>'C contig'!BK4</f>
        <v>0.1663288920648085</v>
      </c>
      <c r="C3" s="162">
        <f>'C Kmer'!AS4</f>
        <v>1</v>
      </c>
      <c r="D3" s="164">
        <f>'C Busco'!CV4</f>
        <v>0.4852638881455576</v>
      </c>
      <c r="E3" s="164">
        <f>'C LAI'!AI4</f>
        <v>0.52614379084967322</v>
      </c>
      <c r="F3" s="159">
        <f>IFERROR(AVERAGE(B3:E3),"")</f>
        <v>0.54443414276500979</v>
      </c>
      <c r="G3" s="173">
        <f>IFERROR(RANK(F3,F$3:F$11),"")</f>
        <v>4</v>
      </c>
      <c r="H3" s="106" t="str">
        <f>'C Kmer'!V4</f>
        <v>Canu</v>
      </c>
      <c r="I3" s="156">
        <f>'C contig'!BL4</f>
        <v>9.9396664992880496E-2</v>
      </c>
      <c r="J3" s="157">
        <f>'C Kmer'!AT4</f>
        <v>1</v>
      </c>
      <c r="K3" s="158">
        <f>'C Busco'!CW4</f>
        <v>0.58719040229004194</v>
      </c>
      <c r="L3" s="158">
        <f>'C LAI'!AJ4</f>
        <v>0.5056179775280899</v>
      </c>
      <c r="M3" s="159">
        <f>IFERROR(AVERAGE(I3:L3),"")</f>
        <v>0.54805126120275316</v>
      </c>
      <c r="N3" s="173">
        <f>IFERROR(RANK(M3,M$3:M$11),"")</f>
        <v>4</v>
      </c>
      <c r="O3" s="106" t="str">
        <f t="shared" ref="O3:O11" si="1">H3</f>
        <v>Canu</v>
      </c>
      <c r="P3" s="156">
        <f>'C contig'!BM4</f>
        <v>0.12567387881055006</v>
      </c>
      <c r="Q3" s="157">
        <f>'C Kmer'!AU4</f>
        <v>1</v>
      </c>
      <c r="R3" s="158">
        <f>'C Busco'!CX4</f>
        <v>0.58431488709303014</v>
      </c>
      <c r="S3" s="158">
        <f>'C LAI'!AK4</f>
        <v>0.48627450980392145</v>
      </c>
      <c r="T3" s="159">
        <f>IFERROR(AVERAGE(P3:S3),"")</f>
        <v>0.54906581892687545</v>
      </c>
      <c r="U3" s="173">
        <f>IFERROR(RANK(T3,T$3:T$11),"")</f>
        <v>4</v>
      </c>
      <c r="V3" s="106" t="str">
        <f t="shared" ref="V3:V11" si="2">O3</f>
        <v>Canu</v>
      </c>
      <c r="W3" s="156">
        <f>'C contig'!BN4</f>
        <v>0.54526788932031711</v>
      </c>
      <c r="X3" s="157">
        <f>'C Kmer'!AV4</f>
        <v>1</v>
      </c>
      <c r="Y3" s="158">
        <f>'C Busco'!CY4</f>
        <v>0.70177103674414831</v>
      </c>
      <c r="Z3" s="158">
        <f>'C LAI'!AL4</f>
        <v>0.455471960184469</v>
      </c>
      <c r="AA3" s="159">
        <f>IFERROR(AVERAGE(W3:Z3),"")</f>
        <v>0.67562772156223361</v>
      </c>
      <c r="AB3" s="173">
        <f>IFERROR(RANK(AA3,AA$3:AA$11),"")</f>
        <v>2</v>
      </c>
      <c r="AC3" s="106" t="str">
        <f t="shared" ref="AC3:AC11" si="3">V3</f>
        <v>Canu</v>
      </c>
      <c r="AD3" s="156">
        <f>'C contig'!BO4</f>
        <v>0.53100205688754532</v>
      </c>
      <c r="AE3" s="157">
        <f>'C Kmer'!AW4</f>
        <v>1</v>
      </c>
      <c r="AF3" s="158">
        <f>'C Busco'!CZ4</f>
        <v>0.71623536334215943</v>
      </c>
      <c r="AG3" s="158">
        <f>'C LAI'!AM4</f>
        <v>0.51829048713120141</v>
      </c>
      <c r="AH3" s="159">
        <f>IFERROR(AVERAGE(AD3:AG3),"")</f>
        <v>0.69138197684022651</v>
      </c>
      <c r="AI3" s="173">
        <f>IFERROR(RANK(AH3,AH$3:AH$11),"")</f>
        <v>3</v>
      </c>
    </row>
    <row r="4" spans="1:35" ht="25.8" x14ac:dyDescent="0.5">
      <c r="A4" s="106" t="str">
        <f t="shared" si="0"/>
        <v>DipAsm</v>
      </c>
      <c r="B4" t="str">
        <f>'C contig'!BK5</f>
        <v/>
      </c>
      <c r="C4" t="str">
        <f>'C Kmer'!AS5</f>
        <v/>
      </c>
      <c r="D4" t="str">
        <f>'C Busco'!CV5</f>
        <v/>
      </c>
      <c r="E4" t="str">
        <f>'C LAI'!AI5</f>
        <v/>
      </c>
      <c r="F4" s="159"/>
      <c r="G4" s="173" t="str">
        <f t="shared" ref="G4:G11" si="4">IFERROR(RANK(F4,F$3:F$11),"")</f>
        <v/>
      </c>
      <c r="H4" s="106" t="str">
        <f>'C Kmer'!V5</f>
        <v>DipAsm</v>
      </c>
      <c r="I4" s="156" t="str">
        <f>'C contig'!BL5</f>
        <v/>
      </c>
      <c r="J4" s="157" t="str">
        <f>'C Kmer'!AT5</f>
        <v/>
      </c>
      <c r="K4" s="158" t="str">
        <f>'C Busco'!CW5</f>
        <v/>
      </c>
      <c r="L4" s="158" t="str">
        <f>'C LAI'!AJ5</f>
        <v/>
      </c>
      <c r="M4" s="159"/>
      <c r="N4" s="173" t="str">
        <f t="shared" ref="N4:N11" si="5">IFERROR(RANK(M4,M$3:M$11),"")</f>
        <v/>
      </c>
      <c r="O4" s="106" t="str">
        <f t="shared" si="1"/>
        <v>DipAsm</v>
      </c>
      <c r="P4" s="156">
        <f>'C contig'!BM5</f>
        <v>9.5023279968734276E-2</v>
      </c>
      <c r="Q4" s="157">
        <f>'C Kmer'!AU5</f>
        <v>0.64037825893943356</v>
      </c>
      <c r="R4" s="158">
        <f>'C Busco'!CX5</f>
        <v>0.91801334328567741</v>
      </c>
      <c r="S4" s="158">
        <f>'C LAI'!AK5</f>
        <v>0.47705454546470083</v>
      </c>
      <c r="T4" s="159">
        <f t="shared" ref="T4:T11" si="6">IFERROR(AVERAGE(P4:S4),"")</f>
        <v>0.53261735691463652</v>
      </c>
      <c r="U4" s="173">
        <f t="shared" ref="U4:U11" si="7">IFERROR(RANK(T4,T$3:T$11),"")</f>
        <v>5</v>
      </c>
      <c r="V4" s="106" t="str">
        <f t="shared" si="2"/>
        <v>DipAsm</v>
      </c>
      <c r="W4" s="156">
        <f>'C contig'!BN5</f>
        <v>6.1637448250915654E-2</v>
      </c>
      <c r="X4" s="157">
        <f>'C Kmer'!AV5</f>
        <v>0.63199505266250811</v>
      </c>
      <c r="Y4" s="158">
        <f>'C Busco'!CY5</f>
        <v>0.70199999999999996</v>
      </c>
      <c r="Z4" s="158">
        <f>'C LAI'!AL5</f>
        <v>0.45833333333333331</v>
      </c>
      <c r="AA4" s="159">
        <f t="shared" ref="AA4:AA11" si="8">IFERROR(AVERAGE(W4:Z4),"")</f>
        <v>0.46349145856168922</v>
      </c>
      <c r="AB4" s="173">
        <f t="shared" ref="AB4:AB11" si="9">IFERROR(RANK(AA4,AA$3:AA$11),"")</f>
        <v>6</v>
      </c>
      <c r="AC4" s="106" t="str">
        <f t="shared" si="3"/>
        <v>DipAsm</v>
      </c>
      <c r="AD4" s="156">
        <f>'C contig'!BO5</f>
        <v>0.20669588708640646</v>
      </c>
      <c r="AE4" s="157">
        <f>'C Kmer'!AW5</f>
        <v>0.6348497400321782</v>
      </c>
      <c r="AF4" s="158">
        <f>'C Busco'!CZ5</f>
        <v>0.71666666666666656</v>
      </c>
      <c r="AG4" s="158">
        <f>'C LAI'!AM5</f>
        <v>0.50877192982456154</v>
      </c>
      <c r="AH4" s="159">
        <f t="shared" ref="AH4:AH11" si="10">IFERROR(AVERAGE(AD4:AG4),"")</f>
        <v>0.51674605590245315</v>
      </c>
      <c r="AI4" s="173">
        <f t="shared" ref="AI4:AI11" si="11">IFERROR(RANK(AH4,AH$3:AH$11),"")</f>
        <v>6</v>
      </c>
    </row>
    <row r="5" spans="1:35" ht="25.8" x14ac:dyDescent="0.5">
      <c r="A5" s="106" t="str">
        <f t="shared" si="0"/>
        <v>flye</v>
      </c>
      <c r="B5" s="165">
        <f>'C contig'!BK6</f>
        <v>1.1899956227809932E-2</v>
      </c>
      <c r="C5" s="162">
        <f>'C Kmer'!AS6</f>
        <v>0.69617777686631233</v>
      </c>
      <c r="D5" s="164">
        <f>'C Busco'!CV6</f>
        <v>0.52759764949508947</v>
      </c>
      <c r="E5" s="164">
        <f>'C LAI'!AI6</f>
        <v>0.42428618433018955</v>
      </c>
      <c r="F5" s="159">
        <f t="shared" ref="F5:F11" si="12">IFERROR(AVERAGE(B5:E5),"")</f>
        <v>0.41499039172985031</v>
      </c>
      <c r="G5" s="173">
        <f t="shared" si="4"/>
        <v>7</v>
      </c>
      <c r="H5" s="106" t="str">
        <f>'C Kmer'!V6</f>
        <v>flye</v>
      </c>
      <c r="I5" s="156">
        <f>'C contig'!BL6</f>
        <v>4.7784519092012381E-2</v>
      </c>
      <c r="J5" s="157">
        <f>'C Kmer'!AT6</f>
        <v>0.76096078450663218</v>
      </c>
      <c r="K5" s="158">
        <f>'C Busco'!CW6</f>
        <v>0.52719833393285853</v>
      </c>
      <c r="L5" s="158">
        <f>'C LAI'!AJ6</f>
        <v>0.49218631226033893</v>
      </c>
      <c r="M5" s="159">
        <f t="shared" ref="M5:M11" si="13">IFERROR(AVERAGE(I5:L5),"")</f>
        <v>0.45703248744796049</v>
      </c>
      <c r="N5" s="173">
        <f t="shared" si="5"/>
        <v>5</v>
      </c>
      <c r="O5" s="106" t="str">
        <f t="shared" si="1"/>
        <v>flye</v>
      </c>
      <c r="P5" s="156">
        <f>'C contig'!BM6</f>
        <v>7.2497206006225015E-2</v>
      </c>
      <c r="Q5" s="157">
        <f>'C Kmer'!AU6</f>
        <v>0.7633585868154944</v>
      </c>
      <c r="R5" s="158">
        <f>'C Busco'!CX6</f>
        <v>0.50635103619875266</v>
      </c>
      <c r="S5" s="158">
        <f>'C LAI'!AK6</f>
        <v>0.47276271728118496</v>
      </c>
      <c r="T5" s="159">
        <f t="shared" si="6"/>
        <v>0.45374238657541427</v>
      </c>
      <c r="U5" s="173">
        <f t="shared" si="7"/>
        <v>6</v>
      </c>
      <c r="V5" s="106" t="str">
        <f t="shared" si="2"/>
        <v>flye</v>
      </c>
      <c r="W5" s="156">
        <f>'C contig'!BN6</f>
        <v>0.32981572306378681</v>
      </c>
      <c r="X5" s="157">
        <f>'C Kmer'!AV6</f>
        <v>0.76547603300372735</v>
      </c>
      <c r="Y5" s="158">
        <f>'C Busco'!CY6</f>
        <v>0.68123241336649953</v>
      </c>
      <c r="Z5" s="158">
        <f>'C LAI'!AL6</f>
        <v>0.4939863166714194</v>
      </c>
      <c r="AA5" s="159">
        <f t="shared" si="8"/>
        <v>0.56762762152635826</v>
      </c>
      <c r="AB5" s="173">
        <f t="shared" si="9"/>
        <v>5</v>
      </c>
      <c r="AC5" s="106" t="str">
        <f t="shared" si="3"/>
        <v>flye</v>
      </c>
      <c r="AD5" s="156">
        <f>'C contig'!BO6</f>
        <v>0.27965291873362591</v>
      </c>
      <c r="AE5" s="157">
        <f>'C Kmer'!AW6</f>
        <v>0.76481865629327184</v>
      </c>
      <c r="AF5" s="158">
        <f>'C Busco'!CZ6</f>
        <v>0.68200176522506617</v>
      </c>
      <c r="AG5" s="158">
        <f>'C LAI'!AM6</f>
        <v>0.55042588535476722</v>
      </c>
      <c r="AH5" s="159">
        <f t="shared" si="10"/>
        <v>0.56922480640168271</v>
      </c>
      <c r="AI5" s="173">
        <f t="shared" si="11"/>
        <v>5</v>
      </c>
    </row>
    <row r="6" spans="1:35" ht="25.8" x14ac:dyDescent="0.5">
      <c r="A6" s="106" t="str">
        <f t="shared" si="0"/>
        <v>hifiasm</v>
      </c>
      <c r="B6" s="165">
        <f>'C contig'!BK7</f>
        <v>0.7839175159501337</v>
      </c>
      <c r="C6" s="162">
        <f>'C Kmer'!AS7</f>
        <v>0.8742502201640886</v>
      </c>
      <c r="D6" s="164">
        <f>'C Busco'!CV7</f>
        <v>0.87129908193625705</v>
      </c>
      <c r="E6" s="164">
        <f>'C LAI'!AI7</f>
        <v>0.62808302432861896</v>
      </c>
      <c r="F6" s="159">
        <f t="shared" si="12"/>
        <v>0.78938746059477449</v>
      </c>
      <c r="G6" s="173">
        <f t="shared" si="4"/>
        <v>1</v>
      </c>
      <c r="H6" s="106" t="str">
        <f>'C Kmer'!V7</f>
        <v>hifiasm</v>
      </c>
      <c r="I6" s="156">
        <f>'C contig'!BL7</f>
        <v>1</v>
      </c>
      <c r="J6" s="157">
        <f>'C Kmer'!AT7</f>
        <v>0.91823235919895962</v>
      </c>
      <c r="K6" s="158">
        <f>'C Busco'!CW7</f>
        <v>0.98264562116933329</v>
      </c>
      <c r="L6" s="158">
        <f>'C LAI'!AJ7</f>
        <v>0.70793016424271693</v>
      </c>
      <c r="M6" s="159">
        <f t="shared" si="13"/>
        <v>0.90220203615275241</v>
      </c>
      <c r="N6" s="173">
        <f>IFERROR(RANK(M6,M$3:M$11),"")</f>
        <v>1</v>
      </c>
      <c r="O6" s="106" t="str">
        <f t="shared" si="1"/>
        <v>hifiasm</v>
      </c>
      <c r="P6" s="156">
        <f>'C contig'!BM7</f>
        <v>1</v>
      </c>
      <c r="Q6" s="157">
        <f>'C Kmer'!AU7</f>
        <v>0.93739367268413987</v>
      </c>
      <c r="R6" s="158">
        <f>'C Busco'!CX7</f>
        <v>0.99321713336497397</v>
      </c>
      <c r="S6" s="158">
        <f>'C LAI'!AK7</f>
        <v>0.49615051863397336</v>
      </c>
      <c r="T6" s="159">
        <f t="shared" si="6"/>
        <v>0.85669033117077176</v>
      </c>
      <c r="U6" s="173">
        <f t="shared" si="7"/>
        <v>1</v>
      </c>
      <c r="V6" s="106" t="str">
        <f t="shared" si="2"/>
        <v>hifiasm</v>
      </c>
      <c r="W6" s="156">
        <f>'C contig'!BN7</f>
        <v>1</v>
      </c>
      <c r="X6" s="157">
        <f>'C Kmer'!AV7</f>
        <v>0.90613880347487674</v>
      </c>
      <c r="Y6" s="158">
        <f>'C Busco'!CY7</f>
        <v>0.98460423376520834</v>
      </c>
      <c r="Z6" s="158">
        <f>'C LAI'!AL7</f>
        <v>0.56014880075840956</v>
      </c>
      <c r="AA6" s="159">
        <f t="shared" si="8"/>
        <v>0.86272295949962374</v>
      </c>
      <c r="AB6" s="173">
        <f t="shared" si="9"/>
        <v>1</v>
      </c>
      <c r="AC6" s="106" t="str">
        <f t="shared" si="3"/>
        <v>hifiasm</v>
      </c>
      <c r="AD6" s="156">
        <f>'C contig'!BO7</f>
        <v>1</v>
      </c>
      <c r="AE6" s="157">
        <f>'C Kmer'!AW7</f>
        <v>0.89545465021101678</v>
      </c>
      <c r="AF6" s="158">
        <f>'C Busco'!CZ7</f>
        <v>0.98432009414533683</v>
      </c>
      <c r="AG6" s="158">
        <f>'C LAI'!AM7</f>
        <v>0.53443218167440809</v>
      </c>
      <c r="AH6" s="159">
        <f t="shared" si="10"/>
        <v>0.85355173150769048</v>
      </c>
      <c r="AI6" s="173">
        <f t="shared" si="11"/>
        <v>1</v>
      </c>
    </row>
    <row r="7" spans="1:35" ht="25.8" x14ac:dyDescent="0.5">
      <c r="A7" s="106" t="str">
        <f t="shared" si="0"/>
        <v>ipa</v>
      </c>
      <c r="B7" s="165">
        <f>'C contig'!BK10</f>
        <v>0.83151041991156327</v>
      </c>
      <c r="C7" s="162">
        <f>'C Kmer'!AS8</f>
        <v>0.35813983827023288</v>
      </c>
      <c r="D7" s="164">
        <f>'C Busco'!CV10</f>
        <v>0.69597769361388595</v>
      </c>
      <c r="E7" s="164">
        <f>'C LAI'!AI10</f>
        <v>0.65262000494786176</v>
      </c>
      <c r="F7" s="159">
        <f t="shared" si="12"/>
        <v>0.63456198918588602</v>
      </c>
      <c r="G7" s="173">
        <f t="shared" si="4"/>
        <v>3</v>
      </c>
      <c r="H7" s="106" t="str">
        <f>'C Kmer'!V8</f>
        <v>ipa</v>
      </c>
      <c r="I7" s="156">
        <f>'C contig'!BL10</f>
        <v>0.32414291862976152</v>
      </c>
      <c r="J7" s="157">
        <f>'C Kmer'!AT8</f>
        <v>0.56659626278838593</v>
      </c>
      <c r="K7" s="158">
        <f>'C Busco'!CW10</f>
        <v>0.83776586194741876</v>
      </c>
      <c r="L7" s="158">
        <f>'C LAI'!AJ10</f>
        <v>0.67546974746901201</v>
      </c>
      <c r="M7" s="159">
        <f t="shared" si="13"/>
        <v>0.60099369770864453</v>
      </c>
      <c r="N7" s="173">
        <f t="shared" si="5"/>
        <v>3</v>
      </c>
      <c r="O7" s="106" t="str">
        <f t="shared" si="1"/>
        <v>ipa</v>
      </c>
      <c r="P7" s="156">
        <f>'C contig'!BM10</f>
        <v>0.46460707752176422</v>
      </c>
      <c r="Q7" s="157">
        <f>'C Kmer'!AU8</f>
        <v>0.61436171228026626</v>
      </c>
      <c r="R7" s="158">
        <f>'C Busco'!CX10</f>
        <v>0.89996025074432251</v>
      </c>
      <c r="S7" s="158">
        <f>'C LAI'!AK10</f>
        <v>0.69187689838944488</v>
      </c>
      <c r="T7" s="159">
        <f t="shared" si="6"/>
        <v>0.66770148473394952</v>
      </c>
      <c r="U7" s="173">
        <f t="shared" si="7"/>
        <v>2</v>
      </c>
      <c r="V7" s="106" t="str">
        <f t="shared" si="2"/>
        <v>ipa</v>
      </c>
      <c r="W7" s="156">
        <f>'C contig'!BN10</f>
        <v>0.46812055787110041</v>
      </c>
      <c r="X7" s="157">
        <f>'C Kmer'!AV8</f>
        <v>0.58423796144492413</v>
      </c>
      <c r="Y7" s="158">
        <f>'C Busco'!CY10</f>
        <v>0.85695707009459132</v>
      </c>
      <c r="Z7" s="158">
        <f>'C LAI'!AL10</f>
        <v>0.50275622440734635</v>
      </c>
      <c r="AA7" s="159">
        <f t="shared" si="8"/>
        <v>0.6030179534544905</v>
      </c>
      <c r="AB7" s="173">
        <f t="shared" si="9"/>
        <v>4</v>
      </c>
      <c r="AC7" s="106" t="str">
        <f t="shared" si="3"/>
        <v>ipa</v>
      </c>
      <c r="AD7" s="156">
        <f>'C contig'!BO10</f>
        <v>0.44175629978119391</v>
      </c>
      <c r="AE7" s="157">
        <f>'C Kmer'!AW8</f>
        <v>0.56721709338320536</v>
      </c>
      <c r="AF7" s="158">
        <f>'C Busco'!CZ10</f>
        <v>0.8577611062077084</v>
      </c>
      <c r="AG7" s="158">
        <f>'C LAI'!AM10</f>
        <v>0.53342313804728969</v>
      </c>
      <c r="AH7" s="159">
        <f t="shared" si="10"/>
        <v>0.60003940935484934</v>
      </c>
      <c r="AI7" s="173">
        <f t="shared" si="11"/>
        <v>4</v>
      </c>
    </row>
    <row r="8" spans="1:35" ht="25.8" x14ac:dyDescent="0.5">
      <c r="A8" s="106" t="str">
        <f t="shared" si="0"/>
        <v>nextpolish</v>
      </c>
      <c r="B8" s="165">
        <f>'C contig'!BK11</f>
        <v>0.63383178941023188</v>
      </c>
      <c r="C8" s="162">
        <f>'C Kmer'!AS9</f>
        <v>0.42060948119494251</v>
      </c>
      <c r="D8" s="164">
        <f>'C Busco'!CV11</f>
        <v>0.47809151083077539</v>
      </c>
      <c r="E8" s="164">
        <f>'C LAI'!AI11</f>
        <v>0.55520935139260308</v>
      </c>
      <c r="F8" s="159">
        <f t="shared" si="12"/>
        <v>0.52193553320713826</v>
      </c>
      <c r="G8" s="173">
        <f t="shared" si="4"/>
        <v>6</v>
      </c>
      <c r="H8" s="106" t="str">
        <f>'C Kmer'!V9</f>
        <v>nextpolish</v>
      </c>
      <c r="I8" s="156">
        <f>'C contig'!BL11</f>
        <v>0.1815932788621985</v>
      </c>
      <c r="J8" s="157">
        <f>'C Kmer'!AT9</f>
        <v>0.30373076019429673</v>
      </c>
      <c r="K8" s="158">
        <f>'C Busco'!CW11</f>
        <v>0.44273879980915443</v>
      </c>
      <c r="L8" s="158">
        <f>'C LAI'!AJ11</f>
        <v>0.5996405741348384</v>
      </c>
      <c r="M8" s="159">
        <f t="shared" si="13"/>
        <v>0.38192585325012202</v>
      </c>
      <c r="N8" s="173">
        <f t="shared" si="5"/>
        <v>6</v>
      </c>
      <c r="O8" s="106" t="str">
        <f t="shared" si="1"/>
        <v>nextpolish</v>
      </c>
      <c r="P8" s="156">
        <f>'C contig'!BM11</f>
        <v>0.15656572504089108</v>
      </c>
      <c r="Q8" s="157">
        <f>'C Kmer'!AU9</f>
        <v>0.31032354041092874</v>
      </c>
      <c r="R8" s="158">
        <f>'C Busco'!CX11</f>
        <v>0.42338025782424199</v>
      </c>
      <c r="S8" s="158">
        <f>'C LAI'!AK11</f>
        <v>0.5572250097383763</v>
      </c>
      <c r="T8" s="159">
        <f t="shared" si="6"/>
        <v>0.36187363325360955</v>
      </c>
      <c r="U8" s="173">
        <f t="shared" si="7"/>
        <v>7</v>
      </c>
      <c r="V8" s="106" t="str">
        <f t="shared" si="2"/>
        <v>nextpolish</v>
      </c>
      <c r="W8" s="156">
        <f>'C contig'!BN11</f>
        <v>0.26446597439795322</v>
      </c>
      <c r="X8" s="157">
        <f>'C Kmer'!AV9</f>
        <v>0.31310212744789168</v>
      </c>
      <c r="Y8" s="158">
        <f>'C Busco'!CY11</f>
        <v>0.312</v>
      </c>
      <c r="Z8" s="158">
        <f>'C LAI'!AL11</f>
        <v>0.66335906775752085</v>
      </c>
      <c r="AA8" s="159">
        <f t="shared" si="8"/>
        <v>0.38823179240084149</v>
      </c>
      <c r="AB8" s="173">
        <f t="shared" si="9"/>
        <v>7</v>
      </c>
      <c r="AC8" s="106" t="str">
        <f t="shared" si="3"/>
        <v>nextpolish</v>
      </c>
      <c r="AD8" s="156">
        <f>'C contig'!BO11</f>
        <v>0.20714383344372805</v>
      </c>
      <c r="AE8" s="157">
        <f>'C Kmer'!AW9</f>
        <v>0.3104449115239018</v>
      </c>
      <c r="AF8" s="158">
        <f>'C Busco'!CZ11</f>
        <v>0.312</v>
      </c>
      <c r="AG8" s="158">
        <f>'C LAI'!AM11</f>
        <v>0.70088535603143953</v>
      </c>
      <c r="AH8" s="159">
        <f t="shared" si="10"/>
        <v>0.38261852524976736</v>
      </c>
      <c r="AI8" s="173">
        <f t="shared" si="11"/>
        <v>7</v>
      </c>
    </row>
    <row r="9" spans="1:35" ht="25.8" x14ac:dyDescent="0.5">
      <c r="A9" s="106" t="str">
        <f t="shared" si="0"/>
        <v>pbassembly</v>
      </c>
      <c r="B9" s="165">
        <f>'C contig'!BK12</f>
        <v>0.20779149885858472</v>
      </c>
      <c r="C9" s="162">
        <f>'C Kmer'!AS10</f>
        <v>0.76374228855651249</v>
      </c>
      <c r="D9" s="164">
        <f>'C Busco'!CV12</f>
        <v>0.67290670530220831</v>
      </c>
      <c r="E9" s="164">
        <f>'C LAI'!AI12</f>
        <v>0.53268831169512787</v>
      </c>
      <c r="F9" s="159">
        <f t="shared" si="12"/>
        <v>0.54428220110310832</v>
      </c>
      <c r="G9" s="173">
        <f t="shared" si="4"/>
        <v>5</v>
      </c>
      <c r="H9" s="106" t="str">
        <f>'C Kmer'!V10</f>
        <v>pbassembly</v>
      </c>
      <c r="I9" s="156" t="str">
        <f>'C contig'!BL12</f>
        <v/>
      </c>
      <c r="J9" s="157" t="str">
        <f>'C Kmer'!AT10</f>
        <v/>
      </c>
      <c r="K9" s="158" t="str">
        <f>'C Busco'!CW12</f>
        <v/>
      </c>
      <c r="L9" s="158" t="str">
        <f>'C LAI'!AJ12</f>
        <v/>
      </c>
      <c r="M9" s="159" t="str">
        <f t="shared" si="13"/>
        <v/>
      </c>
      <c r="N9" s="173" t="str">
        <f t="shared" si="5"/>
        <v/>
      </c>
      <c r="O9" s="106" t="str">
        <f t="shared" si="1"/>
        <v>pbassembly</v>
      </c>
      <c r="P9" s="156" t="str">
        <f>'C contig'!BM12</f>
        <v/>
      </c>
      <c r="Q9" s="157" t="str">
        <f>'C Kmer'!AU10</f>
        <v/>
      </c>
      <c r="R9" s="158" t="str">
        <f>'C Busco'!CX12</f>
        <v/>
      </c>
      <c r="S9" s="158" t="str">
        <f>'C LAI'!AK12</f>
        <v/>
      </c>
      <c r="T9" s="159" t="str">
        <f t="shared" si="6"/>
        <v/>
      </c>
      <c r="U9" s="173" t="str">
        <f t="shared" si="7"/>
        <v/>
      </c>
      <c r="V9" s="106" t="str">
        <f t="shared" si="2"/>
        <v>pbassembly</v>
      </c>
      <c r="W9" s="156" t="str">
        <f>'C contig'!BN12</f>
        <v/>
      </c>
      <c r="X9" s="157" t="str">
        <f>'C Kmer'!AV10</f>
        <v/>
      </c>
      <c r="Y9" s="158" t="str">
        <f>'C Busco'!CY12</f>
        <v/>
      </c>
      <c r="Z9" s="158" t="str">
        <f>'C LAI'!AL12</f>
        <v/>
      </c>
      <c r="AA9" s="159" t="str">
        <f t="shared" si="8"/>
        <v/>
      </c>
      <c r="AB9" s="173" t="str">
        <f t="shared" si="9"/>
        <v/>
      </c>
      <c r="AC9" s="106" t="str">
        <f t="shared" si="3"/>
        <v>pbassembly</v>
      </c>
      <c r="AD9" s="156" t="str">
        <f>'C contig'!BO12</f>
        <v/>
      </c>
      <c r="AE9" s="157" t="str">
        <f>'C Kmer'!AW10</f>
        <v/>
      </c>
      <c r="AF9" s="158" t="str">
        <f>'C Busco'!CZ12</f>
        <v/>
      </c>
      <c r="AG9" s="158" t="str">
        <f>'C LAI'!AM12</f>
        <v/>
      </c>
      <c r="AH9" s="159" t="str">
        <f t="shared" si="10"/>
        <v/>
      </c>
      <c r="AI9" s="173" t="str">
        <f t="shared" si="11"/>
        <v/>
      </c>
    </row>
    <row r="10" spans="1:35" ht="25.8" x14ac:dyDescent="0.5">
      <c r="A10" s="106" t="str">
        <f t="shared" si="0"/>
        <v>peregrine</v>
      </c>
      <c r="B10" s="165">
        <f>'C contig'!BK13</f>
        <v>0.95091317664362318</v>
      </c>
      <c r="C10" s="162">
        <f>'C Kmer'!AS11</f>
        <v>0.655475753719584</v>
      </c>
      <c r="D10" s="164">
        <f>'C Busco'!CV13</f>
        <v>0.96031746031746024</v>
      </c>
      <c r="E10" s="164">
        <f>'C LAI'!AI13</f>
        <v>0.48510886529814368</v>
      </c>
      <c r="F10" s="159">
        <f t="shared" si="12"/>
        <v>0.76295381399470275</v>
      </c>
      <c r="G10" s="173">
        <f t="shared" si="4"/>
        <v>2</v>
      </c>
      <c r="H10" s="106" t="str">
        <f>'C Kmer'!V11</f>
        <v>peregrine</v>
      </c>
      <c r="I10" s="156">
        <f>'C contig'!BL13</f>
        <v>0.49635577095930972</v>
      </c>
      <c r="J10" s="157">
        <f>'C Kmer'!AT11</f>
        <v>0.63095989721364154</v>
      </c>
      <c r="K10" s="158">
        <f>'C Busco'!CW13</f>
        <v>0.95335883844935942</v>
      </c>
      <c r="L10" s="158">
        <f>'C LAI'!AJ13</f>
        <v>0.46691056038668166</v>
      </c>
      <c r="M10" s="159">
        <f t="shared" si="13"/>
        <v>0.63689626675224797</v>
      </c>
      <c r="N10" s="173">
        <f t="shared" si="5"/>
        <v>2</v>
      </c>
      <c r="O10" s="106" t="str">
        <f t="shared" si="1"/>
        <v>peregrine</v>
      </c>
      <c r="P10" s="156">
        <f>'C contig'!BM13</f>
        <v>0.43338964285920889</v>
      </c>
      <c r="Q10" s="157">
        <f>'C Kmer'!AU11</f>
        <v>0.64538049033428202</v>
      </c>
      <c r="R10" s="158">
        <f>'C Busco'!CX13</f>
        <v>0.93535893641884871</v>
      </c>
      <c r="S10" s="158">
        <f>'C LAI'!AK13</f>
        <v>0.44730059546545115</v>
      </c>
      <c r="T10" s="159">
        <f t="shared" si="6"/>
        <v>0.61535741626944762</v>
      </c>
      <c r="U10" s="173">
        <f t="shared" si="7"/>
        <v>3</v>
      </c>
      <c r="V10" s="106" t="str">
        <f t="shared" si="2"/>
        <v>peregrine</v>
      </c>
      <c r="W10" s="156">
        <f>'C contig'!BN13</f>
        <v>0.59331145416445441</v>
      </c>
      <c r="X10" s="157">
        <f>'C Kmer'!AV11</f>
        <v>0.57308820941151983</v>
      </c>
      <c r="Y10" s="158">
        <f>'C Busco'!CY13</f>
        <v>0.96188155685537924</v>
      </c>
      <c r="Z10" s="158">
        <f>'C LAI'!AL13</f>
        <v>0.53301828892705461</v>
      </c>
      <c r="AA10" s="159">
        <f t="shared" si="8"/>
        <v>0.66532487733960199</v>
      </c>
      <c r="AB10" s="173">
        <f t="shared" si="9"/>
        <v>3</v>
      </c>
      <c r="AC10" s="106" t="str">
        <f t="shared" si="3"/>
        <v>peregrine</v>
      </c>
      <c r="AD10" s="156">
        <f>'C contig'!BO13</f>
        <v>0.58034692086924755</v>
      </c>
      <c r="AE10" s="157">
        <f>'C Kmer'!AW11</f>
        <v>0.64658618193680684</v>
      </c>
      <c r="AF10" s="158">
        <f>'C Busco'!CZ13</f>
        <v>0.9590885554574875</v>
      </c>
      <c r="AG10" s="158">
        <f>'C LAI'!AM13</f>
        <v>0.59068200953934191</v>
      </c>
      <c r="AH10" s="159">
        <f t="shared" si="10"/>
        <v>0.69417591695072089</v>
      </c>
      <c r="AI10" s="173">
        <f t="shared" si="11"/>
        <v>2</v>
      </c>
    </row>
    <row r="11" spans="1:35" ht="25.8" x14ac:dyDescent="0.5">
      <c r="A11" s="106" t="str">
        <f t="shared" si="0"/>
        <v>raven</v>
      </c>
      <c r="B11" s="165">
        <f>'C contig'!BK14</f>
        <v>0.39009555315981187</v>
      </c>
      <c r="C11" s="162">
        <f>'C Kmer'!AS12</f>
        <v>0</v>
      </c>
      <c r="D11" s="164">
        <f>'C Busco'!CV14</f>
        <v>0.43096184811826854</v>
      </c>
      <c r="E11" s="164">
        <f>'C LAI'!AI14</f>
        <v>0.33333333333333331</v>
      </c>
      <c r="F11" s="159">
        <f t="shared" si="12"/>
        <v>0.28859768365285343</v>
      </c>
      <c r="G11" s="173">
        <f t="shared" si="4"/>
        <v>8</v>
      </c>
      <c r="H11" s="106" t="str">
        <f>'C Kmer'!V12</f>
        <v>raven</v>
      </c>
      <c r="I11" s="156">
        <f>'C contig'!BL14</f>
        <v>9.1912002472804302E-2</v>
      </c>
      <c r="J11" s="157">
        <f>'C Kmer'!AT12</f>
        <v>3.7781453846608234E-2</v>
      </c>
      <c r="K11" s="158">
        <f>'C Busco'!CW14</f>
        <v>0.57346961047019651</v>
      </c>
      <c r="L11" s="158">
        <f>'C LAI'!AJ14</f>
        <v>0.33333333333333331</v>
      </c>
      <c r="M11" s="159">
        <f t="shared" si="13"/>
        <v>0.2591241000307356</v>
      </c>
      <c r="N11" s="173">
        <f t="shared" si="5"/>
        <v>7</v>
      </c>
      <c r="O11" s="106" t="str">
        <f t="shared" si="1"/>
        <v>raven</v>
      </c>
      <c r="P11" s="156">
        <f>'C contig'!BM14</f>
        <v>7.5797825003190364E-2</v>
      </c>
      <c r="Q11" s="157">
        <f>'C Kmer'!AU12</f>
        <v>3.9169328139502517E-2</v>
      </c>
      <c r="R11" s="158">
        <f>'C Busco'!CX14</f>
        <v>0.59566339732957374</v>
      </c>
      <c r="S11" s="158">
        <f>'C LAI'!AK14</f>
        <v>0.33333333333333331</v>
      </c>
      <c r="T11" s="159">
        <f t="shared" si="6"/>
        <v>0.2609909709514</v>
      </c>
      <c r="U11" s="173">
        <f t="shared" si="7"/>
        <v>8</v>
      </c>
      <c r="V11" s="106" t="str">
        <f t="shared" si="2"/>
        <v>raven</v>
      </c>
      <c r="W11" s="156">
        <f>'C contig'!BN14</f>
        <v>9.6042050418744501E-2</v>
      </c>
      <c r="X11" s="157">
        <f>'C Kmer'!AV12</f>
        <v>9.914964556891083E-2</v>
      </c>
      <c r="Y11" s="158">
        <f>'C Busco'!CY14</f>
        <v>0.49388661451077065</v>
      </c>
      <c r="Z11" s="158">
        <f>'C LAI'!AL14</f>
        <v>0.33333333333333331</v>
      </c>
      <c r="AA11" s="159">
        <f t="shared" si="8"/>
        <v>0.2556029109579398</v>
      </c>
      <c r="AB11" s="173">
        <f t="shared" si="9"/>
        <v>8</v>
      </c>
      <c r="AC11" s="106" t="str">
        <f t="shared" si="3"/>
        <v>raven</v>
      </c>
      <c r="AD11" s="156">
        <f>'C contig'!BO14</f>
        <v>0</v>
      </c>
      <c r="AE11" s="157">
        <f>'C Kmer'!AW12</f>
        <v>3.9293306942306302E-2</v>
      </c>
      <c r="AF11" s="158">
        <f>'C Busco'!CZ14</f>
        <v>0.49453721682847906</v>
      </c>
      <c r="AG11" s="158">
        <f>'C LAI'!AM14</f>
        <v>0.33333333333333331</v>
      </c>
      <c r="AH11" s="159">
        <f t="shared" si="10"/>
        <v>0.21679096427602967</v>
      </c>
      <c r="AI11" s="173">
        <f t="shared" si="11"/>
        <v>8</v>
      </c>
    </row>
    <row r="12" spans="1:35" x14ac:dyDescent="0.3">
      <c r="A12" t="s">
        <v>1119</v>
      </c>
      <c r="B12" t="s">
        <v>89</v>
      </c>
      <c r="C12" t="s">
        <v>93</v>
      </c>
      <c r="D12" t="s">
        <v>490</v>
      </c>
      <c r="E12" t="s">
        <v>461</v>
      </c>
      <c r="F12" t="s">
        <v>90</v>
      </c>
      <c r="G12" t="s">
        <v>94</v>
      </c>
      <c r="H12" t="s">
        <v>222</v>
      </c>
      <c r="I12" t="s">
        <v>384</v>
      </c>
      <c r="J12" t="s">
        <v>92</v>
      </c>
    </row>
    <row r="13" spans="1:35" x14ac:dyDescent="0.3">
      <c r="A13">
        <v>11</v>
      </c>
      <c r="B13">
        <f>INDEX($A$3:$AI$11,MATCH(B$12,$A$3:$A$11,0),MATCH($A13,$A$1:$AI$1,0))</f>
        <v>0.78938746059477449</v>
      </c>
      <c r="C13">
        <f>INDEX($A$3:$AI$11,MATCH(C$12,$A$3:$A$11,0),MATCH($A13,$A$1:$AI$1,0))</f>
        <v>0.76295381399470275</v>
      </c>
      <c r="D13">
        <f>INDEX($A$3:$AI$11,MATCH(D$12,$A$3:$A$11,0),MATCH($A13,$A$1:$AI$1,0))</f>
        <v>0.54443414276500979</v>
      </c>
      <c r="E13">
        <f>INDEX($A$3:$AI$11,MATCH(E$12,$A$3:$A$11,0),MATCH($A13,$A$1:$AI$1,0))</f>
        <v>0.63456198918588602</v>
      </c>
      <c r="F13">
        <f>INDEX($A$3:$AI$11,MATCH(F$12,$A$3:$A$11,0),MATCH($A13,$A$1:$AI$1,0))</f>
        <v>0.41499039172985031</v>
      </c>
      <c r="G13">
        <f>INDEX($A$3:$AI$11,MATCH(G$12,$A$3:$A$11,0),MATCH($A13,$A$1:$AI$1,0))</f>
        <v>0.54428220110310832</v>
      </c>
      <c r="I13">
        <f>INDEX($A$3:$AI$11,MATCH(I$12,$A$3:$A$11,0),MATCH($A13,$A$1:$AI$1,0))</f>
        <v>0.52193553320713826</v>
      </c>
      <c r="J13">
        <f t="shared" ref="C13:J17" si="14">INDEX($A$3:$AI$11,MATCH(J$12,$A$3:$A$11,0),MATCH($A13,$A$1:$AI$1,0))</f>
        <v>0.28859768365285343</v>
      </c>
    </row>
    <row r="14" spans="1:35" x14ac:dyDescent="0.3">
      <c r="A14">
        <v>19</v>
      </c>
      <c r="B14">
        <f>INDEX($A$3:$AI$11,MATCH(B$12,$A$3:$A$11,0),MATCH($A14,$A$1:$AI$1,0))</f>
        <v>0.90220203615275241</v>
      </c>
      <c r="C14">
        <f>INDEX($A$3:$AI$11,MATCH(C$12,$A$3:$A$11,0),MATCH($A14,$A$1:$AI$1,0))</f>
        <v>0.63689626675224797</v>
      </c>
      <c r="D14">
        <f>INDEX($A$3:$AI$11,MATCH(D$12,$A$3:$A$11,0),MATCH($A14,$A$1:$AI$1,0))</f>
        <v>0.54805126120275316</v>
      </c>
      <c r="E14">
        <f>INDEX($A$3:$AI$11,MATCH(E$12,$A$3:$A$11,0),MATCH($A14,$A$1:$AI$1,0))</f>
        <v>0.60099369770864453</v>
      </c>
      <c r="F14">
        <f>INDEX($A$3:$AI$11,MATCH(F$12,$A$3:$A$11,0),MATCH($A14,$A$1:$AI$1,0))</f>
        <v>0.45703248744796049</v>
      </c>
      <c r="I14">
        <f>INDEX($A$3:$AI$11,MATCH(I$12,$A$3:$A$11,0),MATCH($A14,$A$1:$AI$1,0))</f>
        <v>0.38192585325012202</v>
      </c>
      <c r="J14">
        <f t="shared" si="14"/>
        <v>0.2591241000307356</v>
      </c>
    </row>
    <row r="15" spans="1:35" x14ac:dyDescent="0.3">
      <c r="A15">
        <v>28</v>
      </c>
      <c r="B15">
        <f>INDEX($A$3:$AI$11,MATCH(B$12,$A$3:$A$11,0),MATCH($A15,$A$1:$AI$1,0))</f>
        <v>0.85669033117077176</v>
      </c>
      <c r="C15">
        <f>INDEX($A$3:$AI$11,MATCH(C$12,$A$3:$A$11,0),MATCH($A15,$A$1:$AI$1,0))</f>
        <v>0.61535741626944762</v>
      </c>
      <c r="D15">
        <f>INDEX($A$3:$AI$11,MATCH(D$12,$A$3:$A$11,0),MATCH($A15,$A$1:$AI$1,0))</f>
        <v>0.54906581892687545</v>
      </c>
      <c r="E15">
        <f>INDEX($A$3:$AI$11,MATCH(E$12,$A$3:$A$11,0),MATCH($A15,$A$1:$AI$1,0))</f>
        <v>0.66770148473394952</v>
      </c>
      <c r="F15">
        <f>INDEX($A$3:$AI$11,MATCH(F$12,$A$3:$A$11,0),MATCH($A15,$A$1:$AI$1,0))</f>
        <v>0.45374238657541427</v>
      </c>
      <c r="H15">
        <f>INDEX($A$3:$AI$11,MATCH(H$12,$A$3:$A$11,0),MATCH($A15,$A$1:$AI$1,0))</f>
        <v>0.53261735691463652</v>
      </c>
      <c r="I15">
        <f>INDEX($A$3:$AI$11,MATCH(I$12,$A$3:$A$11,0),MATCH($A15,$A$1:$AI$1,0))</f>
        <v>0.36187363325360955</v>
      </c>
      <c r="J15">
        <f t="shared" si="14"/>
        <v>0.2609909709514</v>
      </c>
    </row>
    <row r="16" spans="1:35" x14ac:dyDescent="0.3">
      <c r="A16" t="s">
        <v>1083</v>
      </c>
      <c r="B16">
        <f>INDEX($A$3:$AI$11,MATCH(B$12,$A$3:$A$11,0),MATCH($A16,$A$1:$AI$1,0))</f>
        <v>0.86272295949962374</v>
      </c>
      <c r="C16">
        <f>INDEX($A$3:$AI$11,MATCH(C$12,$A$3:$A$11,0),MATCH($A16,$A$1:$AI$1,0))</f>
        <v>0.66532487733960199</v>
      </c>
      <c r="D16">
        <f>INDEX($A$3:$AI$11,MATCH(D$12,$A$3:$A$11,0),MATCH($A16,$A$1:$AI$1,0))</f>
        <v>0.67562772156223361</v>
      </c>
      <c r="E16">
        <f>INDEX($A$3:$AI$11,MATCH(E$12,$A$3:$A$11,0),MATCH($A16,$A$1:$AI$1,0))</f>
        <v>0.6030179534544905</v>
      </c>
      <c r="F16">
        <f>INDEX($A$3:$AI$11,MATCH(F$12,$A$3:$A$11,0),MATCH($A16,$A$1:$AI$1,0))</f>
        <v>0.56762762152635826</v>
      </c>
      <c r="H16">
        <f>INDEX($A$3:$AI$11,MATCH(H$12,$A$3:$A$11,0),MATCH($A16,$A$1:$AI$1,0))</f>
        <v>0.46349145856168922</v>
      </c>
      <c r="I16">
        <f>INDEX($A$3:$AI$11,MATCH(I$12,$A$3:$A$11,0),MATCH($A16,$A$1:$AI$1,0))</f>
        <v>0.38823179240084149</v>
      </c>
      <c r="J16">
        <f t="shared" si="14"/>
        <v>0.2556029109579398</v>
      </c>
    </row>
    <row r="17" spans="1:18" x14ac:dyDescent="0.3">
      <c r="A17" t="s">
        <v>1127</v>
      </c>
      <c r="B17">
        <f>INDEX($A$3:$AI$11,MATCH(B$12,$A$3:$A$11,0),MATCH($A17,$A$1:$AI$1,0))</f>
        <v>0.85355173150769048</v>
      </c>
      <c r="C17">
        <f>INDEX($A$3:$AI$11,MATCH(C$12,$A$3:$A$11,0),MATCH($A17,$A$1:$AI$1,0))</f>
        <v>0.69417591695072089</v>
      </c>
      <c r="D17">
        <f>INDEX($A$3:$AI$11,MATCH(D$12,$A$3:$A$11,0),MATCH($A17,$A$1:$AI$1,0))</f>
        <v>0.69138197684022651</v>
      </c>
      <c r="E17">
        <f>INDEX($A$3:$AI$11,MATCH(E$12,$A$3:$A$11,0),MATCH($A17,$A$1:$AI$1,0))</f>
        <v>0.60003940935484934</v>
      </c>
      <c r="F17">
        <f>INDEX($A$3:$AI$11,MATCH(F$12,$A$3:$A$11,0),MATCH($A17,$A$1:$AI$1,0))</f>
        <v>0.56922480640168271</v>
      </c>
      <c r="H17">
        <f>INDEX($A$3:$AI$11,MATCH(H$12,$A$3:$A$11,0),MATCH($A17,$A$1:$AI$1,0))</f>
        <v>0.51674605590245315</v>
      </c>
      <c r="I17">
        <f>INDEX($A$3:$AI$11,MATCH(I$12,$A$3:$A$11,0),MATCH($A17,$A$1:$AI$1,0))</f>
        <v>0.38261852524976736</v>
      </c>
      <c r="J17">
        <f t="shared" si="14"/>
        <v>0.21679096427602967</v>
      </c>
    </row>
    <row r="18" spans="1:18" x14ac:dyDescent="0.3">
      <c r="A18" t="s">
        <v>1120</v>
      </c>
      <c r="B18" t="s">
        <v>89</v>
      </c>
      <c r="C18" t="s">
        <v>93</v>
      </c>
      <c r="D18" t="s">
        <v>490</v>
      </c>
      <c r="E18" t="s">
        <v>461</v>
      </c>
      <c r="F18" t="s">
        <v>90</v>
      </c>
      <c r="G18" t="s">
        <v>94</v>
      </c>
      <c r="H18" t="s">
        <v>222</v>
      </c>
      <c r="I18" t="s">
        <v>384</v>
      </c>
      <c r="J18" t="s">
        <v>92</v>
      </c>
    </row>
    <row r="19" spans="1:18" x14ac:dyDescent="0.3">
      <c r="A19">
        <v>11</v>
      </c>
      <c r="B19">
        <f>INDEX($A$50:$AI$58,MATCH(B$18,$A$50:$A$58,0),MATCH($A19,$A$48:$AI$48,0))</f>
        <v>0.9749489894349761</v>
      </c>
      <c r="C19">
        <f>INDEX($A$50:$AI$58,MATCH(C$18,$A$50:$A$58,0),MATCH($A19,$A$48:$AI$48,0))</f>
        <v>0.91072675766608757</v>
      </c>
      <c r="D19">
        <f>INDEX($A$50:$AI$58,MATCH(D$18,$A$50:$A$58,0),MATCH($A19,$A$48:$AI$48,0))</f>
        <v>0.51819981985790042</v>
      </c>
      <c r="E19">
        <f>INDEX($A$50:$AI$58,MATCH(E$18,$A$50:$A$58,0),MATCH($A19,$A$48:$AI$48,0))</f>
        <v>0.79701421566247665</v>
      </c>
      <c r="F19">
        <f>INDEX($A$50:$AI$58,MATCH(F$18,$A$50:$A$58,0),MATCH($A19,$A$48:$AI$48,0))</f>
        <v>0.47206837808983665</v>
      </c>
      <c r="G19">
        <f>INDEX($A$50:$AI$58,MATCH(G$18,$A$50:$A$58,0),MATCH($A19,$A$48:$AI$48,0))</f>
        <v>0.69526302927045758</v>
      </c>
      <c r="I19">
        <f>INDEX($A$50:$AI$58,MATCH(I$18,$A$50:$A$58,0),MATCH($A19,$A$48:$AI$48,0))</f>
        <v>0.63411606487360628</v>
      </c>
      <c r="J19">
        <f t="shared" ref="C19:J23" si="15">INDEX($A$50:$AI$58,MATCH(J$18,$A$50:$A$58,0),MATCH($A19,$A$48:$AI$48,0))</f>
        <v>0.16350229709913708</v>
      </c>
    </row>
    <row r="20" spans="1:18" x14ac:dyDescent="0.3">
      <c r="A20">
        <v>19</v>
      </c>
      <c r="B20">
        <f>INDEX($A$50:$AI$58,MATCH(B$18,$A$50:$A$58,0),MATCH($A20,$A$48:$AI$48,0))</f>
        <v>0.99660493117842808</v>
      </c>
      <c r="C20">
        <f>INDEX($A$50:$AI$58,MATCH(C$18,$A$50:$A$58,0),MATCH($A20,$A$48:$AI$48,0))</f>
        <v>0.8035662857063548</v>
      </c>
      <c r="D20">
        <f>INDEX($A$50:$AI$58,MATCH(D$18,$A$50:$A$58,0),MATCH($A20,$A$48:$AI$48,0))</f>
        <v>0.49557090100961759</v>
      </c>
      <c r="E20">
        <f>INDEX($A$50:$AI$58,MATCH(E$18,$A$50:$A$58,0),MATCH($A20,$A$48:$AI$48,0))</f>
        <v>0.77605946791412028</v>
      </c>
      <c r="F20">
        <f>INDEX($A$50:$AI$58,MATCH(F$18,$A$50:$A$58,0),MATCH($A20,$A$48:$AI$48,0))</f>
        <v>0.5067889204892283</v>
      </c>
      <c r="I20">
        <f>INDEX($A$50:$AI$58,MATCH(I$18,$A$50:$A$58,0),MATCH($A20,$A$48:$AI$48,0))</f>
        <v>0.36761736507344395</v>
      </c>
      <c r="J20">
        <f t="shared" si="15"/>
        <v>0.12331978796641432</v>
      </c>
    </row>
    <row r="21" spans="1:18" x14ac:dyDescent="0.3">
      <c r="A21">
        <v>28</v>
      </c>
      <c r="B21">
        <f>INDEX($A$50:$AI$58,MATCH(B$18,$A$50:$A$58,0),MATCH($A21,$A$48:$AI$48,0))</f>
        <v>0.93147555124018333</v>
      </c>
      <c r="C21">
        <f>INDEX($A$50:$AI$58,MATCH(C$18,$A$50:$A$58,0),MATCH($A21,$A$48:$AI$48,0))</f>
        <v>0.76944952331113747</v>
      </c>
      <c r="D21">
        <f>INDEX($A$50:$AI$58,MATCH(D$18,$A$50:$A$58,0),MATCH($A21,$A$48:$AI$48,0))</f>
        <v>0.49358772621596064</v>
      </c>
      <c r="E21">
        <f>INDEX($A$50:$AI$58,MATCH(E$18,$A$50:$A$58,0),MATCH($A21,$A$48:$AI$48,0))</f>
        <v>0.83029407074116013</v>
      </c>
      <c r="F21">
        <f>INDEX($A$50:$AI$58,MATCH(F$18,$A$50:$A$58,0),MATCH($A21,$A$48:$AI$48,0))</f>
        <v>0.49332069381253252</v>
      </c>
      <c r="H21">
        <f>INDEX($A$50:$AI$58,MATCH(H$18,$A$50:$A$58,0),MATCH($A21,$A$48:$AI$48,0))</f>
        <v>0.62430727327455504</v>
      </c>
      <c r="I21">
        <f>INDEX($A$50:$AI$58,MATCH(I$18,$A$50:$A$58,0),MATCH($A21,$A$48:$AI$48,0))</f>
        <v>0.31990771703427867</v>
      </c>
      <c r="J21">
        <f t="shared" si="15"/>
        <v>0.11919932419410445</v>
      </c>
    </row>
    <row r="22" spans="1:18" x14ac:dyDescent="0.3">
      <c r="A22" t="s">
        <v>1083</v>
      </c>
      <c r="B22">
        <f>INDEX($A$50:$AI$58,MATCH(B$18,$A$50:$A$58,0),MATCH($A22,$A$48:$AI$48,0))</f>
        <v>0.97748146257281188</v>
      </c>
      <c r="C22">
        <f>INDEX($A$50:$AI$58,MATCH(C$18,$A$50:$A$58,0),MATCH($A22,$A$48:$AI$48,0))</f>
        <v>0.86068962326802323</v>
      </c>
      <c r="D22">
        <f>INDEX($A$50:$AI$58,MATCH(D$18,$A$50:$A$58,0),MATCH($A22,$A$48:$AI$48,0))</f>
        <v>0.77268270352669233</v>
      </c>
      <c r="E22">
        <f>INDEX($A$50:$AI$58,MATCH(E$18,$A$50:$A$58,0),MATCH($A22,$A$48:$AI$48,0))</f>
        <v>0.78643822900828231</v>
      </c>
      <c r="F22">
        <f>INDEX($A$50:$AI$58,MATCH(F$18,$A$50:$A$58,0),MATCH($A22,$A$48:$AI$48,0))</f>
        <v>0.75136609533547416</v>
      </c>
      <c r="H22">
        <f>INDEX($A$50:$AI$58,MATCH(H$18,$A$50:$A$58,0),MATCH($A22,$A$48:$AI$48,0))</f>
        <v>0.47661994256571111</v>
      </c>
      <c r="I22">
        <f>INDEX($A$50:$AI$58,MATCH(I$18,$A$50:$A$58,0),MATCH($A22,$A$48:$AI$48,0))</f>
        <v>0.41922134947903184</v>
      </c>
      <c r="J22">
        <f t="shared" si="15"/>
        <v>0.1454651165715854</v>
      </c>
    </row>
    <row r="23" spans="1:18" x14ac:dyDescent="0.3">
      <c r="A23" t="s">
        <v>1127</v>
      </c>
      <c r="B23">
        <f>INDEX($A$50:$AI$58,MATCH(B$18,$A$50:$A$58,0),MATCH($A23,$A$48:$AI$48,0))</f>
        <v>0.95064569039332358</v>
      </c>
      <c r="C23">
        <f>INDEX($A$50:$AI$58,MATCH(C$18,$A$50:$A$58,0),MATCH($A23,$A$48:$AI$48,0))</f>
        <v>0.8950604575032588</v>
      </c>
      <c r="D23">
        <f>INDEX($A$50:$AI$58,MATCH(D$18,$A$50:$A$58,0),MATCH($A23,$A$48:$AI$48,0))</f>
        <v>0.81181656831906113</v>
      </c>
      <c r="E23">
        <f>INDEX($A$50:$AI$58,MATCH(E$18,$A$50:$A$58,0),MATCH($A23,$A$48:$AI$48,0))</f>
        <v>0.80085416476935412</v>
      </c>
      <c r="F23">
        <f>INDEX($A$50:$AI$58,MATCH(F$18,$A$50:$A$58,0),MATCH($A23,$A$48:$AI$48,0))</f>
        <v>0.76440975390134192</v>
      </c>
      <c r="H23">
        <f>INDEX($A$50:$AI$58,MATCH(H$18,$A$50:$A$58,0),MATCH($A23,$A$48:$AI$48,0))</f>
        <v>0.63867761615864893</v>
      </c>
      <c r="I23">
        <f>INDEX($A$50:$AI$58,MATCH(I$18,$A$50:$A$58,0),MATCH($A23,$A$48:$AI$48,0))</f>
        <v>0.44007709153781843</v>
      </c>
      <c r="J23">
        <f t="shared" si="15"/>
        <v>0.12021511421162119</v>
      </c>
    </row>
    <row r="24" spans="1:18" x14ac:dyDescent="0.3">
      <c r="A24" t="s">
        <v>402</v>
      </c>
      <c r="B24" t="s">
        <v>89</v>
      </c>
      <c r="C24" t="s">
        <v>93</v>
      </c>
      <c r="D24" t="s">
        <v>490</v>
      </c>
      <c r="E24" t="s">
        <v>461</v>
      </c>
      <c r="F24" t="s">
        <v>90</v>
      </c>
      <c r="G24" t="s">
        <v>94</v>
      </c>
      <c r="H24" t="s">
        <v>222</v>
      </c>
      <c r="I24" t="s">
        <v>384</v>
      </c>
      <c r="J24" t="s">
        <v>92</v>
      </c>
      <c r="K24" t="s">
        <v>1140</v>
      </c>
      <c r="L24" t="s">
        <v>1141</v>
      </c>
      <c r="M24" t="s">
        <v>1142</v>
      </c>
      <c r="N24" t="s">
        <v>1143</v>
      </c>
      <c r="O24" t="s">
        <v>1144</v>
      </c>
      <c r="P24" t="s">
        <v>1145</v>
      </c>
      <c r="Q24" t="s">
        <v>1146</v>
      </c>
      <c r="R24" t="s">
        <v>1147</v>
      </c>
    </row>
    <row r="25" spans="1:18" x14ac:dyDescent="0.3">
      <c r="A25">
        <v>11</v>
      </c>
      <c r="B25">
        <f t="array" ref="B25">INDEX('C contig'!$S$4:$AL$14,MATCH(B$24,'C contig'!$K$4:$K$14,0),MATCH(1,($A$24='C contig'!$S$3:$AL$3)*($A25='C contig'!$S$2:$AL$2),0))</f>
        <v>201518</v>
      </c>
      <c r="C25">
        <f t="array" ref="C25">INDEX('C contig'!$S$4:$AL$14,MATCH(C$24,'C contig'!$K$4:$K$14,0),MATCH(1,($A$24='C contig'!$S$3:$AL$3)*($A25='C contig'!$S$2:$AL$2),0))</f>
        <v>274056</v>
      </c>
      <c r="D25">
        <f t="array" ref="D25">INDEX('C contig'!$S$4:$AL$14,MATCH(D$24,'C contig'!$K$4:$K$14,0),MATCH(1,($A$24='C contig'!$S$3:$AL$3)*($A25='C contig'!$S$2:$AL$2),0))</f>
        <v>116405</v>
      </c>
      <c r="E25">
        <f t="array" ref="E25">INDEX('C contig'!$S$4:$AL$14,MATCH(E$24,'C contig'!$K$4:$K$14,0),MATCH(1,($A$24='C contig'!$S$3:$AL$3)*($A25='C contig'!$S$2:$AL$2),0))</f>
        <v>147888</v>
      </c>
      <c r="F25">
        <f t="array" ref="F25">INDEX('C contig'!$S$4:$AL$14,MATCH(F$24,'C contig'!$K$4:$K$14,0),MATCH(1,($A$24='C contig'!$S$3:$AL$3)*($A25='C contig'!$S$2:$AL$2),0))</f>
        <v>78233</v>
      </c>
      <c r="G25">
        <f t="array" ref="G25">INDEX('C contig'!$S$4:$AL$14,MATCH(G$24,'C contig'!$K$4:$K$14,0),MATCH(1,($A$24='C contig'!$S$3:$AL$3)*($A25='C contig'!$S$2:$AL$2),0))</f>
        <v>105556</v>
      </c>
      <c r="I25">
        <f t="array" ref="I25">INDEX('C contig'!$S$4:$AL$14,MATCH(I$24,'C contig'!$K$4:$K$14,0),MATCH(1,($A$24='C contig'!$S$3:$AL$3)*($A25='C contig'!$S$2:$AL$2),0))</f>
        <v>111088</v>
      </c>
      <c r="J25">
        <f t="array" ref="J25">INDEX('C contig'!$S$4:$AL$14,MATCH(J$24,'C contig'!$K$4:$K$14,0),MATCH(1,($A$24='C contig'!$S$3:$AL$3)*($A25='C contig'!$S$2:$AL$2),0))</f>
        <v>68446</v>
      </c>
      <c r="K25">
        <f>'C contig'!$AI15</f>
        <v>66336742</v>
      </c>
      <c r="L25">
        <f>'C contig'!$AI16</f>
        <v>58462999</v>
      </c>
      <c r="M25">
        <f>'C contig'!$AI17</f>
        <v>55855599</v>
      </c>
      <c r="N25">
        <f>'C contig'!$AI18</f>
        <v>75944018</v>
      </c>
      <c r="O25">
        <f>'C contig'!$AI20</f>
        <v>95564955</v>
      </c>
      <c r="P25">
        <f>'C contig'!$AI21</f>
        <v>13952798</v>
      </c>
      <c r="Q25">
        <f>'C contig'!$AI22</f>
        <v>12947</v>
      </c>
      <c r="R25">
        <f>'C contig'!$AI23</f>
        <v>804232</v>
      </c>
    </row>
    <row r="26" spans="1:18" x14ac:dyDescent="0.3">
      <c r="A26">
        <v>19</v>
      </c>
      <c r="B26">
        <f t="array" ref="B26">INDEX('C contig'!$S$4:$AL$14,MATCH(B$24,'C contig'!$K$4:$K$14,0),MATCH(1,($A$24='C contig'!$S$3:$AL$3)*($A26='C contig'!$S$2:$AL$2),0))</f>
        <v>1202159</v>
      </c>
      <c r="C26">
        <f t="array" ref="C26">INDEX('C contig'!$S$4:$AL$14,MATCH(C$24,'C contig'!$K$4:$K$14,0),MATCH(1,($A$24='C contig'!$S$3:$AL$3)*($A26='C contig'!$S$2:$AL$2),0))</f>
        <v>442480</v>
      </c>
      <c r="D26">
        <f t="array" ref="D26">INDEX('C contig'!$S$4:$AL$14,MATCH(D$24,'C contig'!$K$4:$K$14,0),MATCH(1,($A$24='C contig'!$S$3:$AL$3)*($A26='C contig'!$S$2:$AL$2),0))</f>
        <v>280201</v>
      </c>
      <c r="E26">
        <f t="array" ref="E26">INDEX('C contig'!$S$4:$AL$14,MATCH(E$24,'C contig'!$K$4:$K$14,0),MATCH(1,($A$24='C contig'!$S$3:$AL$3)*($A26='C contig'!$S$2:$AL$2),0))</f>
        <v>147888</v>
      </c>
      <c r="F26">
        <f t="array" ref="F26">INDEX('C contig'!$S$4:$AL$14,MATCH(F$24,'C contig'!$K$4:$K$14,0),MATCH(1,($A$24='C contig'!$S$3:$AL$3)*($A26='C contig'!$S$2:$AL$2),0))</f>
        <v>194001</v>
      </c>
      <c r="I26">
        <f t="array" ref="I26">INDEX('C contig'!$S$4:$AL$14,MATCH(I$24,'C contig'!$K$4:$K$14,0),MATCH(1,($A$24='C contig'!$S$3:$AL$3)*($A26='C contig'!$S$2:$AL$2),0))</f>
        <v>112434</v>
      </c>
      <c r="J26">
        <f t="array" ref="J26">INDEX('C contig'!$S$4:$AL$14,MATCH(J$24,'C contig'!$K$4:$K$14,0),MATCH(1,($A$24='C contig'!$S$3:$AL$3)*($A26='C contig'!$S$2:$AL$2),0))</f>
        <v>89707</v>
      </c>
      <c r="K26">
        <f>K25</f>
        <v>66336742</v>
      </c>
      <c r="L26">
        <f t="shared" ref="L26:R26" si="16">L25</f>
        <v>58462999</v>
      </c>
      <c r="M26">
        <f t="shared" si="16"/>
        <v>55855599</v>
      </c>
      <c r="N26">
        <f t="shared" si="16"/>
        <v>75944018</v>
      </c>
      <c r="O26">
        <f t="shared" si="16"/>
        <v>95564955</v>
      </c>
      <c r="P26">
        <f t="shared" si="16"/>
        <v>13952798</v>
      </c>
      <c r="Q26">
        <f t="shared" si="16"/>
        <v>12947</v>
      </c>
      <c r="R26">
        <f t="shared" si="16"/>
        <v>804232</v>
      </c>
    </row>
    <row r="27" spans="1:18" x14ac:dyDescent="0.3">
      <c r="A27">
        <v>28</v>
      </c>
      <c r="B27">
        <f t="array" ref="B27">INDEX('C contig'!$S$4:$AL$14,MATCH(B$24,'C contig'!$K$4:$K$14,0),MATCH(1,($A$24='C contig'!$S$3:$AL$3)*($A27='C contig'!$S$2:$AL$2),0))</f>
        <v>1996773</v>
      </c>
      <c r="C27">
        <f t="array" ref="C27">INDEX('C contig'!$S$4:$AL$14,MATCH(C$24,'C contig'!$K$4:$K$14,0),MATCH(1,($A$24='C contig'!$S$3:$AL$3)*($A27='C contig'!$S$2:$AL$2),0))</f>
        <v>496354</v>
      </c>
      <c r="D27">
        <f t="array" ref="D27">INDEX('C contig'!$S$4:$AL$14,MATCH(D$24,'C contig'!$K$4:$K$14,0),MATCH(1,($A$24='C contig'!$S$3:$AL$3)*($A27='C contig'!$S$2:$AL$2),0))</f>
        <v>385302</v>
      </c>
      <c r="E27">
        <f t="array" ref="E27">INDEX('C contig'!$S$4:$AL$14,MATCH(E$24,'C contig'!$K$4:$K$14,0),MATCH(1,($A$24='C contig'!$S$3:$AL$3)*($A27='C contig'!$S$2:$AL$2),0))</f>
        <v>394142</v>
      </c>
      <c r="F27">
        <f t="array" ref="F27">INDEX('C contig'!$S$4:$AL$14,MATCH(F$24,'C contig'!$K$4:$K$14,0),MATCH(1,($A$24='C contig'!$S$3:$AL$3)*($A27='C contig'!$S$2:$AL$2),0))</f>
        <v>223514</v>
      </c>
      <c r="H27">
        <f t="array" ref="H27">INDEX('C contig'!$S$4:$AL$14,MATCH(H$24,'C contig'!$K$4:$K$14,0),MATCH(1,($A$24='C contig'!$S$3:$AL$3)*($A27='C contig'!$S$2:$AL$2),0))</f>
        <v>243009</v>
      </c>
      <c r="I27">
        <f t="array" ref="I27">INDEX('C contig'!$S$4:$AL$14,MATCH(I$24,'C contig'!$K$4:$K$14,0),MATCH(1,($A$24='C contig'!$S$3:$AL$3)*($A27='C contig'!$S$2:$AL$2),0))</f>
        <v>123461</v>
      </c>
      <c r="J27">
        <f t="array" ref="J27">INDEX('C contig'!$S$4:$AL$14,MATCH(J$24,'C contig'!$K$4:$K$14,0),MATCH(1,($A$24='C contig'!$S$3:$AL$3)*($A27='C contig'!$S$2:$AL$2),0))</f>
        <v>96435</v>
      </c>
      <c r="K27">
        <f t="shared" ref="K27:K29" si="17">K26</f>
        <v>66336742</v>
      </c>
      <c r="L27">
        <f t="shared" ref="L27:L29" si="18">L26</f>
        <v>58462999</v>
      </c>
      <c r="M27">
        <f t="shared" ref="M27:M29" si="19">M26</f>
        <v>55855599</v>
      </c>
      <c r="N27">
        <f t="shared" ref="N27:N29" si="20">N26</f>
        <v>75944018</v>
      </c>
      <c r="O27">
        <f t="shared" ref="O27:O29" si="21">O26</f>
        <v>95564955</v>
      </c>
      <c r="P27">
        <f t="shared" ref="P27:P29" si="22">P26</f>
        <v>13952798</v>
      </c>
      <c r="Q27">
        <f t="shared" ref="Q27:Q29" si="23">Q26</f>
        <v>12947</v>
      </c>
      <c r="R27">
        <f t="shared" ref="R27:R29" si="24">R26</f>
        <v>804232</v>
      </c>
    </row>
    <row r="28" spans="1:18" x14ac:dyDescent="0.3">
      <c r="A28" t="s">
        <v>1083</v>
      </c>
      <c r="B28">
        <f t="array" ref="B28">INDEX('C contig'!$S$4:$AL$14,MATCH(B$24,'C contig'!$K$4:$K$14,0),MATCH(1,($A$24='C contig'!$S$3:$AL$3)*($A28='C contig'!$S$2:$AL$2),0))</f>
        <v>2215799</v>
      </c>
      <c r="C28">
        <f t="array" ref="C28">INDEX('C contig'!$S$4:$AL$14,MATCH(C$24,'C contig'!$K$4:$K$14,0),MATCH(1,($A$24='C contig'!$S$3:$AL$3)*($A28='C contig'!$S$2:$AL$2),0))</f>
        <v>751391</v>
      </c>
      <c r="D28">
        <f t="array" ref="D28">INDEX('C contig'!$S$4:$AL$14,MATCH(D$24,'C contig'!$K$4:$K$14,0),MATCH(1,($A$24='C contig'!$S$3:$AL$3)*($A28='C contig'!$S$2:$AL$2),0))</f>
        <v>665857</v>
      </c>
      <c r="E28">
        <f t="array" ref="E28">INDEX('C contig'!$S$4:$AL$14,MATCH(E$24,'C contig'!$K$4:$K$14,0),MATCH(1,($A$24='C contig'!$S$3:$AL$3)*($A28='C contig'!$S$2:$AL$2),0))</f>
        <v>422288</v>
      </c>
      <c r="F28">
        <f t="array" ref="F28">INDEX('C contig'!$S$4:$AL$14,MATCH(F$24,'C contig'!$K$4:$K$14,0),MATCH(1,($A$24='C contig'!$S$3:$AL$3)*($A28='C contig'!$S$2:$AL$2),0))</f>
        <v>284374</v>
      </c>
      <c r="H28">
        <f t="array" ref="H28">INDEX('C contig'!$S$4:$AL$14,MATCH(H$24,'C contig'!$K$4:$K$14,0),MATCH(1,($A$24='C contig'!$S$3:$AL$3)*($A28='C contig'!$S$2:$AL$2),0))</f>
        <v>243009</v>
      </c>
      <c r="I28">
        <f t="array" ref="I28">INDEX('C contig'!$S$4:$AL$14,MATCH(I$24,'C contig'!$K$4:$K$14,0),MATCH(1,($A$24='C contig'!$S$3:$AL$3)*($A28='C contig'!$S$2:$AL$2),0))</f>
        <v>151898</v>
      </c>
      <c r="J28">
        <f t="array" ref="J28">INDEX('C contig'!$S$4:$AL$14,MATCH(J$24,'C contig'!$K$4:$K$14,0),MATCH(1,($A$24='C contig'!$S$3:$AL$3)*($A28='C contig'!$S$2:$AL$2),0))</f>
        <v>101507</v>
      </c>
      <c r="K28">
        <f t="shared" si="17"/>
        <v>66336742</v>
      </c>
      <c r="L28">
        <f t="shared" si="18"/>
        <v>58462999</v>
      </c>
      <c r="M28">
        <f t="shared" si="19"/>
        <v>55855599</v>
      </c>
      <c r="N28">
        <f t="shared" si="20"/>
        <v>75944018</v>
      </c>
      <c r="O28">
        <f t="shared" si="21"/>
        <v>95564955</v>
      </c>
      <c r="P28">
        <f t="shared" si="22"/>
        <v>13952798</v>
      </c>
      <c r="Q28">
        <f t="shared" si="23"/>
        <v>12947</v>
      </c>
      <c r="R28">
        <f t="shared" si="24"/>
        <v>804232</v>
      </c>
    </row>
    <row r="29" spans="1:18" x14ac:dyDescent="0.3">
      <c r="A29" t="s">
        <v>1127</v>
      </c>
      <c r="B29">
        <f t="array" ref="B29">INDEX('C contig'!$S$4:$AL$14,MATCH(B$24,'C contig'!$K$4:$K$14,0),MATCH(1,($A$24='C contig'!$S$3:$AL$3)*($A29='C contig'!$S$2:$AL$2),0))</f>
        <v>2215799</v>
      </c>
      <c r="C29">
        <f t="array" ref="C29">INDEX('C contig'!$S$4:$AL$14,MATCH(C$24,'C contig'!$K$4:$K$14,0),MATCH(1,($A$24='C contig'!$S$3:$AL$3)*($A29='C contig'!$S$2:$AL$2),0))</f>
        <v>753958</v>
      </c>
      <c r="D29">
        <f t="array" ref="D29">INDEX('C contig'!$S$4:$AL$14,MATCH(D$24,'C contig'!$K$4:$K$14,0),MATCH(1,($A$24='C contig'!$S$3:$AL$3)*($A29='C contig'!$S$2:$AL$2),0))</f>
        <v>673506</v>
      </c>
      <c r="E29">
        <f t="array" ref="E29">INDEX('C contig'!$S$4:$AL$14,MATCH(E$24,'C contig'!$K$4:$K$14,0),MATCH(1,($A$24='C contig'!$S$3:$AL$3)*($A29='C contig'!$S$2:$AL$2),0))</f>
        <v>422354</v>
      </c>
      <c r="F29">
        <f t="array" ref="F29">INDEX('C contig'!$S$4:$AL$14,MATCH(F$24,'C contig'!$K$4:$K$14,0),MATCH(1,($A$24='C contig'!$S$3:$AL$3)*($A29='C contig'!$S$2:$AL$2),0))</f>
        <v>285807</v>
      </c>
      <c r="H29">
        <f t="array" ref="H29">INDEX('C contig'!$S$4:$AL$14,MATCH(H$24,'C contig'!$K$4:$K$14,0),MATCH(1,($A$24='C contig'!$S$3:$AL$3)*($A29='C contig'!$S$2:$AL$2),0))</f>
        <v>302872</v>
      </c>
      <c r="I29">
        <f t="array" ref="I29">INDEX('C contig'!$S$4:$AL$14,MATCH(I$24,'C contig'!$K$4:$K$14,0),MATCH(1,($A$24='C contig'!$S$3:$AL$3)*($A29='C contig'!$S$2:$AL$2),0))</f>
        <v>152025</v>
      </c>
      <c r="J29">
        <f t="array" ref="J29">INDEX('C contig'!$S$4:$AL$14,MATCH(J$24,'C contig'!$K$4:$K$14,0),MATCH(1,($A$24='C contig'!$S$3:$AL$3)*($A29='C contig'!$S$2:$AL$2),0))</f>
        <v>101527</v>
      </c>
      <c r="K29">
        <f t="shared" si="17"/>
        <v>66336742</v>
      </c>
      <c r="L29">
        <f t="shared" si="18"/>
        <v>58462999</v>
      </c>
      <c r="M29">
        <f t="shared" si="19"/>
        <v>55855599</v>
      </c>
      <c r="N29">
        <f t="shared" si="20"/>
        <v>75944018</v>
      </c>
      <c r="O29">
        <f t="shared" si="21"/>
        <v>95564955</v>
      </c>
      <c r="P29">
        <f t="shared" si="22"/>
        <v>13952798</v>
      </c>
      <c r="Q29">
        <f t="shared" si="23"/>
        <v>12947</v>
      </c>
      <c r="R29">
        <f t="shared" si="24"/>
        <v>804232</v>
      </c>
    </row>
    <row r="30" spans="1:18" x14ac:dyDescent="0.3">
      <c r="A30" t="s">
        <v>474</v>
      </c>
      <c r="B30" t="s">
        <v>89</v>
      </c>
      <c r="C30" t="s">
        <v>93</v>
      </c>
      <c r="D30" t="s">
        <v>490</v>
      </c>
      <c r="E30" t="s">
        <v>461</v>
      </c>
      <c r="F30" t="s">
        <v>90</v>
      </c>
      <c r="G30" t="s">
        <v>94</v>
      </c>
      <c r="H30" t="s">
        <v>222</v>
      </c>
      <c r="I30" t="s">
        <v>384</v>
      </c>
      <c r="J30" t="s">
        <v>92</v>
      </c>
      <c r="K30" t="s">
        <v>1140</v>
      </c>
      <c r="L30" t="s">
        <v>1141</v>
      </c>
      <c r="M30" t="s">
        <v>1142</v>
      </c>
      <c r="N30" t="s">
        <v>1143</v>
      </c>
      <c r="O30" t="s">
        <v>1144</v>
      </c>
      <c r="P30" t="s">
        <v>1145</v>
      </c>
      <c r="Q30" t="s">
        <v>1146</v>
      </c>
      <c r="R30" t="s">
        <v>1147</v>
      </c>
    </row>
    <row r="31" spans="1:18" x14ac:dyDescent="0.3">
      <c r="A31">
        <v>11</v>
      </c>
      <c r="B31" s="11">
        <f t="array" ref="B31">INDEX('C Kmer'!$W$4:$AF$12,MATCH(B$30,'C Kmer'!$V$4:$V$12,0),MATCH(1,($A$30='C Kmer'!$W$3:$AF$3)*($A31='C Kmer'!$W$2:$AF$2),0))</f>
        <v>0.97176899999999999</v>
      </c>
      <c r="C31" s="11">
        <f t="array" ref="C31">INDEX('C Kmer'!$W$4:$AF$12,MATCH(C$30,'C Kmer'!$V$4:$V$12,0),MATCH(1,($A$30='C Kmer'!$W$3:$AF$3)*($A31='C Kmer'!$W$2:$AF$2),0))</f>
        <v>0.91790300000000002</v>
      </c>
      <c r="D31" s="11">
        <f t="array" ref="D31">INDEX('C Kmer'!$W$4:$AF$12,MATCH(D$30,'C Kmer'!$V$4:$V$12,0),MATCH(1,($A$30='C Kmer'!$W$3:$AF$3)*($A31='C Kmer'!$W$2:$AF$2),0))</f>
        <v>0.97481399999999996</v>
      </c>
      <c r="E31" s="11">
        <f t="array" ref="E31">INDEX('C Kmer'!$W$4:$AF$12,MATCH(E$30,'C Kmer'!$V$4:$V$12,0),MATCH(1,($A$30='C Kmer'!$W$3:$AF$3)*($A31='C Kmer'!$W$2:$AF$2),0))</f>
        <v>0.69647199999999998</v>
      </c>
      <c r="F31" s="11">
        <f t="array" ref="F31">INDEX('C Kmer'!$W$4:$AF$12,MATCH(F$30,'C Kmer'!$V$4:$V$12,0),MATCH(1,($A$30='C Kmer'!$W$3:$AF$3)*($A31='C Kmer'!$W$2:$AF$2),0))</f>
        <v>0.94943599999999995</v>
      </c>
      <c r="G31" s="11">
        <f t="array" ref="G31">INDEX('C Kmer'!$W$4:$AF$12,MATCH(G$30,'C Kmer'!$V$4:$V$12,0),MATCH(1,($A$30='C Kmer'!$W$3:$AF$3)*($A31='C Kmer'!$W$2:$AF$2),0))</f>
        <v>0.95262000000000002</v>
      </c>
      <c r="H31" s="11"/>
      <c r="I31" s="11">
        <f t="array" ref="I31">INDEX('C Kmer'!$W$4:$AF$12,MATCH(I$30,'C Kmer'!$V$4:$V$12,0),MATCH(1,($A$30='C Kmer'!$W$3:$AF$3)*($A31='C Kmer'!$W$2:$AF$2),0))</f>
        <v>0.72290100000000002</v>
      </c>
      <c r="J31" s="11">
        <f t="array" ref="J31">INDEX('C Kmer'!$W$4:$AF$12,MATCH(J$30,'C Kmer'!$V$4:$V$12,0),MATCH(1,($A$30='C Kmer'!$W$3:$AF$3)*($A31='C Kmer'!$W$2:$AF$2),0))</f>
        <v>0.66332199999999997</v>
      </c>
      <c r="K31" s="293">
        <f t="array" ref="K31:R31">TRANSPOSE('C Busco'!$BM15:$BM23)</f>
        <v>0.98799999999999999</v>
      </c>
      <c r="L31" s="293">
        <v>0.98199999999999998</v>
      </c>
      <c r="M31" s="293">
        <v>0.97499999999999998</v>
      </c>
      <c r="N31" s="293">
        <v>0.97399999999999998</v>
      </c>
      <c r="O31" s="293">
        <v>0.94</v>
      </c>
      <c r="P31" s="293">
        <v>0.95699999999999996</v>
      </c>
      <c r="Q31" s="293">
        <v>0.98199999999999998</v>
      </c>
      <c r="R31" s="293">
        <v>0.46200000000000002</v>
      </c>
    </row>
    <row r="32" spans="1:18" x14ac:dyDescent="0.3">
      <c r="A32">
        <v>19</v>
      </c>
      <c r="B32" s="11">
        <f t="array" ref="B32">INDEX('C Kmer'!$W$4:$AF$12,MATCH(B$30,'C Kmer'!$V$4:$V$12,0),MATCH(1,($A$30='C Kmer'!$W$3:$AF$3)*($A32='C Kmer'!$W$2:$AF$2),0))</f>
        <v>0.98341100000000004</v>
      </c>
      <c r="C32" s="11">
        <f t="array" ref="C32">INDEX('C Kmer'!$W$4:$AF$12,MATCH(C$30,'C Kmer'!$V$4:$V$12,0),MATCH(1,($A$30='C Kmer'!$W$3:$AF$3)*($A32='C Kmer'!$W$2:$AF$2),0))</f>
        <v>0.92064599999999996</v>
      </c>
      <c r="D32" s="11">
        <f t="array" ref="D32">INDEX('C Kmer'!$W$4:$AF$12,MATCH(D$30,'C Kmer'!$V$4:$V$12,0),MATCH(1,($A$30='C Kmer'!$W$3:$AF$3)*($A32='C Kmer'!$W$2:$AF$2),0))</f>
        <v>0.98504700000000001</v>
      </c>
      <c r="E32" s="11">
        <f t="array" ref="E32">INDEX('C Kmer'!$W$4:$AF$12,MATCH(E$30,'C Kmer'!$V$4:$V$12,0),MATCH(1,($A$30='C Kmer'!$W$3:$AF$3)*($A32='C Kmer'!$W$2:$AF$2),0))</f>
        <v>0.94558299999999995</v>
      </c>
      <c r="F32" s="11">
        <f t="array" ref="F32">INDEX('C Kmer'!$W$4:$AF$12,MATCH(F$30,'C Kmer'!$V$4:$V$12,0),MATCH(1,($A$30='C Kmer'!$W$3:$AF$3)*($A32='C Kmer'!$W$2:$AF$2),0))</f>
        <v>0.97807900000000003</v>
      </c>
      <c r="G32" s="11"/>
      <c r="H32" s="11"/>
      <c r="I32" s="11">
        <f t="array" ref="I32">INDEX('C Kmer'!$W$4:$AF$12,MATCH(I$30,'C Kmer'!$V$4:$V$12,0),MATCH(1,($A$30='C Kmer'!$W$3:$AF$3)*($A32='C Kmer'!$W$2:$AF$2),0))</f>
        <v>0.69730000000000003</v>
      </c>
      <c r="J32" s="11">
        <f t="array" ref="J32">INDEX('C Kmer'!$W$4:$AF$12,MATCH(J$30,'C Kmer'!$V$4:$V$12,0),MATCH(1,($A$30='C Kmer'!$W$3:$AF$3)*($A32='C Kmer'!$W$2:$AF$2),0))</f>
        <v>0.71904299999999999</v>
      </c>
      <c r="K32" s="293">
        <f>K31</f>
        <v>0.98799999999999999</v>
      </c>
      <c r="L32" s="293">
        <f t="shared" ref="L32:R32" si="25">L31</f>
        <v>0.98199999999999998</v>
      </c>
      <c r="M32" s="293">
        <f t="shared" si="25"/>
        <v>0.97499999999999998</v>
      </c>
      <c r="N32" s="293">
        <f t="shared" si="25"/>
        <v>0.97399999999999998</v>
      </c>
      <c r="O32" s="293">
        <f t="shared" si="25"/>
        <v>0.94</v>
      </c>
      <c r="P32" s="293">
        <f t="shared" si="25"/>
        <v>0.95699999999999996</v>
      </c>
      <c r="Q32" s="293">
        <f t="shared" si="25"/>
        <v>0.98199999999999998</v>
      </c>
      <c r="R32" s="293">
        <f t="shared" si="25"/>
        <v>0.46200000000000002</v>
      </c>
    </row>
    <row r="33" spans="1:35" x14ac:dyDescent="0.3">
      <c r="A33">
        <v>28</v>
      </c>
      <c r="B33" s="11">
        <f t="array" ref="B33">INDEX('C Kmer'!$W$4:$AF$12,MATCH(B$30,'C Kmer'!$V$4:$V$12,0),MATCH(1,($A$30='C Kmer'!$W$3:$AF$3)*($A33='C Kmer'!$W$2:$AF$2),0))</f>
        <v>0.98260199999999998</v>
      </c>
      <c r="C33" s="11">
        <f t="array" ref="C33">INDEX('C Kmer'!$W$4:$AF$12,MATCH(C$30,'C Kmer'!$V$4:$V$12,0),MATCH(1,($A$30='C Kmer'!$W$3:$AF$3)*($A33='C Kmer'!$W$2:$AF$2),0))</f>
        <v>0.92276499999999995</v>
      </c>
      <c r="D33" s="11">
        <f t="array" ref="D33">INDEX('C Kmer'!$W$4:$AF$12,MATCH(D$30,'C Kmer'!$V$4:$V$12,0),MATCH(1,($A$30='C Kmer'!$W$3:$AF$3)*($A33='C Kmer'!$W$2:$AF$2),0))</f>
        <v>0.984406</v>
      </c>
      <c r="E33" s="11">
        <f t="array" ref="E33">INDEX('C Kmer'!$W$4:$AF$12,MATCH(E$30,'C Kmer'!$V$4:$V$12,0),MATCH(1,($A$30='C Kmer'!$W$3:$AF$3)*($A33='C Kmer'!$W$2:$AF$2),0))</f>
        <v>0.96069199999999999</v>
      </c>
      <c r="F33" s="11">
        <f t="array" ref="F33">INDEX('C Kmer'!$W$4:$AF$12,MATCH(F$30,'C Kmer'!$V$4:$V$12,0),MATCH(1,($A$30='C Kmer'!$W$3:$AF$3)*($A33='C Kmer'!$W$2:$AF$2),0))</f>
        <v>0.976796</v>
      </c>
      <c r="G33" s="11"/>
      <c r="H33" s="11">
        <f t="array" ref="H33">INDEX('C Kmer'!$W$4:$AF$12,MATCH(H$30,'C Kmer'!$V$4:$V$12,0),MATCH(1,($A$30='C Kmer'!$W$3:$AF$3)*($A33='C Kmer'!$W$2:$AF$2),0))</f>
        <v>0.93184599999999995</v>
      </c>
      <c r="I33" s="11">
        <f t="array" ref="I33">INDEX('C Kmer'!$W$4:$AF$12,MATCH(I$30,'C Kmer'!$V$4:$V$12,0),MATCH(1,($A$30='C Kmer'!$W$3:$AF$3)*($A33='C Kmer'!$W$2:$AF$2),0))</f>
        <v>0.71074800000000005</v>
      </c>
      <c r="J33" s="11">
        <f t="array" ref="J33">INDEX('C Kmer'!$W$4:$AF$12,MATCH(J$30,'C Kmer'!$V$4:$V$12,0),MATCH(1,($A$30='C Kmer'!$W$3:$AF$3)*($A33='C Kmer'!$W$2:$AF$2),0))</f>
        <v>0.732186</v>
      </c>
      <c r="K33" s="293">
        <f t="shared" ref="K33:K35" si="26">K32</f>
        <v>0.98799999999999999</v>
      </c>
      <c r="L33" s="293">
        <f t="shared" ref="L33:L35" si="27">L32</f>
        <v>0.98199999999999998</v>
      </c>
      <c r="M33" s="293">
        <f t="shared" ref="M33:M35" si="28">M32</f>
        <v>0.97499999999999998</v>
      </c>
      <c r="N33" s="293">
        <f t="shared" ref="N33:N35" si="29">N32</f>
        <v>0.97399999999999998</v>
      </c>
      <c r="O33" s="293">
        <f t="shared" ref="O33:O35" si="30">O32</f>
        <v>0.94</v>
      </c>
      <c r="P33" s="293">
        <f t="shared" ref="P33:P35" si="31">P32</f>
        <v>0.95699999999999996</v>
      </c>
      <c r="Q33" s="293">
        <f t="shared" ref="Q33:Q35" si="32">Q32</f>
        <v>0.98199999999999998</v>
      </c>
      <c r="R33" s="293">
        <f t="shared" ref="R33:R35" si="33">R32</f>
        <v>0.46200000000000002</v>
      </c>
    </row>
    <row r="34" spans="1:35" x14ac:dyDescent="0.3">
      <c r="A34" t="s">
        <v>1083</v>
      </c>
      <c r="B34" s="11">
        <f t="array" ref="B34">INDEX('C Kmer'!$W$4:$AF$12,MATCH(B$30,'C Kmer'!$V$4:$V$12,0),MATCH(1,($A$30='C Kmer'!$W$3:$AF$3)*($A34='C Kmer'!$W$2:$AF$2),0))</f>
        <v>0.95474599999999998</v>
      </c>
      <c r="C34" s="11">
        <f t="array" ref="C34">INDEX('C Kmer'!$W$4:$AF$12,MATCH(C$30,'C Kmer'!$V$4:$V$12,0),MATCH(1,($A$30='C Kmer'!$W$3:$AF$3)*($A34='C Kmer'!$W$2:$AF$2),0))</f>
        <v>0.84443199999999996</v>
      </c>
      <c r="D34" s="11">
        <f t="array" ref="D34">INDEX('C Kmer'!$W$4:$AF$12,MATCH(D$30,'C Kmer'!$V$4:$V$12,0),MATCH(1,($A$30='C Kmer'!$W$3:$AF$3)*($A34='C Kmer'!$W$2:$AF$2),0))</f>
        <v>0.98440499999999997</v>
      </c>
      <c r="E34" s="11">
        <f t="array" ref="E34">INDEX('C Kmer'!$W$4:$AF$12,MATCH(E$30,'C Kmer'!$V$4:$V$12,0),MATCH(1,($A$30='C Kmer'!$W$3:$AF$3)*($A34='C Kmer'!$W$2:$AF$2),0))</f>
        <v>0.93719799999999998</v>
      </c>
      <c r="F34" s="11">
        <f t="array" ref="F34">INDEX('C Kmer'!$W$4:$AF$12,MATCH(F$30,'C Kmer'!$V$4:$V$12,0),MATCH(1,($A$30='C Kmer'!$W$3:$AF$3)*($A34='C Kmer'!$W$2:$AF$2),0))</f>
        <v>0.97678900000000002</v>
      </c>
      <c r="G34" s="11"/>
      <c r="H34" s="11">
        <f t="array" ref="H34">INDEX('C Kmer'!$W$4:$AF$12,MATCH(H$30,'C Kmer'!$V$4:$V$12,0),MATCH(1,($A$30='C Kmer'!$W$3:$AF$3)*($A34='C Kmer'!$W$2:$AF$2),0))</f>
        <v>0.93184599999999995</v>
      </c>
      <c r="I34" s="11">
        <f t="array" ref="I34">INDEX('C Kmer'!$W$4:$AF$12,MATCH(I$30,'C Kmer'!$V$4:$V$12,0),MATCH(1,($A$30='C Kmer'!$W$3:$AF$3)*($A34='C Kmer'!$W$2:$AF$2),0))</f>
        <v>0.62749500000000002</v>
      </c>
      <c r="J34" s="11">
        <f t="array" ref="J34">INDEX('C Kmer'!$W$4:$AF$12,MATCH(J$30,'C Kmer'!$V$4:$V$12,0),MATCH(1,($A$30='C Kmer'!$W$3:$AF$3)*($A34='C Kmer'!$W$2:$AF$2),0))</f>
        <v>0.69826999999999995</v>
      </c>
      <c r="K34" s="293">
        <f t="shared" si="26"/>
        <v>0.98799999999999999</v>
      </c>
      <c r="L34" s="293">
        <f t="shared" si="27"/>
        <v>0.98199999999999998</v>
      </c>
      <c r="M34" s="293">
        <f t="shared" si="28"/>
        <v>0.97499999999999998</v>
      </c>
      <c r="N34" s="293">
        <f t="shared" si="29"/>
        <v>0.97399999999999998</v>
      </c>
      <c r="O34" s="293">
        <f t="shared" si="30"/>
        <v>0.94</v>
      </c>
      <c r="P34" s="293">
        <f t="shared" si="31"/>
        <v>0.95699999999999996</v>
      </c>
      <c r="Q34" s="293">
        <f t="shared" si="32"/>
        <v>0.98199999999999998</v>
      </c>
      <c r="R34" s="293">
        <f t="shared" si="33"/>
        <v>0.46200000000000002</v>
      </c>
    </row>
    <row r="35" spans="1:35" x14ac:dyDescent="0.3">
      <c r="A35" t="s">
        <v>1127</v>
      </c>
      <c r="B35" s="11">
        <f t="array" ref="B35">INDEX('C Kmer'!$W$4:$AF$12,MATCH(B$30,'C Kmer'!$V$4:$V$12,0),MATCH(1,($A$30='C Kmer'!$W$3:$AF$3)*($A35='C Kmer'!$W$2:$AF$2),0))</f>
        <v>0.95473699999999995</v>
      </c>
      <c r="C35" s="11">
        <f t="array" ref="C35">INDEX('C Kmer'!$W$4:$AF$12,MATCH(C$30,'C Kmer'!$V$4:$V$12,0),MATCH(1,($A$30='C Kmer'!$W$3:$AF$3)*($A35='C Kmer'!$W$2:$AF$2),0))</f>
        <v>0.92271099999999995</v>
      </c>
      <c r="D35" s="11">
        <f t="array" ref="D35">INDEX('C Kmer'!$W$4:$AF$12,MATCH(D$30,'C Kmer'!$V$4:$V$12,0),MATCH(1,($A$30='C Kmer'!$W$3:$AF$3)*($A35='C Kmer'!$W$2:$AF$2),0))</f>
        <v>0.98353000000000002</v>
      </c>
      <c r="E35" s="11">
        <f t="array" ref="E35">INDEX('C Kmer'!$W$4:$AF$12,MATCH(E$30,'C Kmer'!$V$4:$V$12,0),MATCH(1,($A$30='C Kmer'!$W$3:$AF$3)*($A35='C Kmer'!$W$2:$AF$2),0))</f>
        <v>0.93717700000000004</v>
      </c>
      <c r="F35" s="11">
        <f t="array" ref="F35">INDEX('C Kmer'!$W$4:$AF$12,MATCH(F$30,'C Kmer'!$V$4:$V$12,0),MATCH(1,($A$30='C Kmer'!$W$3:$AF$3)*($A35='C Kmer'!$W$2:$AF$2),0))</f>
        <v>0.97670199999999996</v>
      </c>
      <c r="G35" s="11"/>
      <c r="H35" s="11">
        <f t="array" ref="H35">INDEX('C Kmer'!$W$4:$AF$12,MATCH(H$30,'C Kmer'!$V$4:$V$12,0),MATCH(1,($A$30='C Kmer'!$W$3:$AF$3)*($A35='C Kmer'!$W$2:$AF$2),0))</f>
        <v>0.92783800000000005</v>
      </c>
      <c r="I35" s="11">
        <f t="array" ref="I35">INDEX('C Kmer'!$W$4:$AF$12,MATCH(I$30,'C Kmer'!$V$4:$V$12,0),MATCH(1,($A$30='C Kmer'!$W$3:$AF$3)*($A35='C Kmer'!$W$2:$AF$2),0))</f>
        <v>0.71070999999999995</v>
      </c>
      <c r="J35" s="11">
        <f t="array" ref="J35">INDEX('C Kmer'!$W$4:$AF$12,MATCH(J$30,'C Kmer'!$V$4:$V$12,0),MATCH(1,($A$30='C Kmer'!$W$3:$AF$3)*($A35='C Kmer'!$W$2:$AF$2),0))</f>
        <v>0.73214999999999997</v>
      </c>
      <c r="K35" s="293">
        <f t="shared" si="26"/>
        <v>0.98799999999999999</v>
      </c>
      <c r="L35" s="293">
        <f t="shared" si="27"/>
        <v>0.98199999999999998</v>
      </c>
      <c r="M35" s="293">
        <f t="shared" si="28"/>
        <v>0.97499999999999998</v>
      </c>
      <c r="N35" s="293">
        <f t="shared" si="29"/>
        <v>0.97399999999999998</v>
      </c>
      <c r="O35" s="293">
        <f t="shared" si="30"/>
        <v>0.94</v>
      </c>
      <c r="P35" s="293">
        <f t="shared" si="31"/>
        <v>0.95699999999999996</v>
      </c>
      <c r="Q35" s="293">
        <f t="shared" si="32"/>
        <v>0.98199999999999998</v>
      </c>
      <c r="R35" s="293">
        <f t="shared" si="33"/>
        <v>0.46200000000000002</v>
      </c>
    </row>
    <row r="36" spans="1:35" x14ac:dyDescent="0.3">
      <c r="A36" t="s">
        <v>475</v>
      </c>
      <c r="B36" t="s">
        <v>89</v>
      </c>
      <c r="C36" t="s">
        <v>93</v>
      </c>
      <c r="D36" t="s">
        <v>490</v>
      </c>
      <c r="E36" t="s">
        <v>461</v>
      </c>
      <c r="F36" t="s">
        <v>90</v>
      </c>
      <c r="G36" t="s">
        <v>94</v>
      </c>
      <c r="H36" t="s">
        <v>222</v>
      </c>
      <c r="I36" t="s">
        <v>384</v>
      </c>
      <c r="J36" t="s">
        <v>92</v>
      </c>
      <c r="L36" s="293"/>
      <c r="M36" s="293"/>
      <c r="N36" s="79"/>
      <c r="O36" s="79"/>
      <c r="P36" s="79"/>
    </row>
    <row r="37" spans="1:35" x14ac:dyDescent="0.3">
      <c r="A37">
        <v>11</v>
      </c>
      <c r="B37" s="11">
        <f t="array" ref="B37">INDEX('C Busco'!$AS$4:$BQ$14,MATCH(B$36,'C Busco'!$AR$4:$AR$14,0),MATCH(1,($A$36='C Busco'!$AS$3:$BQ$3)*($A37='C Busco'!$AS$2:$BQ$2),0))</f>
        <v>0.92181303116147306</v>
      </c>
      <c r="C37" s="11">
        <f t="array" ref="C37">INDEX('C Busco'!$AS$4:$BQ$14,MATCH(C$36,'C Busco'!$AR$4:$AR$14,0),MATCH(1,($A$36='C Busco'!$AS$3:$BQ$3)*($A37='C Busco'!$AS$2:$BQ$2),0))</f>
        <v>0.952407932011331</v>
      </c>
      <c r="D37" s="11">
        <f t="array" ref="D37">INDEX('C Busco'!$AS$4:$BQ$14,MATCH(D$36,'C Busco'!$AR$4:$AR$14,0),MATCH(1,($A$36='C Busco'!$AS$3:$BQ$3)*($A37='C Busco'!$AS$2:$BQ$2),0))</f>
        <v>0.90689329556185083</v>
      </c>
      <c r="E37" s="11">
        <f t="array" ref="E37">INDEX('C Busco'!$AS$4:$BQ$14,MATCH(E$36,'C Busco'!$AR$4:$AR$14,0),MATCH(1,($A$36='C Busco'!$AS$3:$BQ$3)*($A37='C Busco'!$AS$2:$BQ$2),0))</f>
        <v>0.82228517469310669</v>
      </c>
      <c r="F37" s="11">
        <f t="array" ref="F37">INDEX('C Busco'!$AS$4:$BQ$14,MATCH(F$36,'C Busco'!$AR$4:$AR$14,0),MATCH(1,($A$36='C Busco'!$AS$3:$BQ$3)*($A37='C Busco'!$AS$2:$BQ$2),0))</f>
        <v>0.82587346553352214</v>
      </c>
      <c r="G37" s="11">
        <f t="array" ref="G37">INDEX('C Busco'!$AS$4:$BQ$14,MATCH(G$36,'C Busco'!$AR$4:$AR$14,0),MATCH(1,($A$36='C Busco'!$AS$3:$BQ$3)*($A37='C Busco'!$AS$2:$BQ$2),0))</f>
        <v>0.9053824362606232</v>
      </c>
      <c r="H37" s="11"/>
      <c r="I37" s="11">
        <f t="array" ref="I37">INDEX('C Busco'!$AS$4:$BQ$14,MATCH(I$36,'C Busco'!$AR$4:$AR$14,0),MATCH(1,($A$36='C Busco'!$AS$3:$BQ$3)*($A37='C Busco'!$AS$2:$BQ$2),0))</f>
        <v>0.69801699716713883</v>
      </c>
      <c r="J37" s="11">
        <f t="array" ref="J37">INDEX('C Busco'!$AS$4:$BQ$14,MATCH(J$36,'C Busco'!$AR$4:$AR$14,0),MATCH(1,($A$36='C Busco'!$AS$3:$BQ$3)*($A37='C Busco'!$AS$2:$BQ$2),0))</f>
        <v>0.70047214353163356</v>
      </c>
      <c r="L37" s="293"/>
      <c r="M37" s="293"/>
      <c r="N37" s="79"/>
      <c r="O37" s="79"/>
      <c r="P37" s="79"/>
    </row>
    <row r="38" spans="1:35" x14ac:dyDescent="0.3">
      <c r="A38">
        <v>19</v>
      </c>
      <c r="B38" s="11">
        <f t="array" ref="B38">INDEX('C Busco'!$AS$4:$BQ$14,MATCH(B$36,'C Busco'!$AR$4:$AR$14,0),MATCH(1,($A$36='C Busco'!$AS$3:$BQ$3)*($A38='C Busco'!$AS$2:$BQ$2),0))</f>
        <v>0.97167138810198306</v>
      </c>
      <c r="C38" s="11">
        <f t="array" ref="C38">INDEX('C Busco'!$AS$4:$BQ$14,MATCH(C$36,'C Busco'!$AR$4:$AR$14,0),MATCH(1,($A$36='C Busco'!$AS$3:$BQ$3)*($A38='C Busco'!$AS$2:$BQ$2),0))</f>
        <v>0.97544853635505191</v>
      </c>
      <c r="D38" s="11">
        <f t="array" ref="D38">INDEX('C Busco'!$AS$4:$BQ$14,MATCH(D$36,'C Busco'!$AR$4:$AR$14,0),MATCH(1,($A$36='C Busco'!$AS$3:$BQ$3)*($A38='C Busco'!$AS$2:$BQ$2),0))</f>
        <v>0.97186024551463646</v>
      </c>
      <c r="E38" s="11">
        <f t="array" ref="E38">INDEX('C Busco'!$AS$4:$BQ$14,MATCH(E$36,'C Busco'!$AR$4:$AR$14,0),MATCH(1,($A$36='C Busco'!$AS$3:$BQ$3)*($A38='C Busco'!$AS$2:$BQ$2),0))</f>
        <v>0.91822474032105761</v>
      </c>
      <c r="F38" s="11">
        <f t="array" ref="F38">INDEX('C Busco'!$AS$4:$BQ$14,MATCH(F$36,'C Busco'!$AR$4:$AR$14,0),MATCH(1,($A$36='C Busco'!$AS$3:$BQ$3)*($A38='C Busco'!$AS$2:$BQ$2),0))</f>
        <v>0.92540132200188863</v>
      </c>
      <c r="G38" s="11"/>
      <c r="H38" s="11"/>
      <c r="I38" s="11">
        <f t="array" ref="I38">INDEX('C Busco'!$AS$4:$BQ$14,MATCH(I$36,'C Busco'!$AR$4:$AR$14,0),MATCH(1,($A$36='C Busco'!$AS$3:$BQ$3)*($A38='C Busco'!$AS$2:$BQ$2),0))</f>
        <v>0.70399999999999996</v>
      </c>
      <c r="J38" s="11">
        <f t="array" ref="J38">INDEX('C Busco'!$AS$4:$BQ$14,MATCH(J$36,'C Busco'!$AR$4:$AR$14,0),MATCH(1,($A$36='C Busco'!$AS$3:$BQ$3)*($A38='C Busco'!$AS$2:$BQ$2),0))</f>
        <v>0.83078375826251183</v>
      </c>
      <c r="L38" s="293"/>
      <c r="M38" s="293"/>
      <c r="N38" s="79"/>
      <c r="O38" s="79"/>
      <c r="P38" s="79"/>
    </row>
    <row r="39" spans="1:35" x14ac:dyDescent="0.3">
      <c r="A39">
        <v>28</v>
      </c>
      <c r="B39" s="11">
        <f t="array" ref="B39">INDEX('C Busco'!$AS$4:$BQ$14,MATCH(B$36,'C Busco'!$AR$4:$AR$14,0),MATCH(1,($A$36='C Busco'!$AS$3:$BQ$3)*($A39='C Busco'!$AS$2:$BQ$2),0))</f>
        <v>0.98</v>
      </c>
      <c r="C39" s="11">
        <f t="array" ref="C39">INDEX('C Busco'!$AS$4:$BQ$14,MATCH(C$36,'C Busco'!$AR$4:$AR$14,0),MATCH(1,($A$36='C Busco'!$AS$3:$BQ$3)*($A39='C Busco'!$AS$2:$BQ$2),0))</f>
        <v>0.97828139754485399</v>
      </c>
      <c r="D39" s="11">
        <f t="array" ref="D39">INDEX('C Busco'!$AS$4:$BQ$14,MATCH(D$36,'C Busco'!$AR$4:$AR$14,0),MATCH(1,($A$36='C Busco'!$AS$3:$BQ$3)*($A39='C Busco'!$AS$2:$BQ$2),0))</f>
        <v>0.97771482530689324</v>
      </c>
      <c r="E39" s="11">
        <f t="array" ref="E39">INDEX('C Busco'!$AS$4:$BQ$14,MATCH(E$36,'C Busco'!$AR$4:$AR$14,0),MATCH(1,($A$36='C Busco'!$AS$3:$BQ$3)*($A39='C Busco'!$AS$2:$BQ$2),0))</f>
        <v>0.95014164305949012</v>
      </c>
      <c r="F39" s="11">
        <f t="array" ref="F39">INDEX('C Busco'!$AS$4:$BQ$14,MATCH(F$36,'C Busco'!$AR$4:$AR$14,0),MATCH(1,($A$36='C Busco'!$AS$3:$BQ$3)*($A39='C Busco'!$AS$2:$BQ$2),0))</f>
        <v>0.92936732766761099</v>
      </c>
      <c r="G39" s="11"/>
      <c r="H39" s="11">
        <f t="array" ref="H39">INDEX('C Busco'!$AS$4:$BQ$14,MATCH(H$36,'C Busco'!$AR$4:$AR$14,0),MATCH(1,($A$36='C Busco'!$AS$3:$BQ$3)*($A39='C Busco'!$AS$2:$BQ$2),0))</f>
        <v>0.97499999999999998</v>
      </c>
      <c r="I39" s="11">
        <f t="array" ref="I39">INDEX('C Busco'!$AS$4:$BQ$14,MATCH(I$36,'C Busco'!$AR$4:$AR$14,0),MATCH(1,($A$36='C Busco'!$AS$3:$BQ$3)*($A39='C Busco'!$AS$2:$BQ$2),0))</f>
        <v>0.72399999999999998</v>
      </c>
      <c r="J39" s="11">
        <f t="array" ref="J39">INDEX('C Busco'!$AS$4:$BQ$14,MATCH(J$36,'C Busco'!$AR$4:$AR$14,0),MATCH(1,($A$36='C Busco'!$AS$3:$BQ$3)*($A39='C Busco'!$AS$2:$BQ$2),0))</f>
        <v>0.85533522190745992</v>
      </c>
      <c r="L39" s="293"/>
      <c r="M39" s="293"/>
      <c r="N39" s="79"/>
      <c r="O39" s="79"/>
      <c r="P39" s="79"/>
    </row>
    <row r="40" spans="1:35" x14ac:dyDescent="0.3">
      <c r="A40" t="s">
        <v>1083</v>
      </c>
      <c r="B40" s="11">
        <f t="array" ref="B40">INDEX('C Busco'!$AS$4:$BQ$14,MATCH(B$36,'C Busco'!$AR$4:$AR$14,0),MATCH(1,($A$36='C Busco'!$AS$3:$BQ$3)*($A40='C Busco'!$AS$2:$BQ$2),0))</f>
        <v>0.97199999999999998</v>
      </c>
      <c r="C40" s="11">
        <f t="array" ref="C40">INDEX('C Busco'!$AS$4:$BQ$14,MATCH(C$36,'C Busco'!$AR$4:$AR$14,0),MATCH(1,($A$36='C Busco'!$AS$3:$BQ$3)*($A40='C Busco'!$AS$2:$BQ$2),0))</f>
        <v>0.97299999999999998</v>
      </c>
      <c r="D40" s="11">
        <f t="array" ref="D40">INDEX('C Busco'!$AS$4:$BQ$14,MATCH(D$36,'C Busco'!$AR$4:$AR$14,0),MATCH(1,($A$36='C Busco'!$AS$3:$BQ$3)*($A40='C Busco'!$AS$2:$BQ$2),0))</f>
        <v>0.96699999999999997</v>
      </c>
      <c r="E40" s="11">
        <f t="array" ref="E40">INDEX('C Busco'!$AS$4:$BQ$14,MATCH(E$36,'C Busco'!$AR$4:$AR$14,0),MATCH(1,($A$36='C Busco'!$AS$3:$BQ$3)*($A40='C Busco'!$AS$2:$BQ$2),0))</f>
        <v>0.92900000000000005</v>
      </c>
      <c r="F40" s="11">
        <f t="array" ref="F40">INDEX('C Busco'!$AS$4:$BQ$14,MATCH(F$36,'C Busco'!$AR$4:$AR$14,0),MATCH(1,($A$36='C Busco'!$AS$3:$BQ$3)*($A40='C Busco'!$AS$2:$BQ$2),0))</f>
        <v>0.9</v>
      </c>
      <c r="G40" s="11"/>
      <c r="H40" s="11">
        <f t="array" ref="H40">INDEX('C Busco'!$AS$4:$BQ$14,MATCH(H$36,'C Busco'!$AR$4:$AR$14,0),MATCH(1,($A$36='C Busco'!$AS$3:$BQ$3)*($A40='C Busco'!$AS$2:$BQ$2),0))</f>
        <v>0.97699999999999998</v>
      </c>
      <c r="I40" s="11">
        <f t="array" ref="I40">INDEX('C Busco'!$AS$4:$BQ$14,MATCH(I$36,'C Busco'!$AR$4:$AR$14,0),MATCH(1,($A$36='C Busco'!$AS$3:$BQ$3)*($A40='C Busco'!$AS$2:$BQ$2),0))</f>
        <v>0.66700000000000004</v>
      </c>
      <c r="J40" s="11">
        <f t="array" ref="J40">INDEX('C Busco'!$AS$4:$BQ$14,MATCH(J$36,'C Busco'!$AR$4:$AR$14,0),MATCH(1,($A$36='C Busco'!$AS$3:$BQ$3)*($A40='C Busco'!$AS$2:$BQ$2),0))</f>
        <v>0.81100000000000005</v>
      </c>
      <c r="L40" s="293"/>
      <c r="M40" s="293"/>
      <c r="N40" s="79"/>
      <c r="O40" s="79"/>
      <c r="P40" s="79"/>
    </row>
    <row r="41" spans="1:35" x14ac:dyDescent="0.3">
      <c r="A41" t="s">
        <v>1127</v>
      </c>
      <c r="B41" s="11">
        <f t="array" ref="B41">INDEX('C Busco'!$AS$4:$BQ$14,MATCH(B$36,'C Busco'!$AR$4:$AR$14,0),MATCH(1,($A$36='C Busco'!$AS$3:$BQ$3)*($A41='C Busco'!$AS$2:$BQ$2),0))</f>
        <v>0.97199999999999998</v>
      </c>
      <c r="C41" s="11">
        <f t="array" ref="C41">INDEX('C Busco'!$AS$4:$BQ$14,MATCH(C$36,'C Busco'!$AR$4:$AR$14,0),MATCH(1,($A$36='C Busco'!$AS$3:$BQ$3)*($A41='C Busco'!$AS$2:$BQ$2),0))</f>
        <v>0.97299999999999998</v>
      </c>
      <c r="D41" s="11">
        <f t="array" ref="D41">INDEX('C Busco'!$AS$4:$BQ$14,MATCH(D$36,'C Busco'!$AR$4:$AR$14,0),MATCH(1,($A$36='C Busco'!$AS$3:$BQ$3)*($A41='C Busco'!$AS$2:$BQ$2),0))</f>
        <v>0.96699999999999997</v>
      </c>
      <c r="E41" s="11">
        <f t="array" ref="E41">INDEX('C Busco'!$AS$4:$BQ$14,MATCH(E$36,'C Busco'!$AR$4:$AR$14,0),MATCH(1,($A$36='C Busco'!$AS$3:$BQ$3)*($A41='C Busco'!$AS$2:$BQ$2),0))</f>
        <v>0.92900000000000005</v>
      </c>
      <c r="F41" s="11">
        <f t="array" ref="F41">INDEX('C Busco'!$AS$4:$BQ$14,MATCH(F$36,'C Busco'!$AR$4:$AR$14,0),MATCH(1,($A$36='C Busco'!$AS$3:$BQ$3)*($A41='C Busco'!$AS$2:$BQ$2),0))</f>
        <v>0.90100000000000002</v>
      </c>
      <c r="G41" s="11">
        <f t="array" ref="G41">INDEX('C Busco'!$AS$4:$BQ$14,MATCH(G$36,'C Busco'!$AR$4:$AR$14,0),MATCH(1,($A$36='C Busco'!$AS$3:$BQ$3)*($A41='C Busco'!$AS$2:$BQ$2),0))</f>
        <v>0</v>
      </c>
      <c r="H41" s="11">
        <f t="array" ref="H41">INDEX('C Busco'!$AS$4:$BQ$14,MATCH(H$36,'C Busco'!$AR$4:$AR$14,0),MATCH(1,($A$36='C Busco'!$AS$3:$BQ$3)*($A41='C Busco'!$AS$2:$BQ$2),0))</f>
        <v>0.97599999999999998</v>
      </c>
      <c r="I41" s="11">
        <f t="array" ref="I41">INDEX('C Busco'!$AS$4:$BQ$14,MATCH(I$36,'C Busco'!$AR$4:$AR$14,0),MATCH(1,($A$36='C Busco'!$AS$3:$BQ$3)*($A41='C Busco'!$AS$2:$BQ$2),0))</f>
        <v>0.66700000000000004</v>
      </c>
      <c r="J41" s="11">
        <f t="array" ref="J41">INDEX('C Busco'!$AS$4:$BQ$14,MATCH(J$36,'C Busco'!$AR$4:$AR$14,0),MATCH(1,($A$36='C Busco'!$AS$3:$BQ$3)*($A41='C Busco'!$AS$2:$BQ$2),0))</f>
        <v>0.81100000000000005</v>
      </c>
      <c r="L41" s="293"/>
      <c r="M41" s="293"/>
      <c r="N41" s="79"/>
      <c r="O41" s="79"/>
      <c r="P41" s="79"/>
    </row>
    <row r="42" spans="1:35" x14ac:dyDescent="0.3">
      <c r="A42" t="s">
        <v>494</v>
      </c>
      <c r="B42" t="s">
        <v>89</v>
      </c>
      <c r="C42" t="s">
        <v>93</v>
      </c>
      <c r="D42" t="s">
        <v>490</v>
      </c>
      <c r="E42" t="s">
        <v>461</v>
      </c>
      <c r="F42" t="s">
        <v>90</v>
      </c>
      <c r="G42" t="s">
        <v>94</v>
      </c>
      <c r="H42" t="s">
        <v>222</v>
      </c>
      <c r="I42" t="s">
        <v>384</v>
      </c>
      <c r="J42" t="s">
        <v>92</v>
      </c>
    </row>
    <row r="43" spans="1:35" x14ac:dyDescent="0.3">
      <c r="A43">
        <v>11</v>
      </c>
      <c r="B43" s="294">
        <f t="array" ref="B43">INDEX('C LAI'!$B$4:$P$14,MATCH(B$42,'C LAI'!$A$4:$A$14,0),MATCH(1,($A$42='C LAI'!$B$3:$P$3)*($A43='C LAI'!$B$2:$P$2),0))</f>
        <v>1.52</v>
      </c>
      <c r="C43" s="294">
        <f t="array" ref="C43">INDEX('C LAI'!$B$4:$P$14,MATCH(C$42,'C LAI'!$A$4:$A$14,0),MATCH(1,($A$42='C LAI'!$B$3:$P$3)*($A43='C LAI'!$B$2:$P$2),0))</f>
        <v>0</v>
      </c>
      <c r="D43" s="294">
        <f t="array" ref="D43">INDEX('C LAI'!$B$4:$P$14,MATCH(D$42,'C LAI'!$A$4:$A$14,0),MATCH(1,($A$42='C LAI'!$B$3:$P$3)*($A43='C LAI'!$B$2:$P$2),0))</f>
        <v>0</v>
      </c>
      <c r="E43" s="294">
        <f t="array" ref="E43">INDEX('C LAI'!$B$4:$P$14,MATCH(E$42,'C LAI'!$A$4:$A$14,0),MATCH(1,($A$42='C LAI'!$B$3:$P$3)*($A43='C LAI'!$B$2:$P$2),0))</f>
        <v>3.99</v>
      </c>
      <c r="F43" s="294">
        <f t="array" ref="F43">INDEX('C LAI'!$B$4:$P$14,MATCH(F$42,'C LAI'!$A$4:$A$14,0),MATCH(1,($A$42='C LAI'!$B$3:$P$3)*($A43='C LAI'!$B$2:$P$2),0))</f>
        <v>0</v>
      </c>
      <c r="G43" s="294">
        <f t="array" ref="G43">INDEX('C LAI'!$B$4:$P$14,MATCH(G$42,'C LAI'!$A$4:$A$14,0),MATCH(1,($A$42='C LAI'!$B$3:$P$3)*($A43='C LAI'!$B$2:$P$2),0))</f>
        <v>0</v>
      </c>
      <c r="H43" s="294"/>
      <c r="I43" s="294">
        <f t="array" ref="I43">INDEX('C LAI'!$B$4:$P$14,MATCH(I$42,'C LAI'!$A$4:$A$14,0),MATCH(1,($A$42='C LAI'!$B$3:$P$3)*($A43='C LAI'!$B$2:$P$2),0))</f>
        <v>1.53</v>
      </c>
      <c r="J43" s="294">
        <f t="array" ref="J43">INDEX('C LAI'!$B$4:$P$14,MATCH(J$42,'C LAI'!$A$4:$A$14,0),MATCH(1,($A$42='C LAI'!$B$3:$P$3)*($A43='C LAI'!$B$2:$P$2),0))</f>
        <v>6.46</v>
      </c>
    </row>
    <row r="44" spans="1:35" x14ac:dyDescent="0.3">
      <c r="A44">
        <v>19</v>
      </c>
      <c r="B44" s="294">
        <f t="array" ref="B44">INDEX('C LAI'!$B$4:$P$14,MATCH(B$42,'C LAI'!$A$4:$A$14,0),MATCH(1,($A$42='C LAI'!$B$3:$P$3)*($A44='C LAI'!$B$2:$P$2),0))</f>
        <v>2.64</v>
      </c>
      <c r="C44" s="294">
        <f t="array" ref="C44">INDEX('C LAI'!$B$4:$P$14,MATCH(C$42,'C LAI'!$A$4:$A$14,0),MATCH(1,($A$42='C LAI'!$B$3:$P$3)*($A44='C LAI'!$B$2:$P$2),0))</f>
        <v>0</v>
      </c>
      <c r="D44" s="294">
        <f t="array" ref="D44">INDEX('C LAI'!$B$4:$P$14,MATCH(D$42,'C LAI'!$A$4:$A$14,0),MATCH(1,($A$42='C LAI'!$B$3:$P$3)*($A44='C LAI'!$B$2:$P$2),0))</f>
        <v>0</v>
      </c>
      <c r="E44" s="294">
        <f t="array" ref="E44">INDEX('C LAI'!$B$4:$P$14,MATCH(E$42,'C LAI'!$A$4:$A$14,0),MATCH(1,($A$42='C LAI'!$B$3:$P$3)*($A44='C LAI'!$B$2:$P$2),0))</f>
        <v>2.96</v>
      </c>
      <c r="F44" s="294">
        <f t="array" ref="F44">INDEX('C LAI'!$B$4:$P$14,MATCH(F$42,'C LAI'!$A$4:$A$14,0),MATCH(1,($A$42='C LAI'!$B$3:$P$3)*($A44='C LAI'!$B$2:$P$2),0))</f>
        <v>0</v>
      </c>
      <c r="G44" s="294"/>
      <c r="H44" s="294"/>
      <c r="I44" s="294">
        <f t="array" ref="I44">INDEX('C LAI'!$B$4:$P$14,MATCH(I$42,'C LAI'!$A$4:$A$14,0),MATCH(1,($A$42='C LAI'!$B$3:$P$3)*($A44='C LAI'!$B$2:$P$2),0))</f>
        <v>1.73</v>
      </c>
      <c r="J44" s="294">
        <f t="array" ref="J44">INDEX('C LAI'!$B$4:$P$14,MATCH(J$42,'C LAI'!$A$4:$A$14,0),MATCH(1,($A$42='C LAI'!$B$3:$P$3)*($A44='C LAI'!$B$2:$P$2),0))</f>
        <v>6.56</v>
      </c>
    </row>
    <row r="45" spans="1:35" x14ac:dyDescent="0.3">
      <c r="A45">
        <v>28</v>
      </c>
      <c r="B45" s="294">
        <f t="array" ref="B45">INDEX('C LAI'!$B$4:$P$14,MATCH(B$42,'C LAI'!$A$4:$A$14,0),MATCH(1,($A$42='C LAI'!$B$3:$P$3)*($A45='C LAI'!$B$2:$P$2),0))</f>
        <v>1.74</v>
      </c>
      <c r="C45" s="294">
        <f t="array" ref="C45">INDEX('C LAI'!$B$4:$P$14,MATCH(C$42,'C LAI'!$A$4:$A$14,0),MATCH(1,($A$42='C LAI'!$B$3:$P$3)*($A45='C LAI'!$B$2:$P$2),0))</f>
        <v>0</v>
      </c>
      <c r="D45" s="294">
        <f t="array" ref="D45">INDEX('C LAI'!$B$4:$P$14,MATCH(D$42,'C LAI'!$A$4:$A$14,0),MATCH(1,($A$42='C LAI'!$B$3:$P$3)*($A45='C LAI'!$B$2:$P$2),0))</f>
        <v>0</v>
      </c>
      <c r="E45" s="294">
        <f t="array" ref="E45">INDEX('C LAI'!$B$4:$P$14,MATCH(E$42,'C LAI'!$A$4:$A$14,0),MATCH(1,($A$42='C LAI'!$B$3:$P$3)*($A45='C LAI'!$B$2:$P$2),0))</f>
        <v>3.11</v>
      </c>
      <c r="F45" s="294">
        <f t="array" ref="F45">INDEX('C LAI'!$B$4:$P$14,MATCH(F$42,'C LAI'!$A$4:$A$14,0),MATCH(1,($A$42='C LAI'!$B$3:$P$3)*($A45='C LAI'!$B$2:$P$2),0))</f>
        <v>0</v>
      </c>
      <c r="G45" s="294"/>
      <c r="H45" s="294">
        <f t="array" ref="H45">INDEX('C LAI'!$B$4:$P$14,MATCH(H$42,'C LAI'!$A$4:$A$14,0),MATCH(1,($A$42='C LAI'!$B$3:$P$3)*($A45='C LAI'!$B$2:$P$2),0))</f>
        <v>0</v>
      </c>
      <c r="I45" s="294">
        <f t="array" ref="I45">INDEX('C LAI'!$B$4:$P$14,MATCH(I$42,'C LAI'!$A$4:$A$14,0),MATCH(1,($A$42='C LAI'!$B$3:$P$3)*($A45='C LAI'!$B$2:$P$2),0))</f>
        <v>0.92</v>
      </c>
      <c r="J45" s="294">
        <f t="array" ref="J45">INDEX('C LAI'!$B$4:$P$14,MATCH(J$42,'C LAI'!$A$4:$A$14,0),MATCH(1,($A$42='C LAI'!$B$3:$P$3)*($A45='C LAI'!$B$2:$P$2),0))</f>
        <v>4.41</v>
      </c>
    </row>
    <row r="46" spans="1:35" x14ac:dyDescent="0.3">
      <c r="A46" t="s">
        <v>1083</v>
      </c>
      <c r="B46" s="294">
        <f t="array" ref="B46">INDEX('C LAI'!$B$4:$P$14,MATCH(B$42,'C LAI'!$A$4:$A$14,0),MATCH(1,($A$42='C LAI'!$B$3:$P$3)*($A46='C LAI'!$B$2:$P$2),0))</f>
        <v>4.2</v>
      </c>
      <c r="C46" s="294">
        <f t="array" ref="C46">INDEX('C LAI'!$B$4:$P$14,MATCH(C$42,'C LAI'!$A$4:$A$14,0),MATCH(1,($A$42='C LAI'!$B$3:$P$3)*($A46='C LAI'!$B$2:$P$2),0))</f>
        <v>2.82</v>
      </c>
      <c r="D46" s="294">
        <f t="array" ref="D46">INDEX('C LAI'!$B$4:$P$14,MATCH(D$42,'C LAI'!$A$4:$A$14,0),MATCH(1,($A$42='C LAI'!$B$3:$P$3)*($A46='C LAI'!$B$2:$P$2),0))</f>
        <v>0.34</v>
      </c>
      <c r="E46" s="294">
        <f t="array" ref="E46">INDEX('C LAI'!$B$4:$P$14,MATCH(E$42,'C LAI'!$A$4:$A$14,0),MATCH(1,($A$42='C LAI'!$B$3:$P$3)*($A46='C LAI'!$B$2:$P$2),0))</f>
        <v>4.32</v>
      </c>
      <c r="F46" s="294">
        <f t="array" ref="F46">INDEX('C LAI'!$B$4:$P$14,MATCH(F$42,'C LAI'!$A$4:$A$14,0),MATCH(1,($A$42='C LAI'!$B$3:$P$3)*($A46='C LAI'!$B$2:$P$2),0))</f>
        <v>2.58</v>
      </c>
      <c r="G46" s="294"/>
      <c r="H46" s="294">
        <f t="array" ref="H46">INDEX('C LAI'!$B$4:$P$14,MATCH(H$42,'C LAI'!$A$4:$A$14,0),MATCH(1,($A$42='C LAI'!$B$3:$P$3)*($A46='C LAI'!$B$2:$P$2),0))</f>
        <v>0</v>
      </c>
      <c r="I46" s="294">
        <f t="array" ref="I46">INDEX('C LAI'!$B$4:$P$14,MATCH(I$42,'C LAI'!$A$4:$A$14,0),MATCH(1,($A$42='C LAI'!$B$3:$P$3)*($A46='C LAI'!$B$2:$P$2),0))</f>
        <v>4.12</v>
      </c>
      <c r="J46" s="294">
        <f t="array" ref="J46">INDEX('C LAI'!$B$4:$P$14,MATCH(J$42,'C LAI'!$A$4:$A$14,0),MATCH(1,($A$42='C LAI'!$B$3:$P$3)*($A46='C LAI'!$B$2:$P$2),0))</f>
        <v>6.68</v>
      </c>
    </row>
    <row r="47" spans="1:35" x14ac:dyDescent="0.3">
      <c r="A47" t="s">
        <v>1127</v>
      </c>
      <c r="B47" s="294">
        <v>1.74</v>
      </c>
      <c r="C47" s="294">
        <f t="array" ref="C47">INDEX('C LAI'!$B$4:$P$14,MATCH(C$42,'C LAI'!$A$4:$A$14,0),MATCH(1,($A$42='C LAI'!$B$3:$P$3)*($A47='C LAI'!$B$2:$P$2),0))</f>
        <v>3.41</v>
      </c>
      <c r="D47" s="294">
        <f t="array" ref="D47">INDEX('C LAI'!$B$4:$P$14,MATCH(D$42,'C LAI'!$A$4:$A$14,0),MATCH(1,($A$42='C LAI'!$B$3:$P$3)*($A47='C LAI'!$B$2:$P$2),0))</f>
        <v>0.66</v>
      </c>
      <c r="E47" s="294">
        <f t="array" ref="E47">INDEX('C LAI'!$B$4:$P$14,MATCH(E$42,'C LAI'!$A$4:$A$14,0),MATCH(1,($A$42='C LAI'!$B$3:$P$3)*($A47='C LAI'!$B$2:$P$2),0))</f>
        <v>4.2300000000000004</v>
      </c>
      <c r="F47" s="294">
        <f t="array" ref="F47">INDEX('C LAI'!$B$4:$P$14,MATCH(F$42,'C LAI'!$A$4:$A$14,0),MATCH(1,($A$42='C LAI'!$B$3:$P$3)*($A47='C LAI'!$B$2:$P$2),0))</f>
        <v>2.02</v>
      </c>
      <c r="G47" s="294"/>
      <c r="H47" s="294">
        <f t="array" ref="H47">INDEX('C LAI'!$B$4:$P$14,MATCH(H$42,'C LAI'!$A$4:$A$14,0),MATCH(1,($A$42='C LAI'!$B$3:$P$3)*($A47='C LAI'!$B$2:$P$2),0))</f>
        <v>0</v>
      </c>
      <c r="I47" s="294">
        <f t="array" ref="I47">INDEX('C LAI'!$B$4:$P$14,MATCH(I$42,'C LAI'!$A$4:$A$14,0),MATCH(1,($A$42='C LAI'!$B$3:$P$3)*($A47='C LAI'!$B$2:$P$2),0))</f>
        <v>4.09</v>
      </c>
      <c r="J47" s="294">
        <f t="array" ref="J47">INDEX('C LAI'!$B$4:$P$14,MATCH(J$42,'C LAI'!$A$4:$A$14,0),MATCH(1,($A$42='C LAI'!$B$3:$P$3)*($A47='C LAI'!$B$2:$P$2),0))</f>
        <v>6.69</v>
      </c>
    </row>
    <row r="48" spans="1:35" x14ac:dyDescent="0.3">
      <c r="A48" s="166" t="s">
        <v>556</v>
      </c>
      <c r="B48" s="166"/>
      <c r="C48" s="166"/>
      <c r="D48" s="166"/>
      <c r="E48" s="166"/>
      <c r="F48" s="166">
        <v>11</v>
      </c>
      <c r="G48" s="166"/>
      <c r="H48" s="166" t="s">
        <v>557</v>
      </c>
      <c r="I48" s="166"/>
      <c r="J48" s="166"/>
      <c r="K48" s="166"/>
      <c r="L48" s="166"/>
      <c r="M48" s="166">
        <v>19</v>
      </c>
      <c r="N48" s="166"/>
      <c r="O48" s="166" t="s">
        <v>555</v>
      </c>
      <c r="P48" s="166"/>
      <c r="Q48" s="166"/>
      <c r="R48" s="166"/>
      <c r="S48" s="166"/>
      <c r="T48" s="166">
        <v>28</v>
      </c>
      <c r="U48" s="166"/>
      <c r="V48" s="166" t="s">
        <v>1093</v>
      </c>
      <c r="W48" s="166"/>
      <c r="X48" s="166"/>
      <c r="Y48" s="166"/>
      <c r="Z48" s="166"/>
      <c r="AA48" s="166" t="s">
        <v>1083</v>
      </c>
      <c r="AB48" s="166"/>
      <c r="AC48" s="166" t="s">
        <v>1122</v>
      </c>
      <c r="AD48" s="166"/>
      <c r="AE48" s="166"/>
      <c r="AF48" s="166"/>
      <c r="AG48" s="166"/>
      <c r="AH48" s="166" t="s">
        <v>1127</v>
      </c>
      <c r="AI48" s="166"/>
    </row>
    <row r="49" spans="1:35" ht="25.8" x14ac:dyDescent="0.5">
      <c r="A49" s="103" t="s">
        <v>398</v>
      </c>
      <c r="B49" s="104" t="s">
        <v>396</v>
      </c>
      <c r="C49" s="104" t="s">
        <v>489</v>
      </c>
      <c r="D49" s="104" t="s">
        <v>397</v>
      </c>
      <c r="E49" s="104" t="s">
        <v>494</v>
      </c>
      <c r="F49" s="105" t="s">
        <v>491</v>
      </c>
      <c r="G49" s="105" t="s">
        <v>558</v>
      </c>
      <c r="H49" s="103" t="s">
        <v>398</v>
      </c>
      <c r="I49" s="104" t="s">
        <v>396</v>
      </c>
      <c r="J49" s="104" t="s">
        <v>489</v>
      </c>
      <c r="K49" s="104" t="s">
        <v>397</v>
      </c>
      <c r="L49" s="104" t="s">
        <v>494</v>
      </c>
      <c r="M49" s="105" t="s">
        <v>491</v>
      </c>
      <c r="N49" s="105" t="s">
        <v>558</v>
      </c>
      <c r="O49" s="103" t="s">
        <v>398</v>
      </c>
      <c r="P49" s="104" t="s">
        <v>396</v>
      </c>
      <c r="Q49" s="104" t="s">
        <v>489</v>
      </c>
      <c r="R49" s="104" t="s">
        <v>397</v>
      </c>
      <c r="S49" s="104" t="s">
        <v>494</v>
      </c>
      <c r="T49" s="105" t="s">
        <v>491</v>
      </c>
      <c r="U49" s="105" t="s">
        <v>558</v>
      </c>
      <c r="V49" s="103" t="s">
        <v>398</v>
      </c>
      <c r="W49" s="104" t="s">
        <v>396</v>
      </c>
      <c r="X49" s="104" t="s">
        <v>489</v>
      </c>
      <c r="Y49" s="104" t="s">
        <v>397</v>
      </c>
      <c r="Z49" s="104" t="s">
        <v>494</v>
      </c>
      <c r="AA49" s="105" t="s">
        <v>491</v>
      </c>
      <c r="AB49" s="105" t="s">
        <v>558</v>
      </c>
      <c r="AC49" s="103" t="s">
        <v>398</v>
      </c>
      <c r="AD49" s="104" t="s">
        <v>396</v>
      </c>
      <c r="AE49" s="104" t="s">
        <v>489</v>
      </c>
      <c r="AF49" s="104" t="s">
        <v>397</v>
      </c>
      <c r="AG49" s="104" t="s">
        <v>494</v>
      </c>
      <c r="AH49" s="105" t="s">
        <v>491</v>
      </c>
      <c r="AI49" s="105" t="s">
        <v>558</v>
      </c>
    </row>
    <row r="50" spans="1:35" ht="25.8" x14ac:dyDescent="0.5">
      <c r="A50" s="106" t="str">
        <f t="shared" ref="A50:A58" si="34">A3</f>
        <v>Canu</v>
      </c>
      <c r="B50" s="165">
        <f>'C contig'!BP34</f>
        <v>0.27971524450516017</v>
      </c>
      <c r="C50" s="162">
        <f>'C Kmer'!AX32</f>
        <v>1</v>
      </c>
      <c r="D50" s="164">
        <f>'C Busco'!DA34</f>
        <v>0</v>
      </c>
      <c r="E50" s="164">
        <f>'C LAI'!AN34</f>
        <v>0.79308403492644164</v>
      </c>
      <c r="F50" s="159">
        <f>IFERROR(AVERAGE(B50:E50),"")</f>
        <v>0.51819981985790042</v>
      </c>
      <c r="G50" s="292">
        <f>IFERROR(RANK(F50,F$50:F$58),"")</f>
        <v>6</v>
      </c>
      <c r="H50" s="106" t="str">
        <f>A50</f>
        <v>Canu</v>
      </c>
      <c r="I50" s="156">
        <f>'C contig'!BQ34</f>
        <v>9.9740412305165047E-2</v>
      </c>
      <c r="J50" s="157">
        <f>'C Kmer'!AY32</f>
        <v>1</v>
      </c>
      <c r="K50" s="158">
        <f>'C Busco'!DB34</f>
        <v>0.20057018332995805</v>
      </c>
      <c r="L50" s="158">
        <f>'C LAI'!AO34</f>
        <v>0.68197300840334729</v>
      </c>
      <c r="M50" s="159">
        <f>IFERROR(AVERAGE(I50:L50),"")</f>
        <v>0.49557090100961759</v>
      </c>
      <c r="N50" s="292">
        <f>IFERROR(RANK(M50,M$50:M$58),"")</f>
        <v>5</v>
      </c>
      <c r="O50" s="106" t="str">
        <f t="shared" ref="O50:O58" si="35">H50</f>
        <v>Canu</v>
      </c>
      <c r="P50" s="156">
        <f>'C contig'!BR34</f>
        <v>9.5150074039708835E-2</v>
      </c>
      <c r="Q50" s="157">
        <f>'C Kmer'!AZ32</f>
        <v>1</v>
      </c>
      <c r="R50" s="158">
        <f>'C Busco'!DC34</f>
        <v>0.24570784838024726</v>
      </c>
      <c r="S50" s="158">
        <f>'C LAI'!AP34</f>
        <v>0.63349298244388641</v>
      </c>
      <c r="T50" s="159">
        <f>IFERROR(AVERAGE(P50:S50),"")</f>
        <v>0.49358772621596064</v>
      </c>
      <c r="U50" s="292">
        <f>IFERROR(RANK(T50,T$50:T$58),"")</f>
        <v>5</v>
      </c>
      <c r="V50" s="106" t="str">
        <f t="shared" ref="V50:V58" si="36">O50</f>
        <v>Canu</v>
      </c>
      <c r="W50" s="156">
        <f>'C contig'!BS34</f>
        <v>0.74869330276954438</v>
      </c>
      <c r="X50" s="157">
        <f>'C Kmer'!BA32</f>
        <v>1</v>
      </c>
      <c r="Y50" s="158">
        <f>'C Busco'!DD34</f>
        <v>0.70936848447820589</v>
      </c>
      <c r="Z50" s="158">
        <f>'C LAI'!AQ34</f>
        <v>0.63266902685901882</v>
      </c>
      <c r="AA50" s="159">
        <f>IFERROR(AVERAGE(W50:Z50),"")</f>
        <v>0.77268270352669233</v>
      </c>
      <c r="AB50" s="292">
        <f>IFERROR(RANK(AA50,AA$50:AA$58),"")</f>
        <v>4</v>
      </c>
      <c r="AC50" s="106" t="str">
        <f t="shared" ref="AC50:AC58" si="37">V50</f>
        <v>Canu</v>
      </c>
      <c r="AD50" s="156">
        <f>'C contig'!BT34</f>
        <v>0.76700149759409375</v>
      </c>
      <c r="AE50" s="157">
        <f>'C Kmer'!BB32</f>
        <v>1</v>
      </c>
      <c r="AF50" s="158">
        <f>'C Busco'!DE34</f>
        <v>0.72582087411037377</v>
      </c>
      <c r="AG50" s="158">
        <f>'C LAI'!AR34</f>
        <v>0.75444390157177699</v>
      </c>
      <c r="AH50" s="159">
        <f>IFERROR(AVERAGE(AD50:AG50),"")</f>
        <v>0.81181656831906113</v>
      </c>
      <c r="AI50" s="292">
        <f>IFERROR(RANK(AH50,AH$50:AH$58),"")</f>
        <v>3</v>
      </c>
    </row>
    <row r="51" spans="1:35" ht="25.8" x14ac:dyDescent="0.5">
      <c r="A51" s="106" t="str">
        <f t="shared" si="34"/>
        <v>DipAsm</v>
      </c>
      <c r="B51" s="74" t="str">
        <f>'C contig'!BP35</f>
        <v/>
      </c>
      <c r="C51" s="74" t="str">
        <f>'C Kmer'!AX33</f>
        <v/>
      </c>
      <c r="D51" s="74" t="str">
        <f>'C Busco'!DA35</f>
        <v/>
      </c>
      <c r="E51" s="74" t="str">
        <f>'C LAI'!AN35</f>
        <v/>
      </c>
      <c r="F51" s="159" t="str">
        <f>IFERROR(AVERAGE(B51:E51),"")</f>
        <v/>
      </c>
      <c r="G51" s="74" t="str">
        <f t="shared" ref="G51:G58" si="38">IFERROR(RANK(F51,F$50:F$58),"")</f>
        <v/>
      </c>
      <c r="H51" s="106" t="str">
        <f t="shared" ref="H51:H58" si="39">A51</f>
        <v>DipAsm</v>
      </c>
      <c r="I51" s="74" t="str">
        <f>'C contig'!BQ35</f>
        <v/>
      </c>
      <c r="J51" s="74" t="str">
        <f>'C Kmer'!AY33</f>
        <v/>
      </c>
      <c r="K51" s="74" t="str">
        <f>'C Busco'!DB35</f>
        <v/>
      </c>
      <c r="L51" s="74" t="str">
        <f>'C LAI'!AO35</f>
        <v/>
      </c>
      <c r="M51" s="159" t="str">
        <f>IFERROR(AVERAGE(I51:L51),"")</f>
        <v/>
      </c>
      <c r="N51" s="74" t="str">
        <f t="shared" ref="N51:N58" si="40">IFERROR(RANK(M51,M$50:M$58),"")</f>
        <v/>
      </c>
      <c r="O51" s="106" t="str">
        <f t="shared" si="35"/>
        <v>DipAsm</v>
      </c>
      <c r="P51" s="156">
        <f>'C contig'!BR35</f>
        <v>4.1703715959976913E-2</v>
      </c>
      <c r="Q51" s="157">
        <f>'C Kmer'!AZ33</f>
        <v>0.83514455654740072</v>
      </c>
      <c r="R51" s="158">
        <f>'C Busco'!DC35</f>
        <v>0.98091168757696257</v>
      </c>
      <c r="S51" s="158">
        <f>'C LAI'!AP35</f>
        <v>0.63946913301387998</v>
      </c>
      <c r="T51" s="159">
        <f t="shared" ref="T51:T56" si="41">IFERROR(AVERAGE(P51:S51),"")</f>
        <v>0.62430727327455504</v>
      </c>
      <c r="U51" s="292">
        <f t="shared" ref="U51:U58" si="42">IFERROR(RANK(T51,T$50:T$58),"")</f>
        <v>4</v>
      </c>
      <c r="V51" s="106" t="str">
        <f t="shared" si="36"/>
        <v>DipAsm</v>
      </c>
      <c r="W51" s="156">
        <f>'C contig'!BS35</f>
        <v>0</v>
      </c>
      <c r="X51" s="157">
        <f>'C Kmer'!BA33</f>
        <v>0.78575639517209206</v>
      </c>
      <c r="Y51" s="158">
        <f>'C Busco'!DD35</f>
        <v>0.67488470477080409</v>
      </c>
      <c r="Z51" s="158">
        <f>'C LAI'!AQ35</f>
        <v>0.44583867031994845</v>
      </c>
      <c r="AA51" s="159">
        <f t="shared" ref="AA51:AA56" si="43">IFERROR(AVERAGE(W51:Z51),"")</f>
        <v>0.47661994256571111</v>
      </c>
      <c r="AB51" s="292">
        <f t="shared" ref="AB51:AB58" si="44">IFERROR(RANK(AA51,AA$50:AA$58),"")</f>
        <v>6</v>
      </c>
      <c r="AC51" s="106" t="str">
        <f t="shared" si="37"/>
        <v>DipAsm</v>
      </c>
      <c r="AD51" s="156">
        <f>'C contig'!BT35</f>
        <v>0.39782647623114081</v>
      </c>
      <c r="AE51" s="157">
        <f>'C Kmer'!BB33</f>
        <v>0.83255056554727558</v>
      </c>
      <c r="AF51" s="158">
        <f>'C Busco'!DE35</f>
        <v>0.6943435399922967</v>
      </c>
      <c r="AG51" s="158">
        <f>'C LAI'!AR35</f>
        <v>0.62998988286388247</v>
      </c>
      <c r="AH51" s="159">
        <f t="shared" ref="AH51:AH58" si="45">IFERROR(AVERAGE(AD51:AG51),"")</f>
        <v>0.63867761615864893</v>
      </c>
      <c r="AI51" s="292">
        <f t="shared" ref="AI51:AI58" si="46">IFERROR(RANK(AH51,AH$50:AH$58),"")</f>
        <v>6</v>
      </c>
    </row>
    <row r="52" spans="1:35" ht="25.8" x14ac:dyDescent="0.5">
      <c r="A52" s="106" t="str">
        <f t="shared" si="34"/>
        <v>flye</v>
      </c>
      <c r="B52" s="165">
        <f>'C contig'!BP36</f>
        <v>0</v>
      </c>
      <c r="C52" s="162">
        <f>'C Kmer'!AX34</f>
        <v>0.85121282539034371</v>
      </c>
      <c r="D52" s="164">
        <f>'C Busco'!DA36</f>
        <v>0.33033019356225052</v>
      </c>
      <c r="E52" s="164">
        <f>'C LAI'!AN36</f>
        <v>0.70673049340675242</v>
      </c>
      <c r="F52" s="159">
        <f t="shared" ref="F52:F58" si="47">IFERROR(AVERAGE(B52:E52),"")</f>
        <v>0.47206837808983665</v>
      </c>
      <c r="G52" s="292">
        <f t="shared" si="38"/>
        <v>7</v>
      </c>
      <c r="H52" s="106" t="str">
        <f t="shared" si="39"/>
        <v>flye</v>
      </c>
      <c r="I52" s="156">
        <f>'C contig'!BQ36</f>
        <v>0</v>
      </c>
      <c r="J52" s="157">
        <f>'C Kmer'!AY34</f>
        <v>0.89182578352913811</v>
      </c>
      <c r="K52" s="158">
        <f>'C Busco'!DB36</f>
        <v>0.41912659286822862</v>
      </c>
      <c r="L52" s="158">
        <f>'C LAI'!AO36</f>
        <v>0.71620330555954637</v>
      </c>
      <c r="M52" s="159">
        <f t="shared" ref="M52:M56" si="48">IFERROR(AVERAGE(I52:L52),"")</f>
        <v>0.5067889204892283</v>
      </c>
      <c r="N52" s="292">
        <f t="shared" si="40"/>
        <v>4</v>
      </c>
      <c r="O52" s="106" t="str">
        <f t="shared" si="35"/>
        <v>flye</v>
      </c>
      <c r="P52" s="156">
        <f>'C contig'!BR36</f>
        <v>0</v>
      </c>
      <c r="Q52" s="157">
        <f>'C Kmer'!AZ34</f>
        <v>0.89679686715673057</v>
      </c>
      <c r="R52" s="158">
        <f>'C Busco'!DC36</f>
        <v>0.41591334298930077</v>
      </c>
      <c r="S52" s="158">
        <f>'C LAI'!AP36</f>
        <v>0.66057256510409867</v>
      </c>
      <c r="T52" s="159">
        <f t="shared" si="41"/>
        <v>0.49332069381253252</v>
      </c>
      <c r="U52" s="292">
        <f t="shared" si="42"/>
        <v>6</v>
      </c>
      <c r="V52" s="106" t="str">
        <f t="shared" si="36"/>
        <v>flye</v>
      </c>
      <c r="W52" s="156">
        <f>'C contig'!BS36</f>
        <v>0.51017511743794286</v>
      </c>
      <c r="X52" s="157">
        <f>'C Kmer'!BA34</f>
        <v>0.88406436535028432</v>
      </c>
      <c r="Y52" s="158">
        <f>'C Busco'!DD36</f>
        <v>0.78209269579818619</v>
      </c>
      <c r="Z52" s="158">
        <f>'C LAI'!AQ36</f>
        <v>0.82913220275548327</v>
      </c>
      <c r="AA52" s="159">
        <f t="shared" si="43"/>
        <v>0.75136609533547416</v>
      </c>
      <c r="AB52" s="292">
        <f t="shared" si="44"/>
        <v>5</v>
      </c>
      <c r="AC52" s="106" t="str">
        <f t="shared" si="37"/>
        <v>flye</v>
      </c>
      <c r="AD52" s="156">
        <f>'C contig'!BT36</f>
        <v>0.5022311849657296</v>
      </c>
      <c r="AE52" s="157">
        <f>'C Kmer'!BB34</f>
        <v>0.89658042677439909</v>
      </c>
      <c r="AF52" s="158">
        <f>'C Busco'!DE36</f>
        <v>0.78561870664988975</v>
      </c>
      <c r="AG52" s="158">
        <f>'C LAI'!AR36</f>
        <v>0.87320869721534966</v>
      </c>
      <c r="AH52" s="159">
        <f t="shared" si="45"/>
        <v>0.76440975390134192</v>
      </c>
      <c r="AI52" s="292">
        <f t="shared" si="46"/>
        <v>5</v>
      </c>
    </row>
    <row r="53" spans="1:35" ht="25.8" x14ac:dyDescent="0.5">
      <c r="A53" s="106" t="str">
        <f t="shared" si="34"/>
        <v>hifiasm</v>
      </c>
      <c r="B53" s="165">
        <f>'C contig'!BP37</f>
        <v>0.9546410826260483</v>
      </c>
      <c r="C53" s="162">
        <f>'C Kmer'!AX35</f>
        <v>0.96921721742624822</v>
      </c>
      <c r="D53" s="164">
        <f>'C Busco'!DA37</f>
        <v>0.97593765768760787</v>
      </c>
      <c r="E53" s="164">
        <f>'C LAI'!AN37</f>
        <v>1</v>
      </c>
      <c r="F53" s="159">
        <f t="shared" si="47"/>
        <v>0.9749489894349761</v>
      </c>
      <c r="G53" s="292">
        <f t="shared" si="38"/>
        <v>1</v>
      </c>
      <c r="H53" s="106" t="str">
        <f t="shared" si="39"/>
        <v>hifiasm</v>
      </c>
      <c r="I53" s="156">
        <f>'C contig'!BQ37</f>
        <v>1</v>
      </c>
      <c r="J53" s="157">
        <f>'C Kmer'!AY35</f>
        <v>0.98693686310397932</v>
      </c>
      <c r="K53" s="158">
        <f>'C Busco'!DB37</f>
        <v>1</v>
      </c>
      <c r="L53" s="158">
        <f>'C LAI'!AO37</f>
        <v>0.99948286160973288</v>
      </c>
      <c r="M53" s="159">
        <f t="shared" si="48"/>
        <v>0.99660493117842808</v>
      </c>
      <c r="N53" s="292">
        <f t="shared" si="40"/>
        <v>1</v>
      </c>
      <c r="O53" s="106" t="str">
        <f t="shared" si="35"/>
        <v>hifiasm</v>
      </c>
      <c r="P53" s="156">
        <f>'C contig'!BR37</f>
        <v>1</v>
      </c>
      <c r="Q53" s="157">
        <f>'C Kmer'!AZ35</f>
        <v>0.99268888797418497</v>
      </c>
      <c r="R53" s="158">
        <f>'C Busco'!DC37</f>
        <v>1</v>
      </c>
      <c r="S53" s="158">
        <f>'C LAI'!AP37</f>
        <v>0.73321331698654824</v>
      </c>
      <c r="T53" s="159">
        <f t="shared" si="41"/>
        <v>0.93147555124018333</v>
      </c>
      <c r="U53" s="292">
        <f t="shared" si="42"/>
        <v>1</v>
      </c>
      <c r="V53" s="106" t="str">
        <f t="shared" si="36"/>
        <v>hifiasm</v>
      </c>
      <c r="W53" s="156">
        <f>'C contig'!BS37</f>
        <v>1</v>
      </c>
      <c r="X53" s="157">
        <f>'C Kmer'!BA35</f>
        <v>0.98913942803385202</v>
      </c>
      <c r="Y53" s="158">
        <f>'C Busco'!DD37</f>
        <v>1</v>
      </c>
      <c r="Z53" s="158">
        <f>'C LAI'!AQ37</f>
        <v>0.92078642225739538</v>
      </c>
      <c r="AA53" s="159">
        <f t="shared" si="43"/>
        <v>0.97748146257281188</v>
      </c>
      <c r="AB53" s="292">
        <f t="shared" si="44"/>
        <v>1</v>
      </c>
      <c r="AC53" s="106" t="str">
        <f t="shared" si="37"/>
        <v>hifiasm</v>
      </c>
      <c r="AD53" s="156">
        <f>'C contig'!BT37</f>
        <v>1</v>
      </c>
      <c r="AE53" s="157">
        <f>'C Kmer'!BB35</f>
        <v>0.98812595442373086</v>
      </c>
      <c r="AF53" s="158">
        <f>'C Busco'!DE37</f>
        <v>1</v>
      </c>
      <c r="AG53" s="158">
        <f>'C LAI'!AR37</f>
        <v>0.81445680714956359</v>
      </c>
      <c r="AH53" s="159">
        <f t="shared" si="45"/>
        <v>0.95064569039332358</v>
      </c>
      <c r="AI53" s="292">
        <f t="shared" si="46"/>
        <v>1</v>
      </c>
    </row>
    <row r="54" spans="1:35" ht="25.8" x14ac:dyDescent="0.5">
      <c r="A54" s="106" t="str">
        <f t="shared" si="34"/>
        <v>ipa</v>
      </c>
      <c r="B54" s="165">
        <f>'C contig'!BP38</f>
        <v>0.9244499243636739</v>
      </c>
      <c r="C54" s="162">
        <f>'C Kmer'!AX36</f>
        <v>0.5414909437668981</v>
      </c>
      <c r="D54" s="164">
        <f>'C Busco'!DA38</f>
        <v>0.77784340480069314</v>
      </c>
      <c r="E54" s="164">
        <f>'C LAI'!AN38</f>
        <v>0.94427258971864136</v>
      </c>
      <c r="F54" s="159">
        <f t="shared" si="47"/>
        <v>0.79701421566247665</v>
      </c>
      <c r="G54" s="292">
        <f t="shared" si="38"/>
        <v>3</v>
      </c>
      <c r="H54" s="106" t="str">
        <f t="shared" si="39"/>
        <v>ipa</v>
      </c>
      <c r="I54" s="156">
        <f>'C contig'!BQ38</f>
        <v>0.47597520245214531</v>
      </c>
      <c r="J54" s="157">
        <f>'C Kmer'!AY36</f>
        <v>0.71077256942657829</v>
      </c>
      <c r="K54" s="158">
        <f>'C Busco'!DB38</f>
        <v>0.91749009977775742</v>
      </c>
      <c r="L54" s="158">
        <f>'C LAI'!AO38</f>
        <v>1</v>
      </c>
      <c r="M54" s="159">
        <f t="shared" si="48"/>
        <v>0.77605946791412028</v>
      </c>
      <c r="N54" s="292">
        <f t="shared" si="40"/>
        <v>3</v>
      </c>
      <c r="O54" s="106" t="str">
        <f t="shared" si="35"/>
        <v>ipa</v>
      </c>
      <c r="P54" s="156">
        <f>'C contig'!BR38</f>
        <v>0.6045512691001067</v>
      </c>
      <c r="Q54" s="157">
        <f>'C Kmer'!AZ36</f>
        <v>0.75302266293835529</v>
      </c>
      <c r="R54" s="158">
        <f>'C Busco'!DC38</f>
        <v>0.96360235092617874</v>
      </c>
      <c r="S54" s="158">
        <f>'C LAI'!AP38</f>
        <v>1</v>
      </c>
      <c r="T54" s="159">
        <f t="shared" si="41"/>
        <v>0.83029407074116013</v>
      </c>
      <c r="U54" s="292">
        <f t="shared" si="42"/>
        <v>2</v>
      </c>
      <c r="V54" s="106" t="str">
        <f t="shared" si="36"/>
        <v>ipa</v>
      </c>
      <c r="W54" s="156">
        <f>'C contig'!BS38</f>
        <v>0.6607010149207978</v>
      </c>
      <c r="X54" s="157">
        <f>'C Kmer'!BA36</f>
        <v>0.70640143628475371</v>
      </c>
      <c r="Y54" s="158">
        <f>'C Busco'!DD38</f>
        <v>0.95943550914282816</v>
      </c>
      <c r="Z54" s="158">
        <f>'C LAI'!AQ38</f>
        <v>0.81921495568474945</v>
      </c>
      <c r="AA54" s="159">
        <f t="shared" si="43"/>
        <v>0.78643822900828231</v>
      </c>
      <c r="AB54" s="292">
        <f t="shared" si="44"/>
        <v>3</v>
      </c>
      <c r="AC54" s="106" t="str">
        <f t="shared" si="37"/>
        <v>ipa</v>
      </c>
      <c r="AD54" s="156">
        <f>'C contig'!BT38</f>
        <v>0.6763265774178302</v>
      </c>
      <c r="AE54" s="157">
        <f>'C Kmer'!BB36</f>
        <v>0.73217017227325132</v>
      </c>
      <c r="AF54" s="158">
        <f>'C Busco'!DE38</f>
        <v>0.96031821273064366</v>
      </c>
      <c r="AG54" s="158">
        <f>'C LAI'!AR38</f>
        <v>0.83460169665569084</v>
      </c>
      <c r="AH54" s="159">
        <f t="shared" si="45"/>
        <v>0.80085416476935412</v>
      </c>
      <c r="AI54" s="292">
        <f t="shared" si="46"/>
        <v>4</v>
      </c>
    </row>
    <row r="55" spans="1:35" ht="25.8" x14ac:dyDescent="0.5">
      <c r="A55" s="106" t="str">
        <f t="shared" si="34"/>
        <v>nextpolish</v>
      </c>
      <c r="B55" s="165">
        <f>'C contig'!BP39</f>
        <v>0.82816786240321438</v>
      </c>
      <c r="C55" s="162">
        <f>'C Kmer'!AX37</f>
        <v>0.62555685890754231</v>
      </c>
      <c r="D55" s="164">
        <f>'C Busco'!DA39</f>
        <v>0.15408501243182041</v>
      </c>
      <c r="E55" s="164">
        <f>'C LAI'!AN39</f>
        <v>0.92865452575184793</v>
      </c>
      <c r="F55" s="159">
        <f t="shared" si="47"/>
        <v>0.63411606487360628</v>
      </c>
      <c r="G55" s="292">
        <f t="shared" si="38"/>
        <v>5</v>
      </c>
      <c r="H55" s="106" t="str">
        <f t="shared" si="39"/>
        <v>nextpolish</v>
      </c>
      <c r="I55" s="156">
        <f>'C contig'!BQ39</f>
        <v>0.26703101410584368</v>
      </c>
      <c r="J55" s="157">
        <f>'C Kmer'!AY37</f>
        <v>0.36180777664966463</v>
      </c>
      <c r="K55" s="158">
        <f>'C Busco'!DB39</f>
        <v>0</v>
      </c>
      <c r="L55" s="158">
        <f>'C LAI'!AO39</f>
        <v>0.84163066953826748</v>
      </c>
      <c r="M55" s="159">
        <f t="shared" si="48"/>
        <v>0.36761736507344395</v>
      </c>
      <c r="N55" s="292">
        <f t="shared" si="40"/>
        <v>6</v>
      </c>
      <c r="O55" s="106" t="str">
        <f t="shared" si="35"/>
        <v>nextpolish</v>
      </c>
      <c r="P55" s="156">
        <f>'C contig'!BR39</f>
        <v>0.16675537589021547</v>
      </c>
      <c r="Q55" s="157">
        <f>'C Kmer'!AZ37</f>
        <v>0.35787137239886152</v>
      </c>
      <c r="R55" s="158">
        <f>'C Busco'!DC39</f>
        <v>0</v>
      </c>
      <c r="S55" s="158">
        <f>'C LAI'!AP39</f>
        <v>0.75500411984803761</v>
      </c>
      <c r="T55" s="159">
        <f t="shared" si="41"/>
        <v>0.31990771703427867</v>
      </c>
      <c r="U55" s="292">
        <f t="shared" si="42"/>
        <v>7</v>
      </c>
      <c r="V55" s="106" t="str">
        <f t="shared" si="36"/>
        <v>nextpolish</v>
      </c>
      <c r="W55" s="156">
        <f>'C contig'!BS39</f>
        <v>0.41578357496765406</v>
      </c>
      <c r="X55" s="157">
        <f>'C Kmer'!BA37</f>
        <v>0.26110182294847328</v>
      </c>
      <c r="Y55" s="158">
        <f>'C Busco'!DD39</f>
        <v>0</v>
      </c>
      <c r="Z55" s="158">
        <f>'C LAI'!AQ39</f>
        <v>1</v>
      </c>
      <c r="AA55" s="159">
        <f t="shared" si="43"/>
        <v>0.41922134947903184</v>
      </c>
      <c r="AB55" s="292">
        <f t="shared" si="44"/>
        <v>7</v>
      </c>
      <c r="AC55" s="106" t="str">
        <f t="shared" si="37"/>
        <v>nextpolish</v>
      </c>
      <c r="AD55" s="156">
        <f>'C contig'!BT39</f>
        <v>0.40074280419494135</v>
      </c>
      <c r="AE55" s="157">
        <f>'C Kmer'!BB37</f>
        <v>0.35956556195633238</v>
      </c>
      <c r="AF55" s="158">
        <f>'C Busco'!DE39</f>
        <v>0</v>
      </c>
      <c r="AG55" s="158">
        <f>'C LAI'!AR39</f>
        <v>1</v>
      </c>
      <c r="AH55" s="159">
        <f t="shared" si="45"/>
        <v>0.44007709153781843</v>
      </c>
      <c r="AI55" s="292">
        <f t="shared" si="46"/>
        <v>7</v>
      </c>
    </row>
    <row r="56" spans="1:35" ht="25.8" x14ac:dyDescent="0.5">
      <c r="A56" s="106" t="str">
        <f t="shared" si="34"/>
        <v>pbassembly</v>
      </c>
      <c r="B56" s="165">
        <f>'C contig'!BP40</f>
        <v>0.36579124669355656</v>
      </c>
      <c r="C56" s="162">
        <f>'C Kmer'!AX38</f>
        <v>0.91289247089847436</v>
      </c>
      <c r="D56" s="164">
        <f>'C Busco'!DA40</f>
        <v>0.68495033651327197</v>
      </c>
      <c r="E56" s="164">
        <f>'C LAI'!AN40</f>
        <v>0.81741806297652753</v>
      </c>
      <c r="F56" s="159">
        <f t="shared" si="47"/>
        <v>0.69526302927045758</v>
      </c>
      <c r="G56" s="292">
        <f t="shared" si="38"/>
        <v>4</v>
      </c>
      <c r="H56" s="106" t="str">
        <f t="shared" si="39"/>
        <v>pbassembly</v>
      </c>
      <c r="I56" s="74"/>
      <c r="J56" s="74"/>
      <c r="K56" s="74"/>
      <c r="L56" s="74"/>
      <c r="M56" s="159" t="str">
        <f t="shared" si="48"/>
        <v/>
      </c>
      <c r="N56" s="74" t="str">
        <f t="shared" si="40"/>
        <v/>
      </c>
      <c r="O56" s="106" t="str">
        <f t="shared" si="35"/>
        <v>pbassembly</v>
      </c>
      <c r="P56" s="74" t="str">
        <f>'C contig'!BR40</f>
        <v/>
      </c>
      <c r="Q56" s="74" t="str">
        <f>'C Kmer'!AZ38</f>
        <v/>
      </c>
      <c r="R56" s="74" t="str">
        <f>'C Busco'!DC40</f>
        <v/>
      </c>
      <c r="S56" s="74" t="str">
        <f>'C LAI'!AP40</f>
        <v/>
      </c>
      <c r="T56" s="159" t="str">
        <f t="shared" si="41"/>
        <v/>
      </c>
      <c r="U56" s="74" t="str">
        <f t="shared" si="42"/>
        <v/>
      </c>
      <c r="V56" s="106" t="str">
        <f t="shared" si="36"/>
        <v>pbassembly</v>
      </c>
      <c r="W56" s="74" t="str">
        <f>'C contig'!BS40</f>
        <v/>
      </c>
      <c r="X56" s="74" t="str">
        <f>'C Kmer'!BA38</f>
        <v/>
      </c>
      <c r="Y56" s="74" t="str">
        <f>'C Busco'!DD40</f>
        <v/>
      </c>
      <c r="Z56" s="74" t="str">
        <f>'C LAI'!AQ40</f>
        <v/>
      </c>
      <c r="AA56" s="159" t="str">
        <f t="shared" si="43"/>
        <v/>
      </c>
      <c r="AB56" s="292" t="str">
        <f t="shared" si="44"/>
        <v/>
      </c>
      <c r="AC56" s="106" t="str">
        <f t="shared" si="37"/>
        <v>pbassembly</v>
      </c>
      <c r="AD56" s="156" t="str">
        <f>'C contig'!BT40</f>
        <v/>
      </c>
      <c r="AE56" s="157" t="str">
        <f>'C Kmer'!BB38</f>
        <v/>
      </c>
      <c r="AF56" s="158" t="str">
        <f>'C Busco'!DE40</f>
        <v/>
      </c>
      <c r="AG56" s="158" t="str">
        <f>'C LAI'!AR40</f>
        <v/>
      </c>
      <c r="AH56" s="159" t="str">
        <f t="shared" si="45"/>
        <v/>
      </c>
      <c r="AI56" s="292" t="str">
        <f t="shared" si="46"/>
        <v/>
      </c>
    </row>
    <row r="57" spans="1:35" ht="25.8" x14ac:dyDescent="0.5">
      <c r="A57" s="106" t="str">
        <f t="shared" si="34"/>
        <v>peregrine</v>
      </c>
      <c r="B57" s="165">
        <f>'C contig'!BP41</f>
        <v>1</v>
      </c>
      <c r="C57" s="162">
        <f>'C Kmer'!AX39</f>
        <v>0.84930771486161027</v>
      </c>
      <c r="D57" s="164">
        <f>'C Busco'!DA41</f>
        <v>1</v>
      </c>
      <c r="E57" s="164">
        <f>'C LAI'!AN41</f>
        <v>0.7935993158027399</v>
      </c>
      <c r="F57" s="159">
        <f t="shared" si="47"/>
        <v>0.91072675766608757</v>
      </c>
      <c r="G57" s="292">
        <f t="shared" si="38"/>
        <v>2</v>
      </c>
      <c r="H57" s="106" t="str">
        <f t="shared" si="39"/>
        <v>peregrine</v>
      </c>
      <c r="I57" s="156">
        <f>'C contig'!BQ41</f>
        <v>0.68244536468281081</v>
      </c>
      <c r="J57" s="157">
        <f>'C Kmer'!AY39</f>
        <v>0.83360773018370682</v>
      </c>
      <c r="K57" s="158">
        <f>'C Busco'!DB41</f>
        <v>0.98966146720663406</v>
      </c>
      <c r="L57" s="158">
        <f>'C LAI'!AO41</f>
        <v>0.70855058075226729</v>
      </c>
      <c r="M57" s="159">
        <f t="shared" ref="M57:M58" si="49">IFERROR(AVERAGE(I57:L57),"")</f>
        <v>0.8035662857063548</v>
      </c>
      <c r="N57" s="292">
        <f t="shared" si="40"/>
        <v>2</v>
      </c>
      <c r="O57" s="106" t="str">
        <f t="shared" si="35"/>
        <v>peregrine</v>
      </c>
      <c r="P57" s="156">
        <f>'C contig'!BR41</f>
        <v>0.57817580675350133</v>
      </c>
      <c r="Q57" s="157">
        <f>'C Kmer'!AZ39</f>
        <v>0.84989876301922263</v>
      </c>
      <c r="R57" s="158">
        <f>'C Busco'!DC41</f>
        <v>0.98540986295013122</v>
      </c>
      <c r="S57" s="158">
        <f>'C LAI'!AP41</f>
        <v>0.6643136605216946</v>
      </c>
      <c r="T57" s="159">
        <f t="shared" ref="T57:T58" si="50">IFERROR(AVERAGE(P57:S57),"")</f>
        <v>0.76944952331113747</v>
      </c>
      <c r="U57" s="292">
        <f t="shared" si="42"/>
        <v>3</v>
      </c>
      <c r="V57" s="106" t="str">
        <f t="shared" si="36"/>
        <v>peregrine</v>
      </c>
      <c r="W57" s="156">
        <f>'C contig'!BS41</f>
        <v>0.77864704907859872</v>
      </c>
      <c r="X57" s="157">
        <f>'C Kmer'!BA39</f>
        <v>0.77580539547419025</v>
      </c>
      <c r="Y57" s="158">
        <f>'C Busco'!DD41</f>
        <v>0.99727657191572072</v>
      </c>
      <c r="Z57" s="158">
        <f>'C LAI'!AQ41</f>
        <v>0.89102947660358345</v>
      </c>
      <c r="AA57" s="159">
        <f t="shared" ref="AA57:AA58" si="51">IFERROR(AVERAGE(W57:Z57),"")</f>
        <v>0.86068962326802323</v>
      </c>
      <c r="AB57" s="292">
        <f t="shared" si="44"/>
        <v>2</v>
      </c>
      <c r="AC57" s="106" t="str">
        <f t="shared" si="37"/>
        <v>peregrine</v>
      </c>
      <c r="AD57" s="156">
        <f>'C contig'!BT41</f>
        <v>0.79487281246541075</v>
      </c>
      <c r="AE57" s="157">
        <f>'C Kmer'!BB39</f>
        <v>0.85019587105666783</v>
      </c>
      <c r="AF57" s="158">
        <f>'C Busco'!DE41</f>
        <v>0.99627144924680688</v>
      </c>
      <c r="AG57" s="158">
        <f>'C LAI'!AR41</f>
        <v>0.93890169724414962</v>
      </c>
      <c r="AH57" s="159">
        <f t="shared" si="45"/>
        <v>0.8950604575032588</v>
      </c>
      <c r="AI57" s="292">
        <f t="shared" si="46"/>
        <v>2</v>
      </c>
    </row>
    <row r="58" spans="1:35" ht="25.8" x14ac:dyDescent="0.5">
      <c r="A58" s="106" t="str">
        <f t="shared" si="34"/>
        <v>raven</v>
      </c>
      <c r="B58" s="165">
        <f>'C contig'!BP42</f>
        <v>0.57658589257266191</v>
      </c>
      <c r="C58" s="162">
        <f>'C Kmer'!AX40</f>
        <v>0</v>
      </c>
      <c r="D58" s="164">
        <f>'C Busco'!DA42</f>
        <v>7.7423295823886448E-2</v>
      </c>
      <c r="E58" s="164">
        <f>'C LAI'!AN42</f>
        <v>0</v>
      </c>
      <c r="F58" s="159">
        <f t="shared" si="47"/>
        <v>0.16350229709913708</v>
      </c>
      <c r="G58" s="292">
        <f t="shared" si="38"/>
        <v>8</v>
      </c>
      <c r="H58" s="106" t="str">
        <f t="shared" si="39"/>
        <v>raven</v>
      </c>
      <c r="I58" s="156">
        <f>'C contig'!BQ42</f>
        <v>0.10560700352052851</v>
      </c>
      <c r="J58" s="157">
        <f>'C Kmer'!AY40</f>
        <v>0</v>
      </c>
      <c r="K58" s="158">
        <f>'C Busco'!DB42</f>
        <v>0.38767214834512881</v>
      </c>
      <c r="L58" s="158">
        <f>'C LAI'!AO42</f>
        <v>0</v>
      </c>
      <c r="M58" s="159">
        <f t="shared" si="49"/>
        <v>0.12331978796641432</v>
      </c>
      <c r="N58" s="292">
        <f t="shared" si="40"/>
        <v>7</v>
      </c>
      <c r="O58" s="106" t="str">
        <f t="shared" si="35"/>
        <v>raven</v>
      </c>
      <c r="P58" s="156">
        <f>'C contig'!BR42</f>
        <v>6.2599060887221858E-3</v>
      </c>
      <c r="Q58" s="157">
        <f>'C Kmer'!AZ40</f>
        <v>0</v>
      </c>
      <c r="R58" s="158">
        <f>'C Busco'!DC42</f>
        <v>0.47053739068769562</v>
      </c>
      <c r="S58" s="158">
        <f>'C LAI'!AP42</f>
        <v>0</v>
      </c>
      <c r="T58" s="159">
        <f t="shared" si="50"/>
        <v>0.11919932419410445</v>
      </c>
      <c r="U58" s="292">
        <f t="shared" si="42"/>
        <v>8</v>
      </c>
      <c r="V58" s="106" t="str">
        <f t="shared" si="36"/>
        <v>raven</v>
      </c>
      <c r="W58" s="156">
        <f>'C contig'!BS42</f>
        <v>0.10496221912240175</v>
      </c>
      <c r="X58" s="157">
        <f>'C Kmer'!BA40</f>
        <v>0</v>
      </c>
      <c r="Y58" s="158">
        <f>'C Busco'!DD42</f>
        <v>0.47689824716393986</v>
      </c>
      <c r="Z58" s="158">
        <f>'C LAI'!AQ42</f>
        <v>0</v>
      </c>
      <c r="AA58" s="159">
        <f t="shared" si="51"/>
        <v>0.1454651165715854</v>
      </c>
      <c r="AB58" s="292">
        <f t="shared" si="44"/>
        <v>8</v>
      </c>
      <c r="AC58" s="106" t="str">
        <f t="shared" si="37"/>
        <v>raven</v>
      </c>
      <c r="AD58" s="156">
        <f>'C contig'!BT42</f>
        <v>0</v>
      </c>
      <c r="AE58" s="157">
        <f>'C Kmer'!BB40</f>
        <v>0</v>
      </c>
      <c r="AF58" s="158">
        <f>'C Busco'!DE42</f>
        <v>0.48086045684648476</v>
      </c>
      <c r="AG58" s="158">
        <f>'C LAI'!AR42</f>
        <v>0</v>
      </c>
      <c r="AH58" s="159">
        <f t="shared" si="45"/>
        <v>0.12021511421162119</v>
      </c>
      <c r="AI58" s="292">
        <f t="shared" si="46"/>
        <v>8</v>
      </c>
    </row>
    <row r="62" spans="1:35" x14ac:dyDescent="0.3">
      <c r="A62">
        <v>1</v>
      </c>
      <c r="B62">
        <f>0+2/60</f>
        <v>3.3333333333333333E-2</v>
      </c>
    </row>
    <row r="63" spans="1:35" x14ac:dyDescent="0.3">
      <c r="A63">
        <v>20</v>
      </c>
      <c r="B63">
        <f>2+34/60</f>
        <v>2.5666666666666664</v>
      </c>
    </row>
    <row r="64" spans="1:35" x14ac:dyDescent="0.3">
      <c r="A64">
        <v>2500</v>
      </c>
      <c r="B64">
        <f>0.1333*A64-0.1</f>
        <v>333.15</v>
      </c>
      <c r="C64">
        <f>B64/60</f>
        <v>5.5524999999999993</v>
      </c>
    </row>
    <row r="103" spans="1:45" x14ac:dyDescent="0.3">
      <c r="A103" t="e">
        <f>($A$24='C contig'!$S$1:$AH$1)</f>
        <v>#VALUE!</v>
      </c>
      <c r="B103" t="b">
        <f t="array" ref="B103">($A$24='C contig'!T$1:AQ$1)</f>
        <v>0</v>
      </c>
      <c r="C103" t="b">
        <f t="array" ref="C103">($A$24='C contig'!U$1:AR$1)</f>
        <v>0</v>
      </c>
      <c r="D103" t="b">
        <f t="array" ref="D103">($A$24='C contig'!V$1:AS$1)</f>
        <v>0</v>
      </c>
      <c r="E103" t="b">
        <f t="array" ref="E103">($A$24='C contig'!W$1:AT$1)</f>
        <v>0</v>
      </c>
      <c r="F103" t="b">
        <f t="array" ref="F103">($A$24='C contig'!X$1:AU$1)</f>
        <v>0</v>
      </c>
      <c r="G103" t="b">
        <f t="array" ref="G103">($A$24='C contig'!Y$1:AV$1)</f>
        <v>0</v>
      </c>
      <c r="H103" t="b">
        <f t="array" ref="H103">($A$24='C contig'!Z$1:AW$1)</f>
        <v>0</v>
      </c>
      <c r="I103" t="b">
        <f t="array" ref="I103">($A$24='C contig'!AA$1:AX$1)</f>
        <v>0</v>
      </c>
    </row>
    <row r="104" spans="1:45" x14ac:dyDescent="0.3">
      <c r="A104">
        <f t="array" ref="A104">($A$24='C contig'!$S$1:$AH$1)*(ROUND($A101/10,0)='C contig'!$S$3:$AH$3)</f>
        <v>0</v>
      </c>
      <c r="B104">
        <f t="array" ref="B104">($A$24='C contig'!$S$1:$AH$1)*(ROUND($A101/10,0)='C contig'!$S$3:$AH$3)</f>
        <v>0</v>
      </c>
      <c r="C104">
        <f t="array" ref="C104">($A$24='C contig'!$S$1:$AH$1)*(ROUND($A101/10,0)='C contig'!$S$3:$AH$3)</f>
        <v>0</v>
      </c>
      <c r="D104">
        <f t="array" ref="D104">($A$24='C contig'!$S$1:$AH$1)*(ROUND($A101/10,0)='C contig'!$S$3:$AH$3)</f>
        <v>0</v>
      </c>
      <c r="E104">
        <f t="array" ref="E104">($A$24='C contig'!$S$1:$AH$1)*(ROUND($A101/10,0)='C contig'!$S$3:$AH$3)</f>
        <v>0</v>
      </c>
      <c r="F104">
        <f t="array" ref="F104">($A$24='C contig'!$S$1:$AH$1)*(ROUND($A101/10,0)='C contig'!$S$3:$AH$3)</f>
        <v>0</v>
      </c>
      <c r="G104">
        <f t="array" ref="G104">($A$24='C contig'!$S$1:$AH$1)*(ROUND($A101/10,0)='C contig'!$S$3:$AH$3)</f>
        <v>0</v>
      </c>
      <c r="H104">
        <f t="array" ref="H104">($A$24='C contig'!$S$1:$AH$1)*(ROUND($A101/10,0)='C contig'!$S$3:$AH$3)</f>
        <v>0</v>
      </c>
      <c r="I104">
        <f t="array" ref="I104">($A$24='C contig'!$S$1:$AH$1)*(ROUND($A101/10,0)='C contig'!$S$3:$AH$3)</f>
        <v>0</v>
      </c>
      <c r="J104">
        <f t="array" ref="J104">($A$24='C contig'!$S$1:$AH$1)*(ROUND($A101/10,0)='C contig'!$S$3:$AH$3)</f>
        <v>0</v>
      </c>
      <c r="K104">
        <f t="array" ref="K104">($A$24='C contig'!$S$1:$AH$1)*(ROUND($A101/10,0)='C contig'!$S$3:$AH$3)</f>
        <v>0</v>
      </c>
      <c r="L104">
        <f t="array" ref="L104">($A$24='C contig'!$S$1:$AH$1)*(ROUND($A101/10,0)='C contig'!$S$3:$AH$3)</f>
        <v>0</v>
      </c>
      <c r="M104">
        <f t="array" ref="M104">($A$24='C contig'!$S$1:$AH$1)*(ROUND($A101/10,0)='C contig'!$S$3:$AH$3)</f>
        <v>0</v>
      </c>
      <c r="N104">
        <f t="array" ref="N104">($A$24='C contig'!$S$1:$AH$1)*(ROUND($A101/10,0)='C contig'!$S$3:$AH$3)</f>
        <v>0</v>
      </c>
      <c r="O104">
        <f t="array" ref="O104">($A$24='C contig'!$S$1:$AH$1)*(ROUND($A101/10,0)='C contig'!$S$3:$AH$3)</f>
        <v>0</v>
      </c>
      <c r="P104">
        <f t="array" ref="P104">($A$24='C contig'!$S$1:$AH$1)*(ROUND($A101/10,0)='C contig'!$S$3:$AH$3)</f>
        <v>0</v>
      </c>
      <c r="Q104">
        <f t="array" ref="Q104">($A$24='C contig'!$S$1:$AH$1)*(ROUND($A101/10,0)='C contig'!$S$3:$AH$3)</f>
        <v>0</v>
      </c>
      <c r="R104">
        <f t="array" ref="R104">($A$24='C contig'!$S$1:$AH$1)*(ROUND($A101/10,0)='C contig'!$S$3:$AH$3)</f>
        <v>0</v>
      </c>
      <c r="S104">
        <f t="array" ref="S104">($A$24='C contig'!$S$1:$AH$1)*(ROUND($A101/10,0)='C contig'!$S$3:$AH$3)</f>
        <v>0</v>
      </c>
      <c r="T104">
        <f t="array" ref="T104">($A$24='C contig'!$S$1:$AH$1)*(ROUND($A101/10,0)='C contig'!$S$3:$AH$3)</f>
        <v>0</v>
      </c>
      <c r="U104">
        <f t="array" ref="U104">($A$24='C contig'!$S$1:$AH$1)*(ROUND($A101/10,0)='C contig'!$S$3:$AH$3)</f>
        <v>0</v>
      </c>
      <c r="V104">
        <f t="array" ref="V104">($A$24='C contig'!$S$1:$AH$1)*(ROUND($A101/10,0)='C contig'!$S$3:$AH$3)</f>
        <v>0</v>
      </c>
      <c r="W104">
        <f t="array" ref="W104">($A$24='C contig'!$S$1:$AH$1)*(ROUND($A101/10,0)='C contig'!$S$3:$AH$3)</f>
        <v>0</v>
      </c>
      <c r="X104">
        <f t="array" ref="X104">($A$24='C contig'!$S$1:$AH$1)*(ROUND($A101/10,0)='C contig'!$S$3:$AH$3)</f>
        <v>0</v>
      </c>
      <c r="Y104">
        <f t="array" ref="Y104">($A$24='C contig'!$S$1:$AH$1)*(ROUND($A101/10,0)='C contig'!$S$3:$AH$3)</f>
        <v>0</v>
      </c>
      <c r="Z104">
        <f t="array" ref="Z104">($A$24='C contig'!$S$1:$AH$1)*(ROUND($A101/10,0)='C contig'!$S$3:$AH$3)</f>
        <v>0</v>
      </c>
      <c r="AA104">
        <f t="array" ref="AA104">($A$24='C contig'!$S$1:$AH$1)*(ROUND($A101/10,0)='C contig'!$S$3:$AH$3)</f>
        <v>0</v>
      </c>
      <c r="AB104">
        <f t="array" ref="AB104">($A$24='C contig'!$S$1:$AH$1)*(ROUND($A101/10,0)='C contig'!$S$3:$AH$3)</f>
        <v>0</v>
      </c>
      <c r="AC104">
        <f t="array" ref="AC104">($A$24='C contig'!$S$1:$AH$1)*(ROUND($A101/10,0)='C contig'!$S$3:$AH$3)</f>
        <v>0</v>
      </c>
      <c r="AD104">
        <f t="array" ref="AD104">($A$24='C contig'!$S$1:$AH$1)*(ROUND($A101/10,0)='C contig'!$S$3:$AH$3)</f>
        <v>0</v>
      </c>
      <c r="AE104">
        <f t="array" ref="AE104">($A$24='C contig'!$S$1:$AH$1)*(ROUND($A101/10,0)='C contig'!$S$3:$AH$3)</f>
        <v>0</v>
      </c>
      <c r="AF104">
        <f t="array" ref="AF104">($A$24='C contig'!$S$1:$AH$1)*(ROUND($A101/10,0)='C contig'!$S$3:$AH$3)</f>
        <v>0</v>
      </c>
      <c r="AG104">
        <f t="array" ref="AG104">($A$24='C contig'!$S$1:$AH$1)*(ROUND($A101/10,0)='C contig'!$S$3:$AH$3)</f>
        <v>0</v>
      </c>
      <c r="AH104">
        <f t="array" ref="AH104">($A$24='C contig'!$S$1:$AH$1)*(ROUND($A101/10,0)='C contig'!$S$3:$AH$3)</f>
        <v>0</v>
      </c>
      <c r="AI104">
        <f t="array" ref="AI104">($A$24='C contig'!$S$1:$AH$1)*(ROUND($A101/10,0)='C contig'!$S$3:$AH$3)</f>
        <v>0</v>
      </c>
      <c r="AJ104">
        <f t="array" ref="AJ104">($A$24='C contig'!$S$1:$AH$1)*(ROUND($A101/10,0)='C contig'!$S$3:$AH$3)</f>
        <v>0</v>
      </c>
      <c r="AK104">
        <f t="array" ref="AK104">($A$24='C contig'!$S$1:$AH$1)*(ROUND($A101/10,0)='C contig'!$S$3:$AH$3)</f>
        <v>0</v>
      </c>
      <c r="AL104">
        <f t="array" ref="AL104">($A$24='C contig'!$S$1:$AH$1)*(ROUND($A101/10,0)='C contig'!$S$3:$AH$3)</f>
        <v>0</v>
      </c>
      <c r="AM104">
        <f t="array" ref="AM104">($A$24='C contig'!$S$1:$AH$1)*(ROUND($A101/10,0)='C contig'!$S$3:$AH$3)</f>
        <v>0</v>
      </c>
      <c r="AN104">
        <f t="array" ref="AN104">($A$24='C contig'!$S$1:$AH$1)*(ROUND($A101/10,0)='C contig'!$S$3:$AH$3)</f>
        <v>0</v>
      </c>
      <c r="AO104">
        <f t="array" ref="AO104">($A$24='C contig'!$S$1:$AH$1)*(ROUND($A101/10,0)='C contig'!$S$3:$AH$3)</f>
        <v>0</v>
      </c>
      <c r="AP104">
        <f t="array" ref="AP104">($A$24='C contig'!$S$1:$AH$1)*(ROUND($A101/10,0)='C contig'!$S$3:$AH$3)</f>
        <v>0</v>
      </c>
      <c r="AQ104">
        <f t="array" ref="AQ104">($A$24='C contig'!$S$1:$AH$1)*(ROUND($A101/10,0)='C contig'!$S$3:$AH$3)</f>
        <v>0</v>
      </c>
      <c r="AR104">
        <f t="array" ref="AR104">($A$24='C contig'!$S$1:$AH$1)*(ROUND($A101/10,0)='C contig'!$S$3:$AH$3)</f>
        <v>0</v>
      </c>
      <c r="AS104">
        <f t="array" ref="AS104">($A$24='C contig'!$S$1:$AH$1)*(ROUND($A101/10,0)='C contig'!$S$3:$AH$3)</f>
        <v>0</v>
      </c>
    </row>
  </sheetData>
  <sortState ref="H3:M10">
    <sortCondition ref="M3:M10"/>
  </sortState>
  <conditionalFormatting sqref="I3:I11">
    <cfRule type="colorScale" priority="120">
      <colorScale>
        <cfvo type="min"/>
        <cfvo type="max"/>
        <color rgb="FFFF0000"/>
        <color rgb="FF00B050"/>
      </colorScale>
    </cfRule>
  </conditionalFormatting>
  <conditionalFormatting sqref="J3:J11">
    <cfRule type="colorScale" priority="119">
      <colorScale>
        <cfvo type="min"/>
        <cfvo type="max"/>
        <color rgb="FFFF0000"/>
        <color rgb="FF00B050"/>
      </colorScale>
    </cfRule>
  </conditionalFormatting>
  <conditionalFormatting sqref="K3:L11">
    <cfRule type="colorScale" priority="118">
      <colorScale>
        <cfvo type="min"/>
        <cfvo type="max"/>
        <color rgb="FFFF0000"/>
        <color rgb="FF00B050"/>
      </colorScale>
    </cfRule>
  </conditionalFormatting>
  <conditionalFormatting sqref="B3:B1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6">
      <colorScale>
        <cfvo type="min"/>
        <cfvo type="max"/>
        <color rgb="FFFF0000"/>
        <color rgb="FF00B050"/>
      </colorScale>
    </cfRule>
  </conditionalFormatting>
  <conditionalFormatting sqref="C3:C1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5">
      <colorScale>
        <cfvo type="min"/>
        <cfvo type="max"/>
        <color rgb="FFFF0000"/>
        <color rgb="FF00B050"/>
      </colorScale>
    </cfRule>
  </conditionalFormatting>
  <conditionalFormatting sqref="D3:E11">
    <cfRule type="colorScale" priority="114">
      <colorScale>
        <cfvo type="min"/>
        <cfvo type="max"/>
        <color rgb="FFFF0000"/>
        <color rgb="FF00B050"/>
      </colorScale>
    </cfRule>
  </conditionalFormatting>
  <conditionalFormatting sqref="P3:P11">
    <cfRule type="colorScale" priority="110">
      <colorScale>
        <cfvo type="min"/>
        <cfvo type="max"/>
        <color rgb="FFFF0000"/>
        <color rgb="FF00B050"/>
      </colorScale>
    </cfRule>
  </conditionalFormatting>
  <conditionalFormatting sqref="Q3:Q11">
    <cfRule type="colorScale" priority="109">
      <colorScale>
        <cfvo type="min"/>
        <cfvo type="max"/>
        <color rgb="FFFF0000"/>
        <color rgb="FF00B050"/>
      </colorScale>
    </cfRule>
  </conditionalFormatting>
  <conditionalFormatting sqref="R3:S11">
    <cfRule type="colorScale" priority="108">
      <colorScale>
        <cfvo type="min"/>
        <cfvo type="max"/>
        <color rgb="FFFF0000"/>
        <color rgb="FF00B050"/>
      </colorScale>
    </cfRule>
  </conditionalFormatting>
  <conditionalFormatting sqref="P50:P5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5">
      <colorScale>
        <cfvo type="min"/>
        <cfvo type="max"/>
        <color rgb="FF00B050"/>
        <color rgb="FFFF0000"/>
      </colorScale>
    </cfRule>
  </conditionalFormatting>
  <conditionalFormatting sqref="Q50:Q5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4">
      <colorScale>
        <cfvo type="min"/>
        <cfvo type="max"/>
        <color rgb="FF00B050"/>
        <color rgb="FFFF0000"/>
      </colorScale>
    </cfRule>
  </conditionalFormatting>
  <conditionalFormatting sqref="R50:S58">
    <cfRule type="colorScale" priority="93">
      <colorScale>
        <cfvo type="min"/>
        <cfvo type="max"/>
        <color rgb="FF00B050"/>
        <color rgb="FFFF0000"/>
      </colorScale>
    </cfRule>
  </conditionalFormatting>
  <conditionalFormatting sqref="B50:B5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6">
      <colorScale>
        <cfvo type="min"/>
        <cfvo type="max"/>
        <color rgb="FF00B050"/>
        <color rgb="FFFF0000"/>
      </colorScale>
    </cfRule>
  </conditionalFormatting>
  <conditionalFormatting sqref="C50:C5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5">
      <colorScale>
        <cfvo type="min"/>
        <cfvo type="max"/>
        <color rgb="FF00B050"/>
        <color rgb="FFFF0000"/>
      </colorScale>
    </cfRule>
  </conditionalFormatting>
  <conditionalFormatting sqref="D50:D5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4">
      <colorScale>
        <cfvo type="min"/>
        <cfvo type="max"/>
        <color rgb="FF00B050"/>
        <color rgb="FFFF0000"/>
      </colorScale>
    </cfRule>
  </conditionalFormatting>
  <conditionalFormatting sqref="F50:F5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3">
      <colorScale>
        <cfvo type="min"/>
        <cfvo type="max"/>
        <color rgb="FF00B050"/>
        <color rgb="FFFF0000"/>
      </colorScale>
    </cfRule>
  </conditionalFormatting>
  <conditionalFormatting sqref="G50:G58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max"/>
        <color rgb="FF00B050"/>
        <color rgb="FFFF0000"/>
      </colorScale>
    </cfRule>
  </conditionalFormatting>
  <conditionalFormatting sqref="I50:I58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">
      <colorScale>
        <cfvo type="min"/>
        <cfvo type="max"/>
        <color rgb="FF00B050"/>
        <color rgb="FFFF0000"/>
      </colorScale>
    </cfRule>
  </conditionalFormatting>
  <conditionalFormatting sqref="J50:J5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">
      <colorScale>
        <cfvo type="min"/>
        <cfvo type="max"/>
        <color rgb="FF00B050"/>
        <color rgb="FFFF0000"/>
      </colorScale>
    </cfRule>
  </conditionalFormatting>
  <conditionalFormatting sqref="K50:K5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min"/>
        <cfvo type="max"/>
        <color rgb="FF00B050"/>
        <color rgb="FFFF0000"/>
      </colorScale>
    </cfRule>
  </conditionalFormatting>
  <conditionalFormatting sqref="M50:M5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min"/>
        <cfvo type="max"/>
        <color rgb="FF00B050"/>
        <color rgb="FFFF0000"/>
      </colorScale>
    </cfRule>
  </conditionalFormatting>
  <conditionalFormatting sqref="T50:T5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6">
      <colorScale>
        <cfvo type="min"/>
        <cfvo type="max"/>
        <color rgb="FF00B050"/>
        <color rgb="FFFF0000"/>
      </colorScale>
    </cfRule>
  </conditionalFormatting>
  <conditionalFormatting sqref="N50:N5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max"/>
        <color rgb="FF00B050"/>
        <color rgb="FFFF0000"/>
      </colorScale>
    </cfRule>
  </conditionalFormatting>
  <conditionalFormatting sqref="U50:U5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max"/>
        <color rgb="FF00B050"/>
        <color rgb="FFFF0000"/>
      </colorScale>
    </cfRule>
  </conditionalFormatting>
  <conditionalFormatting sqref="F3:F11">
    <cfRule type="colorScale" priority="73">
      <colorScale>
        <cfvo type="min"/>
        <cfvo type="max"/>
        <color rgb="FF00B050"/>
        <color rgb="FFFF0000"/>
      </colorScale>
    </cfRule>
  </conditionalFormatting>
  <conditionalFormatting sqref="M3:M11">
    <cfRule type="colorScale" priority="72">
      <colorScale>
        <cfvo type="min"/>
        <cfvo type="max"/>
        <color rgb="FF00B050"/>
        <color rgb="FFFF0000"/>
      </colorScale>
    </cfRule>
  </conditionalFormatting>
  <conditionalFormatting sqref="T3:T11">
    <cfRule type="colorScale" priority="71">
      <colorScale>
        <cfvo type="min"/>
        <cfvo type="max"/>
        <color rgb="FF00B050"/>
        <color rgb="FFFF0000"/>
      </colorScale>
    </cfRule>
  </conditionalFormatting>
  <conditionalFormatting sqref="G3:G1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max"/>
        <color rgb="FF00B050"/>
        <color rgb="FFFF0000"/>
      </colorScale>
    </cfRule>
  </conditionalFormatting>
  <conditionalFormatting sqref="N3:N11">
    <cfRule type="colorScale" priority="69">
      <colorScale>
        <cfvo type="min"/>
        <cfvo type="max"/>
        <color rgb="FF00B050"/>
        <color rgb="FFFF0000"/>
      </colorScale>
    </cfRule>
  </conditionalFormatting>
  <conditionalFormatting sqref="U3:U11">
    <cfRule type="colorScale" priority="68">
      <colorScale>
        <cfvo type="min"/>
        <cfvo type="max"/>
        <color rgb="FF00B050"/>
        <color rgb="FFFF0000"/>
      </colorScale>
    </cfRule>
  </conditionalFormatting>
  <conditionalFormatting sqref="W50:W5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min"/>
        <cfvo type="max"/>
        <color rgb="FF00B050"/>
        <color rgb="FFFF0000"/>
      </colorScale>
    </cfRule>
  </conditionalFormatting>
  <conditionalFormatting sqref="X50:X5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max"/>
        <color rgb="FF00B050"/>
        <color rgb="FFFF0000"/>
      </colorScale>
    </cfRule>
  </conditionalFormatting>
  <conditionalFormatting sqref="Y50:Z58">
    <cfRule type="colorScale" priority="65">
      <colorScale>
        <cfvo type="min"/>
        <cfvo type="max"/>
        <color rgb="FF00B050"/>
        <color rgb="FFFF0000"/>
      </colorScale>
    </cfRule>
  </conditionalFormatting>
  <conditionalFormatting sqref="AA50:AA58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max"/>
        <color rgb="FF00B050"/>
        <color rgb="FFFF0000"/>
      </colorScale>
    </cfRule>
  </conditionalFormatting>
  <conditionalFormatting sqref="AB50:AB5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">
      <colorScale>
        <cfvo type="min"/>
        <cfvo type="max"/>
        <color rgb="FF00B050"/>
        <color rgb="FFFF0000"/>
      </colorScale>
    </cfRule>
  </conditionalFormatting>
  <conditionalFormatting sqref="B50:F5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0:M5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0:T58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0:AA5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E1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F1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0:E5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0:L58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0:R5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50:S5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0:Y5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0:Z5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11">
    <cfRule type="colorScale" priority="25">
      <colorScale>
        <cfvo type="min"/>
        <cfvo type="max"/>
        <color rgb="FFFF0000"/>
        <color rgb="FF00B050"/>
      </colorScale>
    </cfRule>
  </conditionalFormatting>
  <conditionalFormatting sqref="X3:X11">
    <cfRule type="colorScale" priority="24">
      <colorScale>
        <cfvo type="min"/>
        <cfvo type="max"/>
        <color rgb="FFFF0000"/>
        <color rgb="FF00B050"/>
      </colorScale>
    </cfRule>
  </conditionalFormatting>
  <conditionalFormatting sqref="Y3:Z11">
    <cfRule type="colorScale" priority="23">
      <colorScale>
        <cfvo type="min"/>
        <cfvo type="max"/>
        <color rgb="FFFF0000"/>
        <color rgb="FF00B050"/>
      </colorScale>
    </cfRule>
  </conditionalFormatting>
  <conditionalFormatting sqref="AA3:AA11">
    <cfRule type="colorScale" priority="22">
      <colorScale>
        <cfvo type="min"/>
        <cfvo type="max"/>
        <color rgb="FF00B050"/>
        <color rgb="FFFF0000"/>
      </colorScale>
    </cfRule>
  </conditionalFormatting>
  <conditionalFormatting sqref="AB3:AB11">
    <cfRule type="colorScale" priority="21">
      <colorScale>
        <cfvo type="min"/>
        <cfvo type="max"/>
        <color rgb="FF00B050"/>
        <color rgb="FFFF0000"/>
      </colorScale>
    </cfRule>
  </conditionalFormatting>
  <conditionalFormatting sqref="AD3:AD11">
    <cfRule type="colorScale" priority="20">
      <colorScale>
        <cfvo type="min"/>
        <cfvo type="max"/>
        <color rgb="FFFF0000"/>
        <color rgb="FF00B050"/>
      </colorScale>
    </cfRule>
  </conditionalFormatting>
  <conditionalFormatting sqref="AE3:AE11">
    <cfRule type="colorScale" priority="19">
      <colorScale>
        <cfvo type="min"/>
        <cfvo type="max"/>
        <color rgb="FFFF0000"/>
        <color rgb="FF00B050"/>
      </colorScale>
    </cfRule>
  </conditionalFormatting>
  <conditionalFormatting sqref="AF3:AG11">
    <cfRule type="colorScale" priority="18">
      <colorScale>
        <cfvo type="min"/>
        <cfvo type="max"/>
        <color rgb="FFFF0000"/>
        <color rgb="FF00B050"/>
      </colorScale>
    </cfRule>
  </conditionalFormatting>
  <conditionalFormatting sqref="AH3:AH11">
    <cfRule type="colorScale" priority="17">
      <colorScale>
        <cfvo type="min"/>
        <cfvo type="max"/>
        <color rgb="FF00B050"/>
        <color rgb="FFFF0000"/>
      </colorScale>
    </cfRule>
  </conditionalFormatting>
  <conditionalFormatting sqref="AI3:AI11">
    <cfRule type="colorScale" priority="16">
      <colorScale>
        <cfvo type="min"/>
        <cfvo type="max"/>
        <color rgb="FF00B050"/>
        <color rgb="FFFF0000"/>
      </colorScale>
    </cfRule>
  </conditionalFormatting>
  <conditionalFormatting sqref="AD50:AD5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00B050"/>
        <color rgb="FFFF0000"/>
      </colorScale>
    </cfRule>
  </conditionalFormatting>
  <conditionalFormatting sqref="AE50:AE5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max"/>
        <color rgb="FF00B050"/>
        <color rgb="FFFF0000"/>
      </colorScale>
    </cfRule>
  </conditionalFormatting>
  <conditionalFormatting sqref="AF50:AF58">
    <cfRule type="colorScale" priority="13">
      <colorScale>
        <cfvo type="min"/>
        <cfvo type="max"/>
        <color rgb="FF00B050"/>
        <color rgb="FFFF0000"/>
      </colorScale>
    </cfRule>
  </conditionalFormatting>
  <conditionalFormatting sqref="AH50:AH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max"/>
        <color rgb="FF00B050"/>
        <color rgb="FFFF0000"/>
      </colorScale>
    </cfRule>
  </conditionalFormatting>
  <conditionalFormatting sqref="AI50:AI5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">
      <colorScale>
        <cfvo type="min"/>
        <cfvo type="max"/>
        <color rgb="FF00B050"/>
        <color rgb="FFFF0000"/>
      </colorScale>
    </cfRule>
  </conditionalFormatting>
  <conditionalFormatting sqref="AD50:AF58 AH50:AH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F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0:AG58">
    <cfRule type="colorScale" priority="3">
      <colorScale>
        <cfvo type="min"/>
        <cfvo type="max"/>
        <color rgb="FF00B050"/>
        <color rgb="FFFF0000"/>
      </colorScale>
    </cfRule>
  </conditionalFormatting>
  <conditionalFormatting sqref="AG50:AG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0:AG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05EF-A154-4637-B961-4A857744B317}">
  <dimension ref="A1:M21"/>
  <sheetViews>
    <sheetView tabSelected="1" workbookViewId="0">
      <selection activeCell="K21" sqref="K21"/>
    </sheetView>
  </sheetViews>
  <sheetFormatPr defaultRowHeight="14.4" x14ac:dyDescent="0.3"/>
  <cols>
    <col min="1" max="1" width="15.77734375" bestFit="1" customWidth="1"/>
  </cols>
  <sheetData>
    <row r="1" spans="1:13" x14ac:dyDescent="0.3">
      <c r="D1" s="364">
        <v>44470</v>
      </c>
      <c r="E1" s="364">
        <v>44835</v>
      </c>
      <c r="F1" s="364">
        <v>38657</v>
      </c>
      <c r="G1" s="364"/>
    </row>
    <row r="2" spans="1:13" x14ac:dyDescent="0.3">
      <c r="B2" t="s">
        <v>1083</v>
      </c>
      <c r="C2" t="s">
        <v>1127</v>
      </c>
      <c r="D2" t="s">
        <v>1123</v>
      </c>
      <c r="E2" t="s">
        <v>754</v>
      </c>
      <c r="F2" t="s">
        <v>527</v>
      </c>
      <c r="G2" t="s">
        <v>1208</v>
      </c>
      <c r="H2" t="s">
        <v>1139</v>
      </c>
      <c r="I2" t="s">
        <v>1138</v>
      </c>
      <c r="J2" t="s">
        <v>1137</v>
      </c>
      <c r="K2" t="s">
        <v>494</v>
      </c>
      <c r="L2" t="s">
        <v>1172</v>
      </c>
      <c r="M2" t="s">
        <v>1207</v>
      </c>
    </row>
    <row r="3" spans="1:13" x14ac:dyDescent="0.3">
      <c r="A3" t="s">
        <v>1149</v>
      </c>
      <c r="C3" t="s">
        <v>325</v>
      </c>
      <c r="D3" t="s">
        <v>325</v>
      </c>
      <c r="H3" t="s">
        <v>325</v>
      </c>
      <c r="I3" t="s">
        <v>325</v>
      </c>
      <c r="J3" t="s">
        <v>325</v>
      </c>
      <c r="K3" t="s">
        <v>325</v>
      </c>
      <c r="L3" t="s">
        <v>325</v>
      </c>
    </row>
    <row r="4" spans="1:13" x14ac:dyDescent="0.3">
      <c r="A4" t="s">
        <v>1202</v>
      </c>
      <c r="B4" t="s">
        <v>325</v>
      </c>
      <c r="C4" t="s">
        <v>325</v>
      </c>
      <c r="D4" t="s">
        <v>868</v>
      </c>
      <c r="H4" t="s">
        <v>325</v>
      </c>
      <c r="I4" s="3"/>
      <c r="J4" t="s">
        <v>325</v>
      </c>
      <c r="K4" t="s">
        <v>325</v>
      </c>
    </row>
    <row r="5" spans="1:13" x14ac:dyDescent="0.3">
      <c r="A5" t="s">
        <v>1201</v>
      </c>
      <c r="B5" t="s">
        <v>325</v>
      </c>
      <c r="C5" t="s">
        <v>325</v>
      </c>
      <c r="D5" t="s">
        <v>868</v>
      </c>
      <c r="H5" t="s">
        <v>325</v>
      </c>
      <c r="I5" t="s">
        <v>325</v>
      </c>
      <c r="J5" t="s">
        <v>325</v>
      </c>
      <c r="K5" t="s">
        <v>325</v>
      </c>
    </row>
    <row r="6" spans="1:13" x14ac:dyDescent="0.3">
      <c r="A6" t="s">
        <v>1200</v>
      </c>
      <c r="E6" t="s">
        <v>325</v>
      </c>
      <c r="F6" t="s">
        <v>290</v>
      </c>
      <c r="G6" t="s">
        <v>868</v>
      </c>
      <c r="H6" t="s">
        <v>325</v>
      </c>
      <c r="I6" t="s">
        <v>325</v>
      </c>
      <c r="J6" t="s">
        <v>325</v>
      </c>
      <c r="K6" t="s">
        <v>868</v>
      </c>
      <c r="L6" t="s">
        <v>868</v>
      </c>
      <c r="M6" t="s">
        <v>290</v>
      </c>
    </row>
    <row r="10" spans="1:13" x14ac:dyDescent="0.3">
      <c r="A10" t="s">
        <v>1135</v>
      </c>
      <c r="C10" t="s">
        <v>325</v>
      </c>
      <c r="H10" t="s">
        <v>325</v>
      </c>
      <c r="I10" t="s">
        <v>325</v>
      </c>
      <c r="J10" t="s">
        <v>325</v>
      </c>
      <c r="K10" t="s">
        <v>325</v>
      </c>
    </row>
    <row r="11" spans="1:13" x14ac:dyDescent="0.3">
      <c r="A11" t="s">
        <v>1136</v>
      </c>
      <c r="C11" t="s">
        <v>325</v>
      </c>
      <c r="H11" t="s">
        <v>325</v>
      </c>
      <c r="I11" t="s">
        <v>325</v>
      </c>
      <c r="J11" t="s">
        <v>325</v>
      </c>
      <c r="K11" t="s">
        <v>325</v>
      </c>
    </row>
    <row r="12" spans="1:13" x14ac:dyDescent="0.3">
      <c r="A12" t="s">
        <v>1148</v>
      </c>
      <c r="K12" t="s">
        <v>325</v>
      </c>
    </row>
    <row r="13" spans="1:13" x14ac:dyDescent="0.3">
      <c r="A13" t="s">
        <v>1140</v>
      </c>
      <c r="H13" t="s">
        <v>325</v>
      </c>
      <c r="J13" t="s">
        <v>325</v>
      </c>
      <c r="K13" t="s">
        <v>325</v>
      </c>
      <c r="L13" t="s">
        <v>868</v>
      </c>
    </row>
    <row r="14" spans="1:13" x14ac:dyDescent="0.3">
      <c r="A14" t="s">
        <v>1141</v>
      </c>
      <c r="H14" t="s">
        <v>325</v>
      </c>
      <c r="J14" t="s">
        <v>325</v>
      </c>
      <c r="K14" t="s">
        <v>325</v>
      </c>
      <c r="L14" t="s">
        <v>868</v>
      </c>
    </row>
    <row r="15" spans="1:13" x14ac:dyDescent="0.3">
      <c r="A15" t="s">
        <v>1142</v>
      </c>
      <c r="H15" t="s">
        <v>325</v>
      </c>
      <c r="J15" t="s">
        <v>325</v>
      </c>
      <c r="K15" t="s">
        <v>325</v>
      </c>
      <c r="L15" t="s">
        <v>868</v>
      </c>
    </row>
    <row r="16" spans="1:13" x14ac:dyDescent="0.3">
      <c r="A16" t="s">
        <v>1143</v>
      </c>
      <c r="H16" t="s">
        <v>325</v>
      </c>
      <c r="J16" t="s">
        <v>325</v>
      </c>
      <c r="K16" t="s">
        <v>325</v>
      </c>
      <c r="L16" t="s">
        <v>868</v>
      </c>
    </row>
    <row r="17" spans="1:13" x14ac:dyDescent="0.3">
      <c r="A17" t="s">
        <v>1216</v>
      </c>
      <c r="H17" t="s">
        <v>325</v>
      </c>
      <c r="J17" t="s">
        <v>325</v>
      </c>
      <c r="K17" t="s">
        <v>868</v>
      </c>
    </row>
    <row r="18" spans="1:13" x14ac:dyDescent="0.3">
      <c r="A18" t="s">
        <v>1144</v>
      </c>
      <c r="H18" t="s">
        <v>325</v>
      </c>
      <c r="J18" t="s">
        <v>325</v>
      </c>
      <c r="K18" t="s">
        <v>325</v>
      </c>
      <c r="L18" t="s">
        <v>868</v>
      </c>
      <c r="M18" t="s">
        <v>290</v>
      </c>
    </row>
    <row r="19" spans="1:13" x14ac:dyDescent="0.3">
      <c r="A19" t="s">
        <v>1145</v>
      </c>
      <c r="H19" t="s">
        <v>325</v>
      </c>
      <c r="J19" t="s">
        <v>325</v>
      </c>
      <c r="K19" t="s">
        <v>868</v>
      </c>
      <c r="L19" t="s">
        <v>868</v>
      </c>
    </row>
    <row r="20" spans="1:13" x14ac:dyDescent="0.3">
      <c r="A20" t="s">
        <v>1146</v>
      </c>
      <c r="H20" t="s">
        <v>325</v>
      </c>
      <c r="J20" t="s">
        <v>325</v>
      </c>
      <c r="K20" t="s">
        <v>325</v>
      </c>
      <c r="L20" t="s">
        <v>868</v>
      </c>
    </row>
    <row r="21" spans="1:13" x14ac:dyDescent="0.3">
      <c r="A21" t="s">
        <v>1147</v>
      </c>
      <c r="H21" t="s">
        <v>325</v>
      </c>
      <c r="J21" t="s">
        <v>325</v>
      </c>
      <c r="K21" t="s">
        <v>325</v>
      </c>
      <c r="L21" t="s">
        <v>868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C1E45-9D56-489C-95CB-F640EDDBE021}">
  <dimension ref="A1:M13"/>
  <sheetViews>
    <sheetView workbookViewId="0">
      <selection activeCell="N20" sqref="N20"/>
    </sheetView>
  </sheetViews>
  <sheetFormatPr defaultRowHeight="14.4" x14ac:dyDescent="0.3"/>
  <cols>
    <col min="1" max="1" width="12" bestFit="1" customWidth="1"/>
    <col min="2" max="2" width="6.77734375" bestFit="1" customWidth="1"/>
    <col min="3" max="13" width="15.77734375" bestFit="1" customWidth="1"/>
  </cols>
  <sheetData>
    <row r="1" spans="1:13" x14ac:dyDescent="0.3">
      <c r="B1" t="s">
        <v>1144</v>
      </c>
      <c r="C1" t="s">
        <v>1173</v>
      </c>
      <c r="D1" t="s">
        <v>1174</v>
      </c>
      <c r="E1" t="s">
        <v>1175</v>
      </c>
      <c r="F1" t="s">
        <v>1176</v>
      </c>
      <c r="G1" t="s">
        <v>1177</v>
      </c>
      <c r="H1" t="s">
        <v>1178</v>
      </c>
      <c r="I1" t="s">
        <v>1179</v>
      </c>
      <c r="J1" t="s">
        <v>1180</v>
      </c>
      <c r="K1" t="s">
        <v>1181</v>
      </c>
      <c r="L1" t="s">
        <v>1182</v>
      </c>
      <c r="M1" t="s">
        <v>1183</v>
      </c>
    </row>
    <row r="2" spans="1:13" x14ac:dyDescent="0.3">
      <c r="A2" t="s">
        <v>1195</v>
      </c>
      <c r="C2" t="s">
        <v>1161</v>
      </c>
      <c r="D2" t="s">
        <v>1162</v>
      </c>
      <c r="E2" t="s">
        <v>1163</v>
      </c>
      <c r="F2" t="s">
        <v>1164</v>
      </c>
      <c r="G2" t="s">
        <v>1165</v>
      </c>
      <c r="H2" t="s">
        <v>1166</v>
      </c>
      <c r="I2" t="s">
        <v>1167</v>
      </c>
      <c r="J2" t="s">
        <v>1168</v>
      </c>
      <c r="K2" t="s">
        <v>1169</v>
      </c>
      <c r="L2" t="s">
        <v>1170</v>
      </c>
      <c r="M2" t="s">
        <v>1171</v>
      </c>
    </row>
    <row r="3" spans="1:13" x14ac:dyDescent="0.3">
      <c r="A3" t="s">
        <v>1184</v>
      </c>
      <c r="B3" t="s">
        <v>1150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33850</v>
      </c>
      <c r="J3">
        <v>40397</v>
      </c>
      <c r="K3">
        <v>37751</v>
      </c>
      <c r="L3">
        <v>36083</v>
      </c>
      <c r="M3">
        <v>40499</v>
      </c>
    </row>
    <row r="4" spans="1:13" x14ac:dyDescent="0.3">
      <c r="A4" t="s">
        <v>1185</v>
      </c>
      <c r="B4" t="s">
        <v>1151</v>
      </c>
      <c r="C4">
        <v>0</v>
      </c>
      <c r="D4">
        <v>0</v>
      </c>
      <c r="E4">
        <v>27860</v>
      </c>
      <c r="F4">
        <v>0</v>
      </c>
      <c r="G4">
        <v>0</v>
      </c>
      <c r="H4">
        <v>0</v>
      </c>
      <c r="I4">
        <v>0</v>
      </c>
      <c r="J4">
        <v>0</v>
      </c>
      <c r="K4">
        <v>29887</v>
      </c>
      <c r="L4">
        <v>0</v>
      </c>
      <c r="M4">
        <v>27460</v>
      </c>
    </row>
    <row r="5" spans="1:13" x14ac:dyDescent="0.3">
      <c r="A5" t="s">
        <v>1186</v>
      </c>
      <c r="B5" t="s">
        <v>1152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23625</v>
      </c>
      <c r="J5">
        <v>0</v>
      </c>
      <c r="K5">
        <v>0</v>
      </c>
      <c r="L5">
        <v>0</v>
      </c>
      <c r="M5">
        <v>0</v>
      </c>
    </row>
    <row r="6" spans="1:13" x14ac:dyDescent="0.3">
      <c r="A6" t="s">
        <v>1187</v>
      </c>
      <c r="B6" t="s">
        <v>1153</v>
      </c>
      <c r="C6">
        <v>35751</v>
      </c>
      <c r="D6">
        <v>28202</v>
      </c>
      <c r="E6">
        <v>0</v>
      </c>
      <c r="F6">
        <v>0</v>
      </c>
      <c r="G6">
        <v>0</v>
      </c>
      <c r="H6">
        <v>0</v>
      </c>
      <c r="I6">
        <v>31851</v>
      </c>
      <c r="J6">
        <v>0</v>
      </c>
      <c r="K6">
        <v>0</v>
      </c>
      <c r="L6">
        <v>0</v>
      </c>
      <c r="M6">
        <v>0</v>
      </c>
    </row>
    <row r="7" spans="1:13" x14ac:dyDescent="0.3">
      <c r="A7" t="s">
        <v>1188</v>
      </c>
      <c r="B7" t="s">
        <v>1154</v>
      </c>
      <c r="C7">
        <v>54691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 t="s">
        <v>1189</v>
      </c>
      <c r="B8" t="s">
        <v>1155</v>
      </c>
      <c r="C8">
        <v>0</v>
      </c>
      <c r="D8">
        <v>0</v>
      </c>
      <c r="E8">
        <v>29848</v>
      </c>
      <c r="F8">
        <v>0</v>
      </c>
      <c r="G8">
        <v>0</v>
      </c>
      <c r="H8">
        <v>0</v>
      </c>
      <c r="I8">
        <v>0</v>
      </c>
      <c r="J8">
        <v>32964</v>
      </c>
      <c r="K8">
        <v>34858</v>
      </c>
      <c r="L8">
        <v>32545</v>
      </c>
      <c r="M8">
        <v>0</v>
      </c>
    </row>
    <row r="9" spans="1:13" x14ac:dyDescent="0.3">
      <c r="A9" t="s">
        <v>1190</v>
      </c>
      <c r="B9" t="s">
        <v>1156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33441</v>
      </c>
      <c r="M9">
        <v>0</v>
      </c>
    </row>
    <row r="10" spans="1:13" x14ac:dyDescent="0.3">
      <c r="A10" t="s">
        <v>1191</v>
      </c>
      <c r="B10" t="s">
        <v>1157</v>
      </c>
      <c r="C10">
        <v>0</v>
      </c>
      <c r="D10">
        <v>29764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26815</v>
      </c>
      <c r="M10">
        <v>0</v>
      </c>
    </row>
    <row r="11" spans="1:13" x14ac:dyDescent="0.3">
      <c r="A11" t="s">
        <v>1192</v>
      </c>
      <c r="B11" t="s">
        <v>1158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 t="s">
        <v>1193</v>
      </c>
      <c r="B12" t="s">
        <v>1159</v>
      </c>
      <c r="C12">
        <v>23488</v>
      </c>
      <c r="D12">
        <v>0</v>
      </c>
      <c r="E12">
        <v>23643</v>
      </c>
      <c r="F12">
        <v>0</v>
      </c>
      <c r="G12">
        <v>0</v>
      </c>
      <c r="H12">
        <v>0</v>
      </c>
      <c r="I12">
        <v>0</v>
      </c>
      <c r="J12">
        <v>0</v>
      </c>
      <c r="K12">
        <v>24549</v>
      </c>
      <c r="L12">
        <v>0</v>
      </c>
      <c r="M12">
        <v>0</v>
      </c>
    </row>
    <row r="13" spans="1:13" x14ac:dyDescent="0.3">
      <c r="A13" t="s">
        <v>1194</v>
      </c>
      <c r="B13" t="s">
        <v>1160</v>
      </c>
      <c r="C13">
        <v>0</v>
      </c>
      <c r="D13">
        <v>26727</v>
      </c>
      <c r="E13">
        <v>0</v>
      </c>
      <c r="F13">
        <v>0</v>
      </c>
      <c r="G13">
        <v>0</v>
      </c>
      <c r="H13">
        <v>0</v>
      </c>
      <c r="I13">
        <v>30216</v>
      </c>
      <c r="J13">
        <v>0</v>
      </c>
      <c r="K13">
        <v>0</v>
      </c>
      <c r="L13">
        <v>41908</v>
      </c>
      <c r="M13">
        <v>31306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29FC-047F-433A-A8C7-A24365FEE91D}">
  <dimension ref="A1:BT42"/>
  <sheetViews>
    <sheetView topLeftCell="K1" workbookViewId="0">
      <pane xSplit="1" ySplit="3" topLeftCell="AI4" activePane="bottomRight" state="frozen"/>
      <selection activeCell="K1" sqref="K1"/>
      <selection pane="topRight" activeCell="L1" sqref="L1"/>
      <selection pane="bottomLeft" activeCell="K4" sqref="K4"/>
      <selection pane="bottomRight" activeCell="AI19" sqref="AI19:AL20"/>
    </sheetView>
  </sheetViews>
  <sheetFormatPr defaultRowHeight="14.4" x14ac:dyDescent="0.3"/>
  <cols>
    <col min="1" max="1" width="11.109375" bestFit="1" customWidth="1"/>
    <col min="2" max="4" width="13.77734375" bestFit="1" customWidth="1"/>
    <col min="5" max="5" width="12.21875" bestFit="1" customWidth="1"/>
    <col min="6" max="7" width="13.77734375" bestFit="1" customWidth="1"/>
    <col min="8" max="8" width="12.21875" bestFit="1" customWidth="1"/>
    <col min="9" max="9" width="13.77734375" bestFit="1" customWidth="1"/>
    <col min="10" max="10" width="11" bestFit="1" customWidth="1"/>
    <col min="11" max="11" width="14.77734375" bestFit="1" customWidth="1"/>
    <col min="12" max="12" width="13.77734375" bestFit="1" customWidth="1"/>
    <col min="13" max="13" width="9.44140625" bestFit="1" customWidth="1"/>
    <col min="14" max="14" width="5.5546875" bestFit="1" customWidth="1"/>
    <col min="15" max="15" width="6.5546875" bestFit="1" customWidth="1"/>
    <col min="16" max="16" width="6.44140625" bestFit="1" customWidth="1"/>
    <col min="17" max="17" width="7.77734375" bestFit="1" customWidth="1"/>
    <col min="18" max="18" width="11.109375" bestFit="1" customWidth="1"/>
    <col min="19" max="19" width="9" bestFit="1" customWidth="1"/>
    <col min="20" max="20" width="5" bestFit="1" customWidth="1"/>
    <col min="21" max="21" width="14.77734375" bestFit="1" customWidth="1"/>
    <col min="22" max="22" width="6" bestFit="1" customWidth="1"/>
    <col min="23" max="23" width="8" bestFit="1" customWidth="1"/>
    <col min="24" max="24" width="5" bestFit="1" customWidth="1"/>
    <col min="25" max="25" width="7" bestFit="1" customWidth="1"/>
    <col min="26" max="26" width="6" bestFit="1" customWidth="1"/>
    <col min="27" max="27" width="12.77734375" bestFit="1" customWidth="1"/>
    <col min="28" max="28" width="7.88671875" bestFit="1" customWidth="1"/>
    <col min="29" max="29" width="11.33203125" bestFit="1" customWidth="1"/>
    <col min="30" max="30" width="9.33203125" bestFit="1" customWidth="1"/>
    <col min="31" max="31" width="10.21875" bestFit="1" customWidth="1"/>
    <col min="32" max="32" width="6.77734375" bestFit="1" customWidth="1"/>
    <col min="33" max="33" width="8.77734375" bestFit="1" customWidth="1"/>
    <col min="34" max="34" width="7.77734375" bestFit="1" customWidth="1"/>
    <col min="35" max="35" width="10.21875" bestFit="1" customWidth="1"/>
    <col min="36" max="36" width="7.77734375" customWidth="1"/>
    <col min="37" max="37" width="8.77734375" bestFit="1" customWidth="1"/>
    <col min="38" max="38" width="7.77734375" bestFit="1" customWidth="1"/>
    <col min="39" max="39" width="10.21875" bestFit="1" customWidth="1"/>
    <col min="40" max="40" width="7.77734375" customWidth="1"/>
    <col min="41" max="41" width="8.77734375" bestFit="1" customWidth="1"/>
    <col min="42" max="42" width="7.77734375" customWidth="1"/>
  </cols>
  <sheetData>
    <row r="1" spans="1:67" x14ac:dyDescent="0.3">
      <c r="A1" s="143"/>
      <c r="B1" s="144" t="s">
        <v>461</v>
      </c>
      <c r="C1" s="144" t="s">
        <v>90</v>
      </c>
      <c r="D1" s="144" t="s">
        <v>93</v>
      </c>
      <c r="E1" s="144" t="s">
        <v>92</v>
      </c>
      <c r="F1" s="144" t="s">
        <v>89</v>
      </c>
      <c r="G1" s="144" t="s">
        <v>372</v>
      </c>
      <c r="H1" s="148" t="s">
        <v>384</v>
      </c>
      <c r="I1" s="148" t="s">
        <v>541</v>
      </c>
      <c r="J1">
        <v>1200000000</v>
      </c>
      <c r="M1" s="343" t="s">
        <v>555</v>
      </c>
      <c r="N1" s="343"/>
      <c r="O1" s="343"/>
      <c r="P1" s="343"/>
      <c r="Q1" s="343"/>
      <c r="R1" s="343"/>
      <c r="S1" s="282">
        <v>1</v>
      </c>
      <c r="T1" s="282">
        <v>1</v>
      </c>
      <c r="U1" s="282">
        <v>1</v>
      </c>
      <c r="V1" s="282">
        <v>1</v>
      </c>
      <c r="W1" s="282">
        <v>2</v>
      </c>
      <c r="X1" s="282">
        <v>2</v>
      </c>
      <c r="Y1" s="282">
        <v>2</v>
      </c>
      <c r="Z1" s="282">
        <v>2</v>
      </c>
      <c r="AA1" s="282">
        <v>3</v>
      </c>
      <c r="AB1" s="282">
        <v>3</v>
      </c>
      <c r="AC1" s="282">
        <v>3</v>
      </c>
      <c r="AD1" s="282">
        <v>3</v>
      </c>
      <c r="AE1" t="s">
        <v>1083</v>
      </c>
      <c r="AF1" t="s">
        <v>1083</v>
      </c>
      <c r="AG1" t="s">
        <v>1083</v>
      </c>
      <c r="AH1" t="s">
        <v>1083</v>
      </c>
      <c r="AI1" t="s">
        <v>1127</v>
      </c>
      <c r="AJ1" t="s">
        <v>1127</v>
      </c>
      <c r="AK1" t="s">
        <v>1127</v>
      </c>
      <c r="AL1" t="s">
        <v>1127</v>
      </c>
      <c r="AQ1" s="282">
        <v>1</v>
      </c>
      <c r="AR1" s="282">
        <v>1</v>
      </c>
      <c r="AS1" s="282">
        <v>1</v>
      </c>
      <c r="AT1" s="282">
        <v>1</v>
      </c>
      <c r="AU1" s="282">
        <v>2</v>
      </c>
      <c r="AV1" s="282">
        <v>2</v>
      </c>
      <c r="AW1" s="282">
        <v>2</v>
      </c>
      <c r="AX1" s="282">
        <v>2</v>
      </c>
      <c r="AY1" s="282">
        <v>3</v>
      </c>
      <c r="AZ1" s="282">
        <v>3</v>
      </c>
      <c r="BA1" s="282">
        <v>3</v>
      </c>
      <c r="BB1" s="282">
        <v>3</v>
      </c>
      <c r="BC1" t="s">
        <v>1083</v>
      </c>
      <c r="BD1" t="s">
        <v>1083</v>
      </c>
      <c r="BE1" t="s">
        <v>1083</v>
      </c>
      <c r="BF1" t="s">
        <v>1083</v>
      </c>
      <c r="BG1" t="s">
        <v>1127</v>
      </c>
      <c r="BH1" t="s">
        <v>1127</v>
      </c>
      <c r="BI1" t="s">
        <v>1127</v>
      </c>
      <c r="BJ1" t="s">
        <v>1127</v>
      </c>
    </row>
    <row r="2" spans="1:67" x14ac:dyDescent="0.3">
      <c r="A2" s="143"/>
      <c r="B2" s="144"/>
      <c r="C2" s="144"/>
      <c r="D2" s="144"/>
      <c r="E2" s="144"/>
      <c r="F2" s="144"/>
      <c r="G2" s="144"/>
      <c r="H2" s="148"/>
      <c r="I2" s="148"/>
      <c r="M2" s="233"/>
      <c r="N2" s="233"/>
      <c r="O2" s="233"/>
      <c r="P2" s="233"/>
      <c r="Q2" s="233"/>
      <c r="R2" s="233"/>
      <c r="S2" s="282">
        <v>11</v>
      </c>
      <c r="T2" s="282">
        <v>11</v>
      </c>
      <c r="U2" s="282">
        <v>11</v>
      </c>
      <c r="V2" s="282">
        <v>11</v>
      </c>
      <c r="W2" s="282">
        <v>19</v>
      </c>
      <c r="X2" s="282">
        <v>19</v>
      </c>
      <c r="Y2" s="282">
        <v>19</v>
      </c>
      <c r="Z2" s="282">
        <v>19</v>
      </c>
      <c r="AA2" s="282">
        <v>28</v>
      </c>
      <c r="AB2" s="282">
        <v>28</v>
      </c>
      <c r="AC2" s="282">
        <v>28</v>
      </c>
      <c r="AD2" s="282">
        <v>28</v>
      </c>
      <c r="AE2" t="s">
        <v>1083</v>
      </c>
      <c r="AF2" t="s">
        <v>1083</v>
      </c>
      <c r="AG2" t="s">
        <v>1083</v>
      </c>
      <c r="AH2" t="s">
        <v>1083</v>
      </c>
      <c r="AI2" t="s">
        <v>1127</v>
      </c>
      <c r="AJ2" t="s">
        <v>1127</v>
      </c>
      <c r="AK2" t="s">
        <v>1127</v>
      </c>
      <c r="AL2" t="s">
        <v>1127</v>
      </c>
      <c r="AQ2" s="282" t="s">
        <v>1085</v>
      </c>
      <c r="AR2" s="282" t="s">
        <v>1086</v>
      </c>
      <c r="AS2" s="282" t="s">
        <v>1085</v>
      </c>
      <c r="AT2" s="282" t="s">
        <v>1086</v>
      </c>
      <c r="AU2" s="282" t="s">
        <v>1085</v>
      </c>
      <c r="AV2" s="282" t="s">
        <v>1086</v>
      </c>
      <c r="AW2" s="282" t="s">
        <v>1085</v>
      </c>
      <c r="AX2" s="282" t="s">
        <v>1086</v>
      </c>
      <c r="AY2" s="282" t="s">
        <v>1085</v>
      </c>
      <c r="AZ2" s="282" t="s">
        <v>1086</v>
      </c>
      <c r="BA2" s="282" t="s">
        <v>1085</v>
      </c>
      <c r="BB2" s="282" t="s">
        <v>1086</v>
      </c>
      <c r="BC2" s="282" t="s">
        <v>1085</v>
      </c>
      <c r="BD2" s="282" t="s">
        <v>1086</v>
      </c>
      <c r="BE2" s="282" t="s">
        <v>1085</v>
      </c>
      <c r="BF2" s="282" t="s">
        <v>1086</v>
      </c>
      <c r="BG2" s="282" t="s">
        <v>1085</v>
      </c>
      <c r="BH2" s="282" t="s">
        <v>1086</v>
      </c>
      <c r="BI2" s="282" t="s">
        <v>1085</v>
      </c>
      <c r="BJ2" s="282" t="s">
        <v>1086</v>
      </c>
    </row>
    <row r="3" spans="1:67" x14ac:dyDescent="0.3">
      <c r="A3" s="144" t="s">
        <v>482</v>
      </c>
      <c r="B3" s="145">
        <v>1085245904</v>
      </c>
      <c r="C3" s="145">
        <v>2025069752</v>
      </c>
      <c r="D3" s="145">
        <v>1607658651</v>
      </c>
      <c r="E3" s="145">
        <v>832392128</v>
      </c>
      <c r="F3" s="145">
        <v>1363796173</v>
      </c>
      <c r="G3" s="145">
        <v>2559080426</v>
      </c>
      <c r="H3" s="149">
        <v>957248801</v>
      </c>
      <c r="I3" s="149">
        <v>1808404488</v>
      </c>
      <c r="K3" s="143"/>
      <c r="L3" s="144" t="s">
        <v>482</v>
      </c>
      <c r="M3" s="144" t="s">
        <v>545</v>
      </c>
      <c r="N3" s="144" t="s">
        <v>483</v>
      </c>
      <c r="O3" s="144" t="s">
        <v>484</v>
      </c>
      <c r="P3" s="144" t="s">
        <v>485</v>
      </c>
      <c r="Q3" s="144" t="s">
        <v>547</v>
      </c>
      <c r="R3" s="144" t="s">
        <v>546</v>
      </c>
      <c r="S3" s="144" t="s">
        <v>402</v>
      </c>
      <c r="T3" s="144" t="s">
        <v>542</v>
      </c>
      <c r="U3" s="144" t="s">
        <v>543</v>
      </c>
      <c r="V3" s="144" t="s">
        <v>544</v>
      </c>
      <c r="W3" s="144" t="s">
        <v>402</v>
      </c>
      <c r="X3" s="144" t="s">
        <v>542</v>
      </c>
      <c r="Y3" s="144" t="s">
        <v>543</v>
      </c>
      <c r="Z3" s="144" t="s">
        <v>544</v>
      </c>
      <c r="AA3" s="144" t="s">
        <v>402</v>
      </c>
      <c r="AB3" s="144" t="s">
        <v>542</v>
      </c>
      <c r="AC3" s="144" t="s">
        <v>543</v>
      </c>
      <c r="AD3" s="144" t="s">
        <v>544</v>
      </c>
      <c r="AE3" s="144" t="s">
        <v>402</v>
      </c>
      <c r="AF3" s="144" t="s">
        <v>542</v>
      </c>
      <c r="AG3" s="144" t="s">
        <v>543</v>
      </c>
      <c r="AH3" s="144" t="s">
        <v>544</v>
      </c>
      <c r="AI3" s="144" t="s">
        <v>402</v>
      </c>
      <c r="AJ3" s="144" t="s">
        <v>542</v>
      </c>
      <c r="AK3" s="144" t="s">
        <v>543</v>
      </c>
      <c r="AL3" s="144" t="s">
        <v>544</v>
      </c>
      <c r="AM3" s="144"/>
      <c r="AN3" s="144"/>
      <c r="AO3" s="144"/>
      <c r="AP3" s="144"/>
      <c r="AQ3" s="144" t="s">
        <v>402</v>
      </c>
      <c r="AR3" s="144" t="s">
        <v>542</v>
      </c>
      <c r="AS3" s="144" t="s">
        <v>543</v>
      </c>
      <c r="AT3" s="144" t="s">
        <v>544</v>
      </c>
      <c r="AU3" s="144" t="s">
        <v>402</v>
      </c>
      <c r="AV3" s="144" t="s">
        <v>542</v>
      </c>
      <c r="AW3" s="144" t="s">
        <v>543</v>
      </c>
      <c r="AX3" s="144" t="s">
        <v>544</v>
      </c>
      <c r="AY3" s="144" t="s">
        <v>402</v>
      </c>
      <c r="AZ3" s="144" t="s">
        <v>542</v>
      </c>
      <c r="BA3" s="144" t="s">
        <v>543</v>
      </c>
      <c r="BB3" s="144" t="s">
        <v>544</v>
      </c>
      <c r="BC3" s="144" t="s">
        <v>402</v>
      </c>
      <c r="BD3" s="144" t="s">
        <v>542</v>
      </c>
      <c r="BE3" s="144" t="s">
        <v>543</v>
      </c>
      <c r="BF3" s="144" t="s">
        <v>544</v>
      </c>
      <c r="BG3" s="144" t="s">
        <v>402</v>
      </c>
      <c r="BH3" s="144" t="s">
        <v>542</v>
      </c>
      <c r="BI3" s="144" t="s">
        <v>543</v>
      </c>
      <c r="BJ3" s="144" t="s">
        <v>544</v>
      </c>
      <c r="BK3">
        <v>1</v>
      </c>
      <c r="BL3">
        <v>2</v>
      </c>
      <c r="BM3">
        <v>3</v>
      </c>
      <c r="BN3" t="s">
        <v>1083</v>
      </c>
      <c r="BO3" t="s">
        <v>1127</v>
      </c>
    </row>
    <row r="4" spans="1:67" x14ac:dyDescent="0.3">
      <c r="A4" s="144" t="s">
        <v>545</v>
      </c>
      <c r="B4" s="146">
        <f t="shared" ref="B4:I4" si="0">ABS($J$1-B3)/$J$1</f>
        <v>9.5628413333333329E-2</v>
      </c>
      <c r="C4" s="146">
        <f t="shared" si="0"/>
        <v>0.68755812666666671</v>
      </c>
      <c r="D4" s="146">
        <f t="shared" si="0"/>
        <v>0.33971554250000002</v>
      </c>
      <c r="E4" s="146">
        <f t="shared" si="0"/>
        <v>0.30633989333333334</v>
      </c>
      <c r="F4" s="146">
        <f t="shared" si="0"/>
        <v>0.13649681083333334</v>
      </c>
      <c r="G4" s="146">
        <f t="shared" si="0"/>
        <v>1.1325670216666666</v>
      </c>
      <c r="H4" s="146">
        <f t="shared" si="0"/>
        <v>0.20229266583333333</v>
      </c>
      <c r="I4" s="146">
        <f t="shared" si="0"/>
        <v>0.50700374000000004</v>
      </c>
      <c r="K4" s="144" t="s">
        <v>372</v>
      </c>
      <c r="L4" s="145">
        <v>2559080426</v>
      </c>
      <c r="M4" s="146">
        <f t="shared" ref="M4:M11" si="1">ABS($J$1-L4)/$J$1</f>
        <v>1.1325670216666666</v>
      </c>
      <c r="N4" s="147">
        <v>0</v>
      </c>
      <c r="O4" s="147">
        <v>35.9</v>
      </c>
      <c r="P4" s="147">
        <f t="shared" ref="P4:P11" si="2">100-O4</f>
        <v>64.099999999999994</v>
      </c>
      <c r="Q4" s="145">
        <v>24105</v>
      </c>
      <c r="R4" s="145">
        <v>3962120</v>
      </c>
      <c r="S4" s="168">
        <v>116405</v>
      </c>
      <c r="T4" s="168">
        <v>5040</v>
      </c>
      <c r="U4" s="168">
        <v>30209</v>
      </c>
      <c r="V4" s="168">
        <v>18638</v>
      </c>
      <c r="W4">
        <v>280201</v>
      </c>
      <c r="X4">
        <v>2329</v>
      </c>
      <c r="Y4">
        <v>31123</v>
      </c>
      <c r="Z4">
        <v>11369</v>
      </c>
      <c r="AA4" s="145">
        <v>385302</v>
      </c>
      <c r="AB4" s="145">
        <v>1730</v>
      </c>
      <c r="AC4" s="145">
        <v>28058</v>
      </c>
      <c r="AD4" s="145">
        <v>11583</v>
      </c>
      <c r="AE4" s="145">
        <v>665857</v>
      </c>
      <c r="AF4" s="145">
        <v>621</v>
      </c>
      <c r="AG4" s="145">
        <v>207787</v>
      </c>
      <c r="AH4" s="145">
        <v>2000</v>
      </c>
      <c r="AI4" s="300">
        <v>673506</v>
      </c>
      <c r="AJ4" s="300">
        <v>605</v>
      </c>
      <c r="AK4" s="300">
        <v>214982</v>
      </c>
      <c r="AL4" s="300">
        <v>1921</v>
      </c>
      <c r="AM4" s="300"/>
      <c r="AN4" s="300"/>
      <c r="AO4" s="300"/>
      <c r="AP4" s="300"/>
      <c r="AQ4" s="155">
        <f>IF(ISNUMBER(S4),IF(AQ$2="x",(S4-MIN(S$4:S$14))/(MAX(S$4:S$14)-MIN(S$4:S$14)),(MAX(S$4:S$14)-S4)/(MAX(S$4:S$14)-MIN(S$4:S$14))),"")</f>
        <v>0.23325227372209523</v>
      </c>
      <c r="AR4" s="155">
        <f>IF(ISNUMBER(T4),IF(AR$2="x",(T4-MIN(T$4:T$14))/(MAX(T$4:T$14)-MIN(T$4:T$14)),(MAX(T$4:T$14)-T4)/(MAX(T$4:T$14)-MIN(T$4:T$14))),"")</f>
        <v>3.1129476584022039E-2</v>
      </c>
      <c r="AS4" s="155">
        <f>IF(ISNUMBER(U4),IF(AS$2="x",(U4-MIN(U$4:U$14))/(MAX(U$4:U$14)-MIN(U$4:U$14)),(MAX(U$4:U$14)-U4)/(MAX(U$4:U$14)-MIN(U$4:U$14))),"")</f>
        <v>0.2438654340218073</v>
      </c>
      <c r="AT4" s="155">
        <f>IF(ISNUMBER(V4),IF(AT$2="x",(V4-MIN(V$4:V$14))/(MAX(V$4:V$14)-MIN(V$4:V$14)),(MAX(V$4:V$14)-V4)/(MAX(V$4:V$14)-MIN(V$4:V$14))),"")</f>
        <v>0.15706838393130942</v>
      </c>
      <c r="AU4" s="155">
        <f>IF(ISNUMBER(W4),IF(AU$2="x",(W4-MIN(W$4:W$14))/(MAX(W$4:W$14)-MIN(W$4:W$14)),(MAX(W$4:W$14)-W4)/(MAX(W$4:W$14)-MIN(W$4:W$14))),"")</f>
        <v>0.17123795004188944</v>
      </c>
      <c r="AV4" s="155">
        <f>IF(ISNUMBER(X4),IF(AV$2="x",(X4-MIN(X$4:X$14))/(MAX(X$4:X$14)-MIN(X$4:X$14)),(MAX(X$4:X$14)-X4)/(MAX(X$4:X$14)-MIN(X$4:X$14))),"")</f>
        <v>0.22634870992963252</v>
      </c>
      <c r="AW4" s="155">
        <f>IF(ISNUMBER(Y4),IF(AW$2="x",(Y4-MIN(Y$4:Y$14))/(MAX(Y$4:Y$14)-MIN(Y$4:Y$14)),(MAX(Y$4:Y$14)-Y4)/(MAX(Y$4:Y$14)-MIN(Y$4:Y$14))),"")</f>
        <v>0</v>
      </c>
      <c r="AX4" s="155">
        <f>IF(ISNUMBER(Z4),IF(AX$2="x",(Z4-MIN(Z$4:Z$14))/(MAX(Z$4:Z$14)-MIN(Z$4:Z$14)),(MAX(Z$4:Z$14)-Z4)/(MAX(Z$4:Z$14)-MIN(Z$4:Z$14))),"")</f>
        <v>0</v>
      </c>
      <c r="AY4" s="155">
        <f>IF(ISNUMBER(AA4),IF(AY$2="x",(AA4-MIN(AA$4:AA$14))/(MAX(AA$4:AA$14)-MIN(AA$4:AA$14)),(MAX(AA$4:AA$14)-AA4)/(MAX(AA$4:AA$14)-MIN(AA$4:AA$14))),"")</f>
        <v>0.15200822169529843</v>
      </c>
      <c r="AZ4" s="155">
        <f>IF(ISNUMBER(AB4),IF(AZ$2="x",(AB4-MIN(AB$4:AB$14))/(MAX(AB$4:AB$14)-MIN(AB$4:AB$14)),(MAX(AB$4:AB$14)-AB4)/(MAX(AB$4:AB$14)-MIN(AB$4:AB$14))),"")</f>
        <v>0.34541577825159914</v>
      </c>
      <c r="BA4" s="155">
        <f>IF(ISNUMBER(AC4),IF(BA$2="x",(AC4-MIN(AC$4:AC$14))/(MAX(AC$4:AC$14)-MIN(AC$4:AC$14)),(MAX(AC$4:AC$14)-AC4)/(MAX(AC$4:AC$14)-MIN(AC$4:AC$14))),"")</f>
        <v>5.2715152953026695E-3</v>
      </c>
      <c r="BB4" s="155">
        <f>IF(ISNUMBER(AD4),IF(BB$2="x",(AD4-MIN(AD$4:AD$14))/(MAX(AD$4:AD$14)-MIN(AD$4:AD$14)),(MAX(AD$4:AD$14)-AD4)/(MAX(AD$4:AD$14)-MIN(AD$4:AD$14))),"")</f>
        <v>0</v>
      </c>
      <c r="BC4" s="155">
        <f>IF(ISNUMBER(AE4),IF(BC$2="x",(AE4-MIN(AE$4:AE$14))/(MAX(AE$4:AE$14)-MIN(AE$4:AE$14)),(MAX(AE$4:AE$14)-AE4)/(MAX(AE$4:AE$14)-MIN(AE$4:AE$14))),"")</f>
        <v>0.26692150374688073</v>
      </c>
      <c r="BD4" s="155">
        <f>IF(ISNUMBER(AF4),IF(BD$2="x",(AF4-MIN(AF$4:AF$14))/(MAX(AF$4:AF$14)-MIN(AF$4:AF$14)),(MAX(AF$4:AF$14)-AF4)/(MAX(AF$4:AF$14)-MIN(AF$4:AF$14))),"")</f>
        <v>0.77595364558184454</v>
      </c>
      <c r="BE4" s="155">
        <f>IF(ISNUMBER(AG4),IF(BE$2="x",(AG4-MIN(AG$4:AG$14))/(MAX(AG$4:AG$14)-MIN(AG$4:AG$14)),(MAX(AG$4:AG$14)-AG4)/(MAX(AG$4:AG$14)-MIN(AG$4:AG$14))),"")</f>
        <v>0.27545130991332734</v>
      </c>
      <c r="BF4" s="155">
        <f>IF(ISNUMBER(AH4),IF(BF$2="x",(AH4-MIN(AH$4:AH$14))/(MAX(AH$4:AH$14)-MIN(AH$4:AH$14)),(MAX(AH$4:AH$14)-AH4)/(MAX(AH$4:AH$14)-MIN(AH$4:AH$14))),"")</f>
        <v>0.86274509803921573</v>
      </c>
      <c r="BG4" s="155">
        <f>IF(ISNUMBER(AI4),IF(BG$2="x",(AI4-MIN(AI$4:AI$14))/(MAX(AI$4:AI$14)-MIN(AI$4:AI$14)),(MAX(AI$4:AI$14)-AI4)/(MAX(AI$4:AI$14)-MIN(AI$4:AI$14))),"")</f>
        <v>0.27053236291262428</v>
      </c>
      <c r="BH4" s="155">
        <f>IF(ISNUMBER(AJ4),IF(BH$2="x",(AJ4-MIN(AJ$4:AJ$14))/(MAX(AJ$4:AJ$14)-MIN(AJ$4:AJ$14)),(MAX(AJ$4:AJ$14)-AJ4)/(MAX(AJ$4:AJ$14)-MIN(AJ$4:AJ$14))),"")</f>
        <v>0.78347027549540837</v>
      </c>
      <c r="BI4" s="155">
        <f>IF(ISNUMBER(AK4),IF(BI$2="x",(AK4-MIN(AK$4:AK$14))/(MAX(AK$4:AK$14)-MIN(AK$4:AK$14)),(MAX(AK$4:AK$14)-AK4)/(MAX(AK$4:AK$14)-MIN(AK$4:AK$14))),"")</f>
        <v>0.27733330068620188</v>
      </c>
      <c r="BJ4" s="155">
        <f>IF(ISNUMBER(AL4),IF(BJ$2="x",(AL4-MIN(AL$4:AL$14))/(MAX(AL$4:AL$14)-MIN(AL$4:AL$14)),(MAX(AL$4:AL$14)-AL4)/(MAX(AL$4:AL$14)-MIN(AL$4:AL$14))),"")</f>
        <v>0.79267228845594651</v>
      </c>
      <c r="BK4" s="64">
        <f t="shared" ref="BK4:BO14" si="3">IFERROR(AVERAGEIF($AQ$1:$BJ$1,"="&amp;BK$3,$AQ4:$BJ4),"")</f>
        <v>0.1663288920648085</v>
      </c>
      <c r="BL4" s="64">
        <f t="shared" si="3"/>
        <v>9.9396664992880496E-2</v>
      </c>
      <c r="BM4" s="64">
        <f t="shared" si="3"/>
        <v>0.12567387881055006</v>
      </c>
      <c r="BN4" s="64">
        <f>IFERROR(AVERAGEIF($AQ$1:$BJ$1,"="&amp;BN$3,$AQ4:$BJ4),"")</f>
        <v>0.54526788932031711</v>
      </c>
      <c r="BO4" s="64">
        <f t="shared" si="3"/>
        <v>0.53100205688754532</v>
      </c>
    </row>
    <row r="5" spans="1:67" x14ac:dyDescent="0.3">
      <c r="A5" s="144" t="s">
        <v>483</v>
      </c>
      <c r="B5" s="147">
        <v>0</v>
      </c>
      <c r="C5" s="147">
        <v>0</v>
      </c>
      <c r="D5" s="147">
        <v>0</v>
      </c>
      <c r="E5" s="147">
        <v>0</v>
      </c>
      <c r="F5" s="147">
        <v>0</v>
      </c>
      <c r="G5" s="147">
        <v>0</v>
      </c>
      <c r="H5" s="147">
        <v>0</v>
      </c>
      <c r="I5" s="147">
        <v>0</v>
      </c>
      <c r="K5" s="148" t="s">
        <v>541</v>
      </c>
      <c r="L5" s="149">
        <v>1808404488</v>
      </c>
      <c r="M5" s="146">
        <f t="shared" si="1"/>
        <v>0.50700374000000004</v>
      </c>
      <c r="N5" s="147">
        <v>0</v>
      </c>
      <c r="O5" s="147">
        <v>36.200000000000003</v>
      </c>
      <c r="P5" s="147">
        <f t="shared" si="2"/>
        <v>63.8</v>
      </c>
      <c r="Q5" s="149">
        <v>20955</v>
      </c>
      <c r="R5" s="150">
        <v>2549345</v>
      </c>
      <c r="S5" s="207" t="s">
        <v>1121</v>
      </c>
      <c r="W5" s="207" t="s">
        <v>1121</v>
      </c>
      <c r="AA5" s="150">
        <v>243009</v>
      </c>
      <c r="AB5" s="149">
        <v>1856</v>
      </c>
      <c r="AC5" s="149">
        <v>25525</v>
      </c>
      <c r="AD5" s="149">
        <v>11460</v>
      </c>
      <c r="AE5" s="145">
        <v>243009</v>
      </c>
      <c r="AF5" s="145">
        <v>1856</v>
      </c>
      <c r="AG5" s="145">
        <v>25525</v>
      </c>
      <c r="AH5" s="145">
        <v>11460</v>
      </c>
      <c r="AI5" s="300">
        <v>302872</v>
      </c>
      <c r="AJ5">
        <v>1378</v>
      </c>
      <c r="AK5">
        <v>64882</v>
      </c>
      <c r="AL5">
        <v>5488</v>
      </c>
      <c r="AQ5" s="155" t="str">
        <f>IF(ISNUMBER(S5),IF(AQ$2="x",(S5-MIN(S$4:S$14))/(MAX(S$4:S$14)-MIN(S$4:S$14)),(MAX(S$4:S$14)-S5)/(MAX(S$4:S$14)-MIN(S$4:S$14))),"")</f>
        <v/>
      </c>
      <c r="AR5" s="155" t="str">
        <f>IF(ISNUMBER(T5),IF(AR$2="x",(T5-MIN(T$4:T$14))/(MAX(T$4:T$14)-MIN(T$4:T$14)),(MAX(T$4:T$14)-T5)/(MAX(T$4:T$14)-MIN(T$4:T$14))),"")</f>
        <v/>
      </c>
      <c r="AS5" s="155" t="str">
        <f>IF(ISNUMBER(U5),IF(AS$2="x",(U5-MIN(U$4:U$14))/(MAX(U$4:U$14)-MIN(U$4:U$14)),(MAX(U$4:U$14)-U5)/(MAX(U$4:U$14)-MIN(U$4:U$14))),"")</f>
        <v/>
      </c>
      <c r="AT5" s="155" t="str">
        <f>IF(ISNUMBER(V5),IF(AT$2="x",(V5-MIN(V$4:V$14))/(MAX(V$4:V$14)-MIN(V$4:V$14)),(MAX(V$4:V$14)-V5)/(MAX(V$4:V$14)-MIN(V$4:V$14))),"")</f>
        <v/>
      </c>
      <c r="AU5" s="155" t="str">
        <f>IF(ISNUMBER(W5),IF(AU$2="x",(W5-MIN(W$4:W$14))/(MAX(W$4:W$14)-MIN(W$4:W$14)),(MAX(W$4:W$14)-W5)/(MAX(W$4:W$14)-MIN(W$4:W$14))),"")</f>
        <v/>
      </c>
      <c r="AV5" s="155" t="str">
        <f>IF(ISNUMBER(X5),IF(AV$2="x",(X5-MIN(X$4:X$14))/(MAX(X$4:X$14)-MIN(X$4:X$14)),(MAX(X$4:X$14)-X5)/(MAX(X$4:X$14)-MIN(X$4:X$14))),"")</f>
        <v/>
      </c>
      <c r="AW5" s="155" t="str">
        <f>IF(ISNUMBER(Y5),IF(AW$2="x",(Y5-MIN(Y$4:Y$14))/(MAX(Y$4:Y$14)-MIN(Y$4:Y$14)),(MAX(Y$4:Y$14)-Y5)/(MAX(Y$4:Y$14)-MIN(Y$4:Y$14))),"")</f>
        <v/>
      </c>
      <c r="AX5" s="155" t="str">
        <f>IF(ISNUMBER(Z5),IF(AX$2="x",(Z5-MIN(Z$4:Z$14))/(MAX(Z$4:Z$14)-MIN(Z$4:Z$14)),(MAX(Z$4:Z$14)-Z5)/(MAX(Z$4:Z$14)-MIN(Z$4:Z$14))),"")</f>
        <v/>
      </c>
      <c r="AY5" s="155">
        <f>IF(ISNUMBER(AA5),IF(AY$2="x",(AA5-MIN(AA$4:AA$14))/(MAX(AA$4:AA$14)-MIN(AA$4:AA$14)),(MAX(AA$4:AA$14)-AA5)/(MAX(AA$4:AA$14)-MIN(AA$4:AA$14))),"")</f>
        <v>7.7130489418198236E-2</v>
      </c>
      <c r="AZ5" s="155">
        <f>IF(ISNUMBER(AB5),IF(AZ$2="x",(AB5-MIN(AB$4:AB$14))/(MAX(AB$4:AB$14)-MIN(AB$4:AB$14)),(MAX(AB$4:AB$14)-AB5)/(MAX(AB$4:AB$14)-MIN(AB$4:AB$14))),"")</f>
        <v>0.29168443496801705</v>
      </c>
      <c r="BA5" s="155">
        <f>IF(ISNUMBER(AC5),IF(BA$2="x",(AC5-MIN(AC$4:AC$14))/(MAX(AC$4:AC$14)-MIN(AC$4:AC$14)),(MAX(AC$4:AC$14)-AC5)/(MAX(AC$4:AC$14)-MIN(AC$4:AC$14))),"")</f>
        <v>0</v>
      </c>
      <c r="BB5" s="155">
        <f>IF(ISNUMBER(AD5),IF(BB$2="x",(AD5-MIN(AD$4:AD$14))/(MAX(AD$4:AD$14)-MIN(AD$4:AD$14)),(MAX(AD$4:AD$14)-AD5)/(MAX(AD$4:AD$14)-MIN(AD$4:AD$14))),"")</f>
        <v>1.1278195488721804E-2</v>
      </c>
      <c r="BC5" s="155">
        <f>IF(ISNUMBER(AE5),IF(BC$2="x",(AE5-MIN(AE$4:AE$14))/(MAX(AE$4:AE$14)-MIN(AE$4:AE$14)),(MAX(AE$4:AE$14)-AE5)/(MAX(AE$4:AE$14)-MIN(AE$4:AE$14))),"")</f>
        <v>6.6926422651175904E-2</v>
      </c>
      <c r="BD5" s="155">
        <f>IF(ISNUMBER(AF5),IF(BD$2="x",(AF5-MIN(AF$4:AF$14))/(MAX(AF$4:AF$14)-MIN(AF$4:AF$14)),(MAX(AF$4:AF$14)-AF5)/(MAX(AF$4:AF$14)-MIN(AF$4:AF$14))),"")</f>
        <v>0.17962337035248671</v>
      </c>
      <c r="BE5" s="155">
        <f>IF(ISNUMBER(AG5),IF(BE$2="x",(AG5-MIN(AG$4:AG$14))/(MAX(AG$4:AG$14)-MIN(AG$4:AG$14)),(MAX(AG$4:AG$14)-AG5)/(MAX(AG$4:AG$14)-MIN(AG$4:AG$14))),"")</f>
        <v>0</v>
      </c>
      <c r="BF5" s="155">
        <f>IF(ISNUMBER(AH5),IF(BF$2="x",(AH5-MIN(AH$4:AH$14))/(MAX(AH$4:AH$14)-MIN(AH$4:AH$14)),(MAX(AH$4:AH$14)-AH5)/(MAX(AH$4:AH$14)-MIN(AH$4:AH$14))),"")</f>
        <v>0</v>
      </c>
      <c r="BG5" s="155">
        <f>IF(ISNUMBER(AI5),IF(BG$2="x",(AI5-MIN(AI$4:AI$14))/(MAX(AI$4:AI$14)-MIN(AI$4:AI$14)),(MAX(AI$4:AI$14)-AI5)/(MAX(AI$4:AI$14)-MIN(AI$4:AI$14))),"")</f>
        <v>9.5231360960179201E-2</v>
      </c>
      <c r="BH5" s="155">
        <f>IF(ISNUMBER(AJ5),IF(BH$2="x",(AJ5-MIN(AJ$4:AJ$14))/(MAX(AJ$4:AJ$14)-MIN(AJ$4:AJ$14)),(MAX(AJ$4:AJ$14)-AJ5)/(MAX(AJ$4:AJ$14)-MIN(AJ$4:AJ$14))),"")</f>
        <v>0.40985983566940554</v>
      </c>
      <c r="BI5" s="155">
        <f>IF(ISNUMBER(AK5),IF(BI$2="x",(AK5-MIN(AK$4:AK$14))/(MAX(AK$4:AK$14)-MIN(AK$4:AK$14)),(MAX(AK$4:AK$14)-AK5)/(MAX(AK$4:AK$14)-MIN(AK$4:AK$14))),"")</f>
        <v>4.7630124324357412E-2</v>
      </c>
      <c r="BJ5" s="155">
        <f>IF(ISNUMBER(AL5),IF(BJ$2="x",(AL5-MIN(AL$4:AL$14))/(MAX(AL$4:AL$14)-MIN(AL$4:AL$14)),(MAX(AL$4:AL$14)-AL5)/(MAX(AL$4:AL$14)-MIN(AL$4:AL$14))),"")</f>
        <v>0.27406222739168362</v>
      </c>
      <c r="BK5" s="64" t="str">
        <f t="shared" si="3"/>
        <v/>
      </c>
      <c r="BL5" s="64" t="str">
        <f t="shared" si="3"/>
        <v/>
      </c>
      <c r="BM5" s="64">
        <f t="shared" si="3"/>
        <v>9.5023279968734276E-2</v>
      </c>
      <c r="BN5" s="64">
        <f t="shared" si="3"/>
        <v>6.1637448250915654E-2</v>
      </c>
      <c r="BO5" s="64">
        <f t="shared" si="3"/>
        <v>0.20669588708640646</v>
      </c>
    </row>
    <row r="6" spans="1:67" x14ac:dyDescent="0.3">
      <c r="A6" s="144" t="s">
        <v>484</v>
      </c>
      <c r="B6" s="147">
        <v>35.729999999999997</v>
      </c>
      <c r="C6" s="147">
        <v>35.82</v>
      </c>
      <c r="D6" s="147">
        <v>35.950000000000003</v>
      </c>
      <c r="E6" s="147">
        <v>35.64</v>
      </c>
      <c r="F6" s="147">
        <v>35.950000000000003</v>
      </c>
      <c r="G6" s="147">
        <v>35.9</v>
      </c>
      <c r="H6" s="147">
        <v>35.700000000000003</v>
      </c>
      <c r="I6" s="147">
        <v>36.200000000000003</v>
      </c>
      <c r="K6" s="144" t="s">
        <v>90</v>
      </c>
      <c r="L6" s="145">
        <v>2025069752</v>
      </c>
      <c r="M6" s="146">
        <f t="shared" si="1"/>
        <v>0.68755812666666671</v>
      </c>
      <c r="N6" s="147">
        <v>0</v>
      </c>
      <c r="O6" s="147">
        <v>35.82</v>
      </c>
      <c r="P6" s="147">
        <f t="shared" si="2"/>
        <v>64.180000000000007</v>
      </c>
      <c r="Q6" s="145">
        <v>18721</v>
      </c>
      <c r="R6" s="145">
        <v>2279615</v>
      </c>
      <c r="S6" s="168">
        <v>78233</v>
      </c>
      <c r="T6" s="168">
        <v>5153</v>
      </c>
      <c r="U6" s="168">
        <v>18154</v>
      </c>
      <c r="V6" s="168">
        <v>21199</v>
      </c>
      <c r="W6">
        <v>194001</v>
      </c>
      <c r="X6">
        <v>2908</v>
      </c>
      <c r="Y6">
        <v>44839</v>
      </c>
      <c r="Z6">
        <v>10952</v>
      </c>
      <c r="AA6" s="145">
        <v>223514</v>
      </c>
      <c r="AB6" s="145">
        <v>2514</v>
      </c>
      <c r="AC6" s="145">
        <v>47660</v>
      </c>
      <c r="AD6" s="145">
        <v>9773</v>
      </c>
      <c r="AE6" s="145">
        <v>284374</v>
      </c>
      <c r="AF6" s="145">
        <v>1118</v>
      </c>
      <c r="AG6" s="145">
        <v>56627</v>
      </c>
      <c r="AH6" s="145">
        <v>4335</v>
      </c>
      <c r="AI6" s="300">
        <v>285807</v>
      </c>
      <c r="AJ6" s="300">
        <v>1110</v>
      </c>
      <c r="AK6" s="300">
        <v>59542</v>
      </c>
      <c r="AL6" s="300">
        <v>4260</v>
      </c>
      <c r="AM6" s="300"/>
      <c r="AN6" s="300"/>
      <c r="AO6" s="300"/>
      <c r="AP6" s="300"/>
      <c r="AQ6" s="155">
        <f>IF(ISNUMBER(S6),IF(AQ$2="x",(S6-MIN(S$4:S$14))/(MAX(S$4:S$14)-MIN(S$4:S$14)),(MAX(S$4:S$14)-S6)/(MAX(S$4:S$14)-MIN(S$4:S$14))),"")</f>
        <v>4.7599824911239728E-2</v>
      </c>
      <c r="AR6" s="155">
        <f>IF(ISNUMBER(T6),IF(AR$2="x",(T6-MIN(T$4:T$14))/(MAX(T$4:T$14)-MIN(T$4:T$14)),(MAX(T$4:T$14)-T6)/(MAX(T$4:T$14)-MIN(T$4:T$14))),"")</f>
        <v>0</v>
      </c>
      <c r="AS6" s="155">
        <f>IF(ISNUMBER(U6),IF(AS$2="x",(U6-MIN(U$4:U$14))/(MAX(U$4:U$14)-MIN(U$4:U$14)),(MAX(U$4:U$14)-U6)/(MAX(U$4:U$14)-MIN(U$4:U$14))),"")</f>
        <v>0</v>
      </c>
      <c r="AT6" s="155">
        <f>IF(ISNUMBER(V6),IF(AT$2="x",(V6-MIN(V$4:V$14))/(MAX(V$4:V$14)-MIN(V$4:V$14)),(MAX(V$4:V$14)-V6)/(MAX(V$4:V$14)-MIN(V$4:V$14))),"")</f>
        <v>0</v>
      </c>
      <c r="AU6" s="155">
        <f>IF(ISNUMBER(W6),IF(AU$2="x",(W6-MIN(W$4:W$14))/(MAX(W$4:W$14)-MIN(W$4:W$14)),(MAX(W$4:W$14)-W6)/(MAX(W$4:W$14)-MIN(W$4:W$14))),"")</f>
        <v>9.3751460737182366E-2</v>
      </c>
      <c r="AV6" s="155">
        <f>IF(ISNUMBER(X6),IF(AV$2="x",(X6-MIN(X$4:X$14))/(MAX(X$4:X$14)-MIN(X$4:X$14)),(MAX(X$4:X$14)-X6)/(MAX(X$4:X$14)-MIN(X$4:X$14))),"")</f>
        <v>0</v>
      </c>
      <c r="AW6" s="155">
        <f>IF(ISNUMBER(Y6),IF(AW$2="x",(Y6-MIN(Y$4:Y$14))/(MAX(Y$4:Y$14)-MIN(Y$4:Y$14)),(MAX(Y$4:Y$14)-Y6)/(MAX(Y$4:Y$14)-MIN(Y$4:Y$14))),"")</f>
        <v>5.6238006986699028E-2</v>
      </c>
      <c r="AX6" s="155">
        <f>IF(ISNUMBER(Z6),IF(AX$2="x",(Z6-MIN(Z$4:Z$14))/(MAX(Z$4:Z$14)-MIN(Z$4:Z$14)),(MAX(Z$4:Z$14)-Z6)/(MAX(Z$4:Z$14)-MIN(Z$4:Z$14))),"")</f>
        <v>4.1148608644168146E-2</v>
      </c>
      <c r="AY6" s="155">
        <f>IF(ISNUMBER(AA6),IF(AY$2="x",(AA6-MIN(AA$4:AA$14))/(MAX(AA$4:AA$14)-MIN(AA$4:AA$14)),(MAX(AA$4:AA$14)-AA6)/(MAX(AA$4:AA$14)-MIN(AA$4:AA$14))),"")</f>
        <v>6.6871788071385191E-2</v>
      </c>
      <c r="AZ6" s="155">
        <f>IF(ISNUMBER(AB6),IF(AZ$2="x",(AB6-MIN(AB$4:AB$14))/(MAX(AB$4:AB$14)-MIN(AB$4:AB$14)),(MAX(AB$4:AB$14)-AB6)/(MAX(AB$4:AB$14)-MIN(AB$4:AB$14))),"")</f>
        <v>1.1087420042643924E-2</v>
      </c>
      <c r="BA6" s="155">
        <f>IF(ISNUMBER(AC6),IF(BA$2="x",(AC6-MIN(AC$4:AC$14))/(MAX(AC$4:AC$14)-MIN(AC$4:AC$14)),(MAX(AC$4:AC$14)-AC6)/(MAX(AC$4:AC$14)-MIN(AC$4:AC$14))),"")</f>
        <v>4.6065926198785863E-2</v>
      </c>
      <c r="BB6" s="155">
        <f>IF(ISNUMBER(AD6),IF(BB$2="x",(AD6-MIN(AD$4:AD$14))/(MAX(AD$4:AD$14)-MIN(AD$4:AD$14)),(MAX(AD$4:AD$14)-AD6)/(MAX(AD$4:AD$14)-MIN(AD$4:AD$14))),"")</f>
        <v>0.16596368971208508</v>
      </c>
      <c r="BC6" s="155">
        <f>IF(ISNUMBER(AE6),IF(BC$2="x",(AE6-MIN(AE$4:AE$14))/(MAX(AE$4:AE$14)-MIN(AE$4:AE$14)),(MAX(AE$4:AE$14)-AE6)/(MAX(AE$4:AE$14)-MIN(AE$4:AE$14))),"")</f>
        <v>8.6490891513565774E-2</v>
      </c>
      <c r="BD6" s="155">
        <f>IF(ISNUMBER(AF6),IF(BD$2="x",(AF6-MIN(AF$4:AF$14))/(MAX(AF$4:AF$14)-MIN(AF$4:AF$14)),(MAX(AF$4:AF$14)-AF6)/(MAX(AF$4:AF$14)-MIN(AF$4:AF$14))),"")</f>
        <v>0.53597295992274263</v>
      </c>
      <c r="BE6" s="155">
        <f>IF(ISNUMBER(AG6),IF(BE$2="x",(AG6-MIN(AG$4:AG$14))/(MAX(AG$4:AG$14)-MIN(AG$4:AG$14)),(MAX(AG$4:AG$14)-AG6)/(MAX(AG$4:AG$14)-MIN(AG$4:AG$14))),"")</f>
        <v>4.7004239177252015E-2</v>
      </c>
      <c r="BF6" s="155">
        <f>IF(ISNUMBER(AH6),IF(BF$2="x",(AH6-MIN(AH$4:AH$14))/(MAX(AH$4:AH$14)-MIN(AH$4:AH$14)),(MAX(AH$4:AH$14)-AH6)/(MAX(AH$4:AH$14)-MIN(AH$4:AH$14))),"")</f>
        <v>0.64979480164158687</v>
      </c>
      <c r="BG6" s="155">
        <f>IF(ISNUMBER(AI6),IF(BG$2="x",(AI6-MIN(AI$4:AI$14))/(MAX(AI$4:AI$14)-MIN(AI$4:AI$14)),(MAX(AI$4:AI$14)-AI6)/(MAX(AI$4:AI$14)-MIN(AI$4:AI$14))),"")</f>
        <v>8.7160024821782631E-2</v>
      </c>
      <c r="BH6" s="155">
        <f>IF(ISNUMBER(AJ6),IF(BH$2="x",(AJ6-MIN(AJ$4:AJ$14))/(MAX(AJ$4:AJ$14)-MIN(AJ$4:AJ$14)),(MAX(AJ$4:AJ$14)-AJ6)/(MAX(AJ$4:AJ$14)-MIN(AJ$4:AJ$14))),"")</f>
        <v>0.53939101014983082</v>
      </c>
      <c r="BI6" s="155">
        <f>IF(ISNUMBER(AK6),IF(BI$2="x",(AK6-MIN(AK$4:AK$14))/(MAX(AK$4:AK$14)-MIN(AK$4:AK$14)),(MAX(AK$4:AK$14)-AK6)/(MAX(AK$4:AK$14)-MIN(AK$4:AK$14))),"")</f>
        <v>3.9458139235934699E-2</v>
      </c>
      <c r="BJ6" s="155">
        <f>IF(ISNUMBER(AL6),IF(BJ$2="x",(AL6-MIN(AL$4:AL$14))/(MAX(AL$4:AL$14)-MIN(AL$4:AL$14)),(MAX(AL$4:AL$14)-AL6)/(MAX(AL$4:AL$14)-MIN(AL$4:AL$14))),"")</f>
        <v>0.45260250072695551</v>
      </c>
      <c r="BK6" s="64">
        <f t="shared" si="3"/>
        <v>1.1899956227809932E-2</v>
      </c>
      <c r="BL6" s="64">
        <f t="shared" si="3"/>
        <v>4.7784519092012381E-2</v>
      </c>
      <c r="BM6" s="64">
        <f t="shared" si="3"/>
        <v>7.2497206006225015E-2</v>
      </c>
      <c r="BN6" s="64">
        <f t="shared" si="3"/>
        <v>0.32981572306378681</v>
      </c>
      <c r="BO6" s="64">
        <f t="shared" si="3"/>
        <v>0.27965291873362591</v>
      </c>
    </row>
    <row r="7" spans="1:67" x14ac:dyDescent="0.3">
      <c r="A7" s="144" t="s">
        <v>485</v>
      </c>
      <c r="B7" s="147">
        <f>100-B6</f>
        <v>64.27000000000001</v>
      </c>
      <c r="C7" s="147">
        <f t="shared" ref="C7:G7" si="4">100-C6</f>
        <v>64.180000000000007</v>
      </c>
      <c r="D7" s="147">
        <f t="shared" si="4"/>
        <v>64.05</v>
      </c>
      <c r="E7" s="147">
        <f t="shared" si="4"/>
        <v>64.36</v>
      </c>
      <c r="F7" s="147">
        <f t="shared" si="4"/>
        <v>64.05</v>
      </c>
      <c r="G7" s="147">
        <f t="shared" si="4"/>
        <v>64.099999999999994</v>
      </c>
      <c r="H7" s="147">
        <f>100-H6</f>
        <v>64.3</v>
      </c>
      <c r="I7" s="147">
        <f>100-I6</f>
        <v>63.8</v>
      </c>
      <c r="K7" s="144" t="s">
        <v>89</v>
      </c>
      <c r="L7" s="145">
        <v>1308573201</v>
      </c>
      <c r="M7" s="146">
        <f t="shared" si="1"/>
        <v>9.0477667499999997E-2</v>
      </c>
      <c r="N7" s="147">
        <v>0</v>
      </c>
      <c r="O7" s="147">
        <v>35.950000000000003</v>
      </c>
      <c r="P7" s="147">
        <f t="shared" si="2"/>
        <v>64.05</v>
      </c>
      <c r="Q7">
        <v>1692</v>
      </c>
      <c r="R7" s="145">
        <v>9850160</v>
      </c>
      <c r="S7" s="168">
        <v>201518</v>
      </c>
      <c r="T7" s="168">
        <v>2063</v>
      </c>
      <c r="U7">
        <v>55960</v>
      </c>
      <c r="V7">
        <v>6974</v>
      </c>
      <c r="W7">
        <v>1202159</v>
      </c>
      <c r="X7">
        <v>350</v>
      </c>
      <c r="Y7">
        <v>275015</v>
      </c>
      <c r="Z7">
        <v>1235</v>
      </c>
      <c r="AA7" s="291">
        <v>1996773</v>
      </c>
      <c r="AB7" s="291">
        <v>195</v>
      </c>
      <c r="AC7" s="291">
        <v>506032</v>
      </c>
      <c r="AD7" s="291">
        <v>677</v>
      </c>
      <c r="AE7" s="145">
        <v>2215799</v>
      </c>
      <c r="AF7" s="145">
        <v>157</v>
      </c>
      <c r="AG7" s="145">
        <v>687210</v>
      </c>
      <c r="AH7" s="145">
        <v>495</v>
      </c>
      <c r="AI7" s="145">
        <v>2215799</v>
      </c>
      <c r="AJ7" s="145">
        <v>157</v>
      </c>
      <c r="AK7" s="145">
        <v>687210</v>
      </c>
      <c r="AL7" s="145">
        <v>495</v>
      </c>
      <c r="AM7" s="300">
        <v>2217034</v>
      </c>
      <c r="AN7" s="300">
        <v>157</v>
      </c>
      <c r="AO7" s="300">
        <v>687757</v>
      </c>
      <c r="AP7" s="300">
        <v>495</v>
      </c>
      <c r="AQ7" s="155">
        <f>IF(ISNUMBER(S7),IF(AQ$2="x",(S7-MIN(S$4:S$14))/(MAX(S$4:S$14)-MIN(S$4:S$14)),(MAX(S$4:S$14)-S7)/(MAX(S$4:S$14)-MIN(S$4:S$14))),"")</f>
        <v>0.64720587520062256</v>
      </c>
      <c r="AR7" s="155">
        <f>IF(ISNUMBER(T7),IF(AR$2="x",(T7-MIN(T$4:T$14))/(MAX(T$4:T$14)-MIN(T$4:T$14)),(MAX(T$4:T$14)-T7)/(MAX(T$4:T$14)-MIN(T$4:T$14))),"")</f>
        <v>0.85123966942148765</v>
      </c>
      <c r="AS7" s="155">
        <f>IF(ISNUMBER(U7),IF(AS$2="x",(U7-MIN(U$4:U$14))/(MAX(U$4:U$14)-MIN(U$4:U$14)),(MAX(U$4:U$14)-U7)/(MAX(U$4:U$14)-MIN(U$4:U$14))),"")</f>
        <v>0.76479274978253398</v>
      </c>
      <c r="AT7" s="155">
        <f>IF(ISNUMBER(V7),IF(AT$2="x",(V7-MIN(V$4:V$14))/(MAX(V$4:V$14)-MIN(V$4:V$14)),(MAX(V$4:V$14)-V7)/(MAX(V$4:V$14)-MIN(V$4:V$14))),"")</f>
        <v>0.87243176939589084</v>
      </c>
      <c r="AU7" s="155">
        <f>IF(ISNUMBER(W7),IF(AU$2="x",(W7-MIN(W$4:W$14))/(MAX(W$4:W$14)-MIN(W$4:W$14)),(MAX(W$4:W$14)-W7)/(MAX(W$4:W$14)-MIN(W$4:W$14))),"")</f>
        <v>1</v>
      </c>
      <c r="AV7" s="155">
        <f>IF(ISNUMBER(X7),IF(AV$2="x",(X7-MIN(X$4:X$14))/(MAX(X$4:X$14)-MIN(X$4:X$14)),(MAX(X$4:X$14)-X7)/(MAX(X$4:X$14)-MIN(X$4:X$14))),"")</f>
        <v>1</v>
      </c>
      <c r="AW7" s="155">
        <f>IF(ISNUMBER(Y7),IF(AW$2="x",(Y7-MIN(Y$4:Y$14))/(MAX(Y$4:Y$14)-MIN(Y$4:Y$14)),(MAX(Y$4:Y$14)-Y7)/(MAX(Y$4:Y$14)-MIN(Y$4:Y$14))),"")</f>
        <v>1</v>
      </c>
      <c r="AX7" s="155">
        <f>IF(ISNUMBER(Z7),IF(AX$2="x",(Z7-MIN(Z$4:Z$14))/(MAX(Z$4:Z$14)-MIN(Z$4:Z$14)),(MAX(Z$4:Z$14)-Z7)/(MAX(Z$4:Z$14)-MIN(Z$4:Z$14))),"")</f>
        <v>1</v>
      </c>
      <c r="AY7" s="155">
        <f>IF(ISNUMBER(AA7),IF(AY$2="x",(AA7-MIN(AA$4:AA$14))/(MAX(AA$4:AA$14)-MIN(AA$4:AA$14)),(MAX(AA$4:AA$14)-AA7)/(MAX(AA$4:AA$14)-MIN(AA$4:AA$14))),"")</f>
        <v>1</v>
      </c>
      <c r="AZ7" s="155">
        <f>IF(ISNUMBER(AB7),IF(AZ$2="x",(AB7-MIN(AB$4:AB$14))/(MAX(AB$4:AB$14)-MIN(AB$4:AB$14)),(MAX(AB$4:AB$14)-AB7)/(MAX(AB$4:AB$14)-MIN(AB$4:AB$14))),"")</f>
        <v>1</v>
      </c>
      <c r="BA7" s="155">
        <f>IF(ISNUMBER(AC7),IF(BA$2="x",(AC7-MIN(AC$4:AC$14))/(MAX(AC$4:AC$14)-MIN(AC$4:AC$14)),(MAX(AC$4:AC$14)-AC7)/(MAX(AC$4:AC$14)-MIN(AC$4:AC$14))),"")</f>
        <v>1</v>
      </c>
      <c r="BB7" s="155">
        <f>IF(ISNUMBER(AD7),IF(BB$2="x",(AD7-MIN(AD$4:AD$14))/(MAX(AD$4:AD$14)-MIN(AD$4:AD$14)),(MAX(AD$4:AD$14)-AD7)/(MAX(AD$4:AD$14)-MIN(AD$4:AD$14))),"")</f>
        <v>1</v>
      </c>
      <c r="BC7" s="155">
        <f>IF(ISNUMBER(AE7),IF(BC$2="x",(AE7-MIN(AE$4:AE$14))/(MAX(AE$4:AE$14)-MIN(AE$4:AE$14)),(MAX(AE$4:AE$14)-AE7)/(MAX(AE$4:AE$14)-MIN(AE$4:AE$14))),"")</f>
        <v>1</v>
      </c>
      <c r="BD7" s="155">
        <f>IF(ISNUMBER(AF7),IF(BD$2="x",(AF7-MIN(AF$4:AF$14))/(MAX(AF$4:AF$14)-MIN(AF$4:AF$14)),(MAX(AF$4:AF$14)-AF7)/(MAX(AF$4:AF$14)-MIN(AF$4:AF$14))),"")</f>
        <v>1</v>
      </c>
      <c r="BE7" s="155">
        <f>IF(ISNUMBER(AG7),IF(BE$2="x",(AG7-MIN(AG$4:AG$14))/(MAX(AG$4:AG$14)-MIN(AG$4:AG$14)),(MAX(AG$4:AG$14)-AG7)/(MAX(AG$4:AG$14)-MIN(AG$4:AG$14))),"")</f>
        <v>1</v>
      </c>
      <c r="BF7" s="155">
        <f>IF(ISNUMBER(AH7),IF(BF$2="x",(AH7-MIN(AH$4:AH$14))/(MAX(AH$4:AH$14)-MIN(AH$4:AH$14)),(MAX(AH$4:AH$14)-AH7)/(MAX(AH$4:AH$14)-MIN(AH$4:AH$14))),"")</f>
        <v>1</v>
      </c>
      <c r="BG7" s="155">
        <f>IF(ISNUMBER(AI7),IF(BG$2="x",(AI7-MIN(AI$4:AI$14))/(MAX(AI$4:AI$14)-MIN(AI$4:AI$14)),(MAX(AI$4:AI$14)-AI7)/(MAX(AI$4:AI$14)-MIN(AI$4:AI$14))),"")</f>
        <v>1</v>
      </c>
      <c r="BH7" s="155">
        <f>IF(ISNUMBER(AJ7),IF(BH$2="x",(AJ7-MIN(AJ$4:AJ$14))/(MAX(AJ$4:AJ$14)-MIN(AJ$4:AJ$14)),(MAX(AJ$4:AJ$14)-AJ7)/(MAX(AJ$4:AJ$14)-MIN(AJ$4:AJ$14))),"")</f>
        <v>1</v>
      </c>
      <c r="BI7" s="155">
        <f>IF(ISNUMBER(AK7),IF(BI$2="x",(AK7-MIN(AK$4:AK$14))/(MAX(AK$4:AK$14)-MIN(AK$4:AK$14)),(MAX(AK$4:AK$14)-AK7)/(MAX(AK$4:AK$14)-MIN(AK$4:AK$14))),"")</f>
        <v>1</v>
      </c>
      <c r="BJ7" s="155">
        <f>IF(ISNUMBER(AL7),IF(BJ$2="x",(AL7-MIN(AL$4:AL$14))/(MAX(AL$4:AL$14)-MIN(AL$4:AL$14)),(MAX(AL$4:AL$14)-AL7)/(MAX(AL$4:AL$14)-MIN(AL$4:AL$14))),"")</f>
        <v>1</v>
      </c>
      <c r="BK7" s="64">
        <f t="shared" si="3"/>
        <v>0.7839175159501337</v>
      </c>
      <c r="BL7" s="64">
        <f t="shared" si="3"/>
        <v>1</v>
      </c>
      <c r="BM7" s="64">
        <f t="shared" si="3"/>
        <v>1</v>
      </c>
      <c r="BN7" s="64">
        <f t="shared" si="3"/>
        <v>1</v>
      </c>
      <c r="BO7" s="64">
        <f t="shared" si="3"/>
        <v>1</v>
      </c>
    </row>
    <row r="8" spans="1:67" x14ac:dyDescent="0.3">
      <c r="A8" s="144"/>
      <c r="B8" s="147"/>
      <c r="C8" s="147"/>
      <c r="D8" s="147"/>
      <c r="E8" s="147"/>
      <c r="F8" s="147"/>
      <c r="G8" s="147"/>
      <c r="H8" s="147"/>
      <c r="I8" s="147"/>
      <c r="K8" s="144" t="s">
        <v>1197</v>
      </c>
      <c r="L8" s="145">
        <v>1011918402</v>
      </c>
      <c r="M8" s="146"/>
      <c r="N8" s="147"/>
      <c r="O8" s="147">
        <v>35.799999999999997</v>
      </c>
      <c r="P8" s="147"/>
      <c r="Q8">
        <v>1842</v>
      </c>
      <c r="R8" s="145"/>
      <c r="S8" s="169"/>
      <c r="T8" s="170"/>
      <c r="AA8" s="291"/>
      <c r="AB8" s="291"/>
      <c r="AC8" s="291"/>
      <c r="AD8" s="291"/>
      <c r="AE8" s="145"/>
      <c r="AF8" s="145"/>
      <c r="AG8" s="145"/>
      <c r="AH8" s="145"/>
      <c r="AI8" s="300">
        <v>913193</v>
      </c>
      <c r="AJ8" s="300">
        <v>340</v>
      </c>
      <c r="AK8" s="300">
        <v>277314</v>
      </c>
      <c r="AL8" s="300">
        <v>1103</v>
      </c>
      <c r="AM8" s="300"/>
      <c r="AN8" s="300"/>
      <c r="AO8" s="300"/>
      <c r="AP8" s="300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>
        <f>IF(ISNUMBER(AI8),IF(BG$2="x",(AI8-MIN(AI$4:AI$14))/(MAX(AI$4:AI$14)-MIN(AI$4:AI$14)),(MAX(AI$4:AI$14)-AI8)/(MAX(AI$4:AI$14)-MIN(AI$4:AI$14))),"")</f>
        <v>0.38389857123397558</v>
      </c>
      <c r="BH8" s="155">
        <f>IF(ISNUMBER(AJ8),IF(BH$2="x",(AJ8-MIN(AJ$4:AJ$14))/(MAX(AJ$4:AJ$14)-MIN(AJ$4:AJ$14)),(MAX(AJ$4:AJ$14)-AJ8)/(MAX(AJ$4:AJ$14)-MIN(AJ$4:AJ$14))),"")</f>
        <v>0.91155147414209758</v>
      </c>
      <c r="BI8" s="155">
        <f>IF(ISNUMBER(AK8),IF(BI$2="x",(AK8-MIN(AK$4:AK$14))/(MAX(AK$4:AK$14)-MIN(AK$4:AK$14)),(MAX(AK$4:AK$14)-AK8)/(MAX(AK$4:AK$14)-MIN(AK$4:AK$14))),"")</f>
        <v>0.37272209741495932</v>
      </c>
      <c r="BJ8" s="155"/>
      <c r="BK8" s="64"/>
      <c r="BL8" s="64"/>
      <c r="BM8" s="64"/>
      <c r="BN8" s="64"/>
      <c r="BO8" s="64"/>
    </row>
    <row r="9" spans="1:67" x14ac:dyDescent="0.3">
      <c r="A9" s="144"/>
      <c r="B9" s="147"/>
      <c r="C9" s="147"/>
      <c r="D9" s="147"/>
      <c r="E9" s="147"/>
      <c r="F9" s="147"/>
      <c r="G9" s="147"/>
      <c r="H9" s="147"/>
      <c r="I9" s="147"/>
      <c r="K9" s="144" t="s">
        <v>1198</v>
      </c>
      <c r="L9" s="145">
        <v>1094133725</v>
      </c>
      <c r="M9" s="146"/>
      <c r="N9" s="147"/>
      <c r="O9" s="147">
        <v>35.799999999999997</v>
      </c>
      <c r="P9" s="147"/>
      <c r="Q9">
        <v>1731</v>
      </c>
      <c r="R9" s="145"/>
      <c r="S9" s="169"/>
      <c r="T9" s="170"/>
      <c r="AA9" s="291"/>
      <c r="AB9" s="291"/>
      <c r="AC9" s="291"/>
      <c r="AD9" s="291"/>
      <c r="AE9" s="145"/>
      <c r="AF9" s="145"/>
      <c r="AG9" s="145"/>
      <c r="AH9" s="145"/>
      <c r="AI9" s="300">
        <v>1056846</v>
      </c>
      <c r="AJ9" s="300">
        <v>318</v>
      </c>
      <c r="AK9" s="300">
        <v>322808</v>
      </c>
      <c r="AL9" s="300">
        <v>1030</v>
      </c>
      <c r="AM9" s="300"/>
      <c r="AN9" s="300"/>
      <c r="AO9" s="300"/>
      <c r="AP9" s="300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>
        <f>IF(ISNUMBER(AI9),IF(BG$2="x",(AI9-MIN(AI$4:AI$14))/(MAX(AI$4:AI$14)-MIN(AI$4:AI$14)),(MAX(AI$4:AI$14)-AI9)/(MAX(AI$4:AI$14)-MIN(AI$4:AI$14))),"")</f>
        <v>0.45184299844107095</v>
      </c>
      <c r="BH9" s="155">
        <f>IF(ISNUMBER(AJ9),IF(BH$2="x",(AJ9-MIN(AJ$4:AJ$14))/(MAX(AJ$4:AJ$14)-MIN(AJ$4:AJ$14)),(MAX(AJ$4:AJ$14)-AJ9)/(MAX(AJ$4:AJ$14)-MIN(AJ$4:AJ$14))),"")</f>
        <v>0.92218463025616237</v>
      </c>
      <c r="BI9" s="155">
        <f>IF(ISNUMBER(AK9),IF(BI$2="x",(AK9-MIN(AK$4:AK$14))/(MAX(AK$4:AK$14)-MIN(AK$4:AK$14)),(MAX(AK$4:AK$14)-AK9)/(MAX(AK$4:AK$14)-MIN(AK$4:AK$14))),"")</f>
        <v>0.44234312543231946</v>
      </c>
      <c r="BJ9" s="155"/>
      <c r="BK9" s="64"/>
      <c r="BL9" s="64"/>
      <c r="BM9" s="64"/>
      <c r="BN9" s="64"/>
      <c r="BO9" s="64"/>
    </row>
    <row r="10" spans="1:67" x14ac:dyDescent="0.3">
      <c r="A10" s="144" t="s">
        <v>547</v>
      </c>
      <c r="B10" s="145">
        <v>5003</v>
      </c>
      <c r="C10" s="145">
        <v>18721</v>
      </c>
      <c r="D10" s="145">
        <v>9672</v>
      </c>
      <c r="E10" s="145">
        <v>11986</v>
      </c>
      <c r="F10" s="145">
        <v>1910</v>
      </c>
      <c r="G10" s="145">
        <v>24105</v>
      </c>
      <c r="H10" s="149">
        <v>8916</v>
      </c>
      <c r="I10" s="149">
        <v>20955</v>
      </c>
      <c r="K10" s="144" t="s">
        <v>461</v>
      </c>
      <c r="L10" s="145">
        <v>1085245904</v>
      </c>
      <c r="M10" s="146">
        <f t="shared" si="1"/>
        <v>9.5628413333333329E-2</v>
      </c>
      <c r="N10" s="147">
        <v>0</v>
      </c>
      <c r="O10" s="147">
        <v>35.729999999999997</v>
      </c>
      <c r="P10" s="147">
        <f t="shared" si="2"/>
        <v>64.27000000000001</v>
      </c>
      <c r="Q10" s="145">
        <v>5003</v>
      </c>
      <c r="R10" s="145">
        <v>1893399</v>
      </c>
      <c r="S10" s="169">
        <v>147888</v>
      </c>
      <c r="T10" s="170">
        <v>1742</v>
      </c>
      <c r="U10">
        <v>67587</v>
      </c>
      <c r="V10">
        <v>4894</v>
      </c>
      <c r="W10" s="171">
        <v>147888</v>
      </c>
      <c r="X10" s="171">
        <v>1742</v>
      </c>
      <c r="Y10" s="171">
        <v>67587</v>
      </c>
      <c r="Z10" s="171">
        <v>4894</v>
      </c>
      <c r="AA10" s="145">
        <v>394142</v>
      </c>
      <c r="AB10" s="145">
        <v>849</v>
      </c>
      <c r="AC10" s="145">
        <v>109064</v>
      </c>
      <c r="AD10" s="145">
        <v>2784</v>
      </c>
      <c r="AE10" s="145">
        <v>422288</v>
      </c>
      <c r="AF10" s="145">
        <v>740</v>
      </c>
      <c r="AG10" s="145">
        <v>135587</v>
      </c>
      <c r="AH10" s="145">
        <v>2294</v>
      </c>
      <c r="AI10" s="300">
        <v>422354</v>
      </c>
      <c r="AJ10" s="300">
        <v>739</v>
      </c>
      <c r="AK10" s="300">
        <v>136522</v>
      </c>
      <c r="AL10" s="300">
        <v>2288</v>
      </c>
      <c r="AM10" s="300"/>
      <c r="AN10" s="300"/>
      <c r="AO10" s="300"/>
      <c r="AP10" s="300"/>
      <c r="AQ10" s="155">
        <f>IF(ISNUMBER(S10),IF(AQ$2="x",(S10-MIN(S$4:S$14))/(MAX(S$4:S$14)-MIN(S$4:S$14)),(MAX(S$4:S$14)-S10)/(MAX(S$4:S$14)-MIN(S$4:S$14))),"")</f>
        <v>0.38637225815864989</v>
      </c>
      <c r="AR10" s="155">
        <f>IF(ISNUMBER(T10),IF(AR$2="x",(T10-MIN(T$4:T$14))/(MAX(T$4:T$14)-MIN(T$4:T$14)),(MAX(T$4:T$14)-T10)/(MAX(T$4:T$14)-MIN(T$4:T$14))),"")</f>
        <v>0.93966942148760335</v>
      </c>
      <c r="AS10" s="155">
        <f>IF(ISNUMBER(U10),IF(AS$2="x",(U10-MIN(U$4:U$14))/(MAX(U$4:U$14)-MIN(U$4:U$14)),(MAX(U$4:U$14)-U10)/(MAX(U$4:U$14)-MIN(U$4:U$14))),"")</f>
        <v>1</v>
      </c>
      <c r="AT10" s="155">
        <f>IF(ISNUMBER(V10),IF(AT$2="x",(V10-MIN(V$4:V$14))/(MAX(V$4:V$14)-MIN(V$4:V$14)),(MAX(V$4:V$14)-V10)/(MAX(V$4:V$14)-MIN(V$4:V$14))),"")</f>
        <v>1</v>
      </c>
      <c r="AU10" s="155">
        <f>IF(ISNUMBER(W10),IF(AU$2="x",(W10-MIN(W$4:W$14))/(MAX(W$4:W$14)-MIN(W$4:W$14)),(MAX(W$4:W$14)-W10)/(MAX(W$4:W$14)-MIN(W$4:W$14))),"")</f>
        <v>5.2299784619920679E-2</v>
      </c>
      <c r="AV10" s="155">
        <f>IF(ISNUMBER(X10),IF(AV$2="x",(X10-MIN(X$4:X$14))/(MAX(X$4:X$14)-MIN(X$4:X$14)),(MAX(X$4:X$14)-X10)/(MAX(X$4:X$14)-MIN(X$4:X$14))),"")</f>
        <v>0.45582486317435494</v>
      </c>
      <c r="AW10" s="155">
        <f>IF(ISNUMBER(Y10),IF(AW$2="x",(Y10-MIN(Y$4:Y$14))/(MAX(Y$4:Y$14)-MIN(Y$4:Y$14)),(MAX(Y$4:Y$14)-Y10)/(MAX(Y$4:Y$14)-MIN(Y$4:Y$14))),"")</f>
        <v>0.14950879897659619</v>
      </c>
      <c r="AX10" s="155">
        <f>IF(ISNUMBER(Z10),IF(AX$2="x",(Z10-MIN(Z$4:Z$14))/(MAX(Z$4:Z$14)-MIN(Z$4:Z$14)),(MAX(Z$4:Z$14)-Z10)/(MAX(Z$4:Z$14)-MIN(Z$4:Z$14))),"")</f>
        <v>0.63893822774817444</v>
      </c>
      <c r="AY10" s="155">
        <f>IF(ISNUMBER(AA10),IF(AY$2="x",(AA10-MIN(AA$4:AA$14))/(MAX(AA$4:AA$14)-MIN(AA$4:AA$14)),(MAX(AA$4:AA$14)-AA10)/(MAX(AA$4:AA$14)-MIN(AA$4:AA$14))),"")</f>
        <v>0.15666002574278892</v>
      </c>
      <c r="AZ10" s="155">
        <f>IF(ISNUMBER(AB10),IF(AZ$2="x",(AB10-MIN(AB$4:AB$14))/(MAX(AB$4:AB$14)-MIN(AB$4:AB$14)),(MAX(AB$4:AB$14)-AB10)/(MAX(AB$4:AB$14)-MIN(AB$4:AB$14))),"")</f>
        <v>0.72110874200426445</v>
      </c>
      <c r="BA10" s="155">
        <f>IF(ISNUMBER(AC10),IF(BA$2="x",(AC10-MIN(AC$4:AC$14))/(MAX(AC$4:AC$14)-MIN(AC$4:AC$14)),(MAX(AC$4:AC$14)-AC10)/(MAX(AC$4:AC$14)-MIN(AC$4:AC$14))),"")</f>
        <v>0.17385594798827073</v>
      </c>
      <c r="BB10" s="155">
        <f>IF(ISNUMBER(AD10),IF(BB$2="x",(AD10-MIN(AD$4:AD$14))/(MAX(AD$4:AD$14)-MIN(AD$4:AD$14)),(MAX(AD$4:AD$14)-AD10)/(MAX(AD$4:AD$14)-MIN(AD$4:AD$14))),"")</f>
        <v>0.80680359435173299</v>
      </c>
      <c r="BC10" s="155">
        <f>IF(ISNUMBER(AE10),IF(BC$2="x",(AE10-MIN(AE$4:AE$14))/(MAX(AE$4:AE$14)-MIN(AE$4:AE$14)),(MAX(AE$4:AE$14)-AE10)/(MAX(AE$4:AE$14)-MIN(AE$4:AE$14))),"")</f>
        <v>0.15172029218291513</v>
      </c>
      <c r="BD10" s="155">
        <f>IF(ISNUMBER(AF10),IF(BD$2="x",(AF10-MIN(AF$4:AF$14))/(MAX(AF$4:AF$14)-MIN(AF$4:AF$14)),(MAX(AF$4:AF$14)-AF10)/(MAX(AF$4:AF$14)-MIN(AF$4:AF$14))),"")</f>
        <v>0.71849348140994684</v>
      </c>
      <c r="BE10" s="155">
        <f>IF(ISNUMBER(AG10),IF(BE$2="x",(AG10-MIN(AG$4:AG$14))/(MAX(AG$4:AG$14)-MIN(AG$4:AG$14)),(MAX(AG$4:AG$14)-AG10)/(MAX(AG$4:AG$14)-MIN(AG$4:AG$14))),"")</f>
        <v>0.16633594535164012</v>
      </c>
      <c r="BF10" s="155">
        <f>IF(ISNUMBER(AH10),IF(BF$2="x",(AH10-MIN(AH$4:AH$14))/(MAX(AH$4:AH$14)-MIN(AH$4:AH$14)),(MAX(AH$4:AH$14)-AH10)/(MAX(AH$4:AH$14)-MIN(AH$4:AH$14))),"")</f>
        <v>0.83593251253989964</v>
      </c>
      <c r="BG10" s="155">
        <f>IF(ISNUMBER(AI10),IF(BG$2="x",(AI10-MIN(AI$4:AI$14))/(MAX(AI$4:AI$14)-MIN(AI$4:AI$14)),(MAX(AI$4:AI$14)-AI10)/(MAX(AI$4:AI$14)-MIN(AI$4:AI$14))),"")</f>
        <v>0.15174348428206022</v>
      </c>
      <c r="BH10" s="155">
        <f>IF(ISNUMBER(AJ10),IF(BH$2="x",(AJ10-MIN(AJ$4:AJ$14))/(MAX(AJ$4:AJ$14)-MIN(AJ$4:AJ$14)),(MAX(AJ$4:AJ$14)-AJ10)/(MAX(AJ$4:AJ$14)-MIN(AJ$4:AJ$14))),"")</f>
        <v>0.71870468825519573</v>
      </c>
      <c r="BI10" s="155">
        <f>IF(ISNUMBER(AK10),IF(BI$2="x",(AK10-MIN(AK$4:AK$14))/(MAX(AK$4:AK$14)-MIN(AK$4:AK$14)),(MAX(AK$4:AK$14)-AK10)/(MAX(AK$4:AK$14)-MIN(AK$4:AK$14))),"")</f>
        <v>0.1572632725892644</v>
      </c>
      <c r="BJ10" s="155">
        <f>IF(ISNUMBER(AL10),IF(BJ$2="x",(AL10-MIN(AL$4:AL$14))/(MAX(AL$4:AL$14)-MIN(AL$4:AL$14)),(MAX(AL$4:AL$14)-AL10)/(MAX(AL$4:AL$14)-MIN(AL$4:AL$14))),"")</f>
        <v>0.73931375399825527</v>
      </c>
      <c r="BK10" s="64">
        <f t="shared" si="3"/>
        <v>0.83151041991156327</v>
      </c>
      <c r="BL10" s="64">
        <f t="shared" si="3"/>
        <v>0.32414291862976152</v>
      </c>
      <c r="BM10" s="64">
        <f t="shared" si="3"/>
        <v>0.46460707752176422</v>
      </c>
      <c r="BN10" s="64">
        <f t="shared" si="3"/>
        <v>0.46812055787110041</v>
      </c>
      <c r="BO10" s="64">
        <f t="shared" si="3"/>
        <v>0.44175629978119391</v>
      </c>
    </row>
    <row r="11" spans="1:67" x14ac:dyDescent="0.3">
      <c r="A11" s="144" t="s">
        <v>546</v>
      </c>
      <c r="B11" s="145">
        <v>1893399</v>
      </c>
      <c r="C11" s="145">
        <v>2279615</v>
      </c>
      <c r="D11" s="145">
        <v>5636505</v>
      </c>
      <c r="E11" s="145">
        <v>807651</v>
      </c>
      <c r="F11" s="145">
        <v>9850160</v>
      </c>
      <c r="G11" s="145">
        <v>3962120</v>
      </c>
      <c r="H11" s="149">
        <v>1125994</v>
      </c>
      <c r="I11" s="147">
        <v>2549345</v>
      </c>
      <c r="K11" s="148" t="s">
        <v>384</v>
      </c>
      <c r="L11" s="149">
        <v>957248801</v>
      </c>
      <c r="M11" s="146">
        <f t="shared" si="1"/>
        <v>0.20229266583333333</v>
      </c>
      <c r="N11" s="147">
        <v>0</v>
      </c>
      <c r="O11" s="147">
        <v>35.700000000000003</v>
      </c>
      <c r="P11" s="147">
        <f t="shared" si="2"/>
        <v>64.3</v>
      </c>
      <c r="Q11" s="149">
        <v>8916</v>
      </c>
      <c r="R11" s="149">
        <v>1125994</v>
      </c>
      <c r="S11" s="169">
        <v>111088</v>
      </c>
      <c r="T11" s="170">
        <v>2437</v>
      </c>
      <c r="U11" s="171">
        <v>53248</v>
      </c>
      <c r="V11" s="171">
        <v>7017</v>
      </c>
      <c r="W11" s="171">
        <v>112434</v>
      </c>
      <c r="X11" s="171">
        <v>2426</v>
      </c>
      <c r="Y11" s="171">
        <v>53156</v>
      </c>
      <c r="Z11" s="171">
        <v>7040</v>
      </c>
      <c r="AA11" s="145">
        <v>123461</v>
      </c>
      <c r="AB11" s="145">
        <v>2286</v>
      </c>
      <c r="AC11" s="145">
        <v>57055</v>
      </c>
      <c r="AD11" s="145">
        <v>6805</v>
      </c>
      <c r="AE11" s="145">
        <v>151898</v>
      </c>
      <c r="AF11" s="145">
        <v>1504</v>
      </c>
      <c r="AG11" s="145">
        <v>61605</v>
      </c>
      <c r="AH11" s="145">
        <v>4553</v>
      </c>
      <c r="AI11" s="300">
        <v>152025</v>
      </c>
      <c r="AJ11" s="300">
        <v>1501</v>
      </c>
      <c r="AK11" s="300">
        <v>61741</v>
      </c>
      <c r="AL11" s="300">
        <v>4543</v>
      </c>
      <c r="AM11" s="300"/>
      <c r="AN11" s="300"/>
      <c r="AO11" s="300"/>
      <c r="AP11" s="300"/>
      <c r="AQ11" s="155">
        <f>IF(ISNUMBER(S11),IF(AQ$2="x",(S11-MIN(S$4:S$14))/(MAX(S$4:S$14)-MIN(S$4:S$14)),(MAX(S$4:S$14)-S11)/(MAX(S$4:S$14)-MIN(S$4:S$14))),"")</f>
        <v>0.20739263654491513</v>
      </c>
      <c r="AR11" s="155">
        <f>IF(ISNUMBER(T11),IF(AR$2="x",(T11-MIN(T$4:T$14))/(MAX(T$4:T$14)-MIN(T$4:T$14)),(MAX(T$4:T$14)-T11)/(MAX(T$4:T$14)-MIN(T$4:T$14))),"")</f>
        <v>0.74820936639118463</v>
      </c>
      <c r="AS11" s="155">
        <f>IF(ISNUMBER(U11),IF(AS$2="x",(U11-MIN(U$4:U$14))/(MAX(U$4:U$14)-MIN(U$4:U$14)),(MAX(U$4:U$14)-U11)/(MAX(U$4:U$14)-MIN(U$4:U$14))),"")</f>
        <v>0.70993061315315675</v>
      </c>
      <c r="AT11" s="155">
        <f>IF(ISNUMBER(V11),IF(AT$2="x",(V11-MIN(V$4:V$14))/(MAX(V$4:V$14)-MIN(V$4:V$14)),(MAX(V$4:V$14)-V11)/(MAX(V$4:V$14)-MIN(V$4:V$14))),"")</f>
        <v>0.86979454155167124</v>
      </c>
      <c r="AU11" s="155">
        <f>IF(ISNUMBER(W11),IF(AU$2="x",(W11-MIN(W$4:W$14))/(MAX(W$4:W$14)-MIN(W$4:W$14)),(MAX(W$4:W$14)-W11)/(MAX(W$4:W$14)-MIN(W$4:W$14))),"")</f>
        <v>2.0429645503806007E-2</v>
      </c>
      <c r="AV11" s="155">
        <f>IF(ISNUMBER(X11),IF(AV$2="x",(X11-MIN(X$4:X$14))/(MAX(X$4:X$14)-MIN(X$4:X$14)),(MAX(X$4:X$14)-X11)/(MAX(X$4:X$14)-MIN(X$4:X$14))),"")</f>
        <v>0.18842845973416733</v>
      </c>
      <c r="AW11" s="155">
        <f>IF(ISNUMBER(Y11),IF(AW$2="x",(Y11-MIN(Y$4:Y$14))/(MAX(Y$4:Y$14)-MIN(Y$4:Y$14)),(MAX(Y$4:Y$14)-Y11)/(MAX(Y$4:Y$14)-MIN(Y$4:Y$14))),"")</f>
        <v>9.0339166516326896E-2</v>
      </c>
      <c r="AX11" s="155">
        <f>IF(ISNUMBER(Z11),IF(AX$2="x",(Z11-MIN(Z$4:Z$14))/(MAX(Z$4:Z$14)-MIN(Z$4:Z$14)),(MAX(Z$4:Z$14)-Z11)/(MAX(Z$4:Z$14)-MIN(Z$4:Z$14))),"")</f>
        <v>0.4271758436944938</v>
      </c>
      <c r="AY11" s="155">
        <f>IF(ISNUMBER(AA11),IF(AY$2="x",(AA11-MIN(AA$4:AA$14))/(MAX(AA$4:AA$14)-MIN(AA$4:AA$14)),(MAX(AA$4:AA$14)-AA11)/(MAX(AA$4:AA$14)-MIN(AA$4:AA$14))),"")</f>
        <v>1.422168056419437E-2</v>
      </c>
      <c r="AZ11" s="155">
        <f>IF(ISNUMBER(AB11),IF(AZ$2="x",(AB11-MIN(AB$4:AB$14))/(MAX(AB$4:AB$14)-MIN(AB$4:AB$14)),(MAX(AB$4:AB$14)-AB11)/(MAX(AB$4:AB$14)-MIN(AB$4:AB$14))),"")</f>
        <v>0.10831556503198295</v>
      </c>
      <c r="BA11" s="155">
        <f>IF(ISNUMBER(AC11),IF(BA$2="x",(AC11-MIN(AC$4:AC$14))/(MAX(AC$4:AC$14)-MIN(AC$4:AC$14)),(MAX(AC$4:AC$14)-AC11)/(MAX(AC$4:AC$14)-MIN(AC$4:AC$14))),"")</f>
        <v>6.56181907859823E-2</v>
      </c>
      <c r="BB11" s="155">
        <f>IF(ISNUMBER(AD11),IF(BB$2="x",(AD11-MIN(AD$4:AD$14))/(MAX(AD$4:AD$14)-MIN(AD$4:AD$14)),(MAX(AD$4:AD$14)-AD11)/(MAX(AD$4:AD$14)-MIN(AD$4:AD$14))),"")</f>
        <v>0.43810746378140475</v>
      </c>
      <c r="BC11" s="155">
        <f>IF(ISNUMBER(AE11),IF(BC$2="x",(AE11-MIN(AE$4:AE$14))/(MAX(AE$4:AE$14)-MIN(AE$4:AE$14)),(MAX(AE$4:AE$14)-AE11)/(MAX(AE$4:AE$14)-MIN(AE$4:AE$14))),"")</f>
        <v>2.3833510224699331E-2</v>
      </c>
      <c r="BD11" s="155">
        <f>IF(ISNUMBER(AF11),IF(BD$2="x",(AF11-MIN(AF$4:AF$14))/(MAX(AF$4:AF$14)-MIN(AF$4:AF$14)),(MAX(AF$4:AF$14)-AF11)/(MAX(AF$4:AF$14)-MIN(AF$4:AF$14))),"")</f>
        <v>0.34958957025591503</v>
      </c>
      <c r="BE11" s="155">
        <f>IF(ISNUMBER(AG11),IF(BE$2="x",(AG11-MIN(AG$4:AG$14))/(MAX(AG$4:AG$14)-MIN(AG$4:AG$14)),(MAX(AG$4:AG$14)-AG11)/(MAX(AG$4:AG$14)-MIN(AG$4:AG$14))),"")</f>
        <v>5.4527456418084132E-2</v>
      </c>
      <c r="BF11" s="155">
        <f>IF(ISNUMBER(AH11),IF(BF$2="x",(AH11-MIN(AH$4:AH$14))/(MAX(AH$4:AH$14)-MIN(AH$4:AH$14)),(MAX(AH$4:AH$14)-AH11)/(MAX(AH$4:AH$14)-MIN(AH$4:AH$14))),"")</f>
        <v>0.62991336069311443</v>
      </c>
      <c r="BG11" s="155">
        <f>IF(ISNUMBER(AI11),IF(BG$2="x",(AI11-MIN(AI$4:AI$14))/(MAX(AI$4:AI$14)-MIN(AI$4:AI$14)),(MAX(AI$4:AI$14)-AI11)/(MAX(AI$4:AI$14)-MIN(AI$4:AI$14))),"")</f>
        <v>2.3884344114664526E-2</v>
      </c>
      <c r="BH11" s="155">
        <f>IF(ISNUMBER(AJ11),IF(BH$2="x",(AJ11-MIN(AJ$4:AJ$14))/(MAX(AJ$4:AJ$14)-MIN(AJ$4:AJ$14)),(MAX(AJ$4:AJ$14)-AJ11)/(MAX(AJ$4:AJ$14)-MIN(AJ$4:AJ$14))),"")</f>
        <v>0.35041082648622524</v>
      </c>
      <c r="BI11" s="155">
        <f>IF(ISNUMBER(AK11),IF(BI$2="x",(AK11-MIN(AK$4:AK$14))/(MAX(AK$4:AK$14)-MIN(AK$4:AK$14)),(MAX(AK$4:AK$14)-AK11)/(MAX(AK$4:AK$14)-MIN(AK$4:AK$14))),"")</f>
        <v>4.2823344331335736E-2</v>
      </c>
      <c r="BJ11" s="155">
        <f>IF(ISNUMBER(AL11),IF(BJ$2="x",(AL11-MIN(AL$4:AL$14))/(MAX(AL$4:AL$14)-MIN(AL$4:AL$14)),(MAX(AL$4:AL$14)-AL11)/(MAX(AL$4:AL$14)-MIN(AL$4:AL$14))),"")</f>
        <v>0.41145681884268681</v>
      </c>
      <c r="BK11" s="64">
        <f t="shared" si="3"/>
        <v>0.63383178941023188</v>
      </c>
      <c r="BL11" s="64">
        <f t="shared" si="3"/>
        <v>0.1815932788621985</v>
      </c>
      <c r="BM11" s="64">
        <f t="shared" si="3"/>
        <v>0.15656572504089108</v>
      </c>
      <c r="BN11" s="64">
        <f t="shared" si="3"/>
        <v>0.26446597439795322</v>
      </c>
      <c r="BO11" s="64">
        <f t="shared" si="3"/>
        <v>0.20714383344372805</v>
      </c>
    </row>
    <row r="12" spans="1:67" x14ac:dyDescent="0.3">
      <c r="A12" s="144" t="s">
        <v>402</v>
      </c>
      <c r="B12" s="145">
        <v>394142</v>
      </c>
      <c r="C12" s="145">
        <v>223514</v>
      </c>
      <c r="D12" s="145">
        <v>496354</v>
      </c>
      <c r="E12" s="145">
        <v>96435</v>
      </c>
      <c r="F12" s="145">
        <v>1831717</v>
      </c>
      <c r="G12" s="145">
        <v>385302</v>
      </c>
      <c r="H12" s="145">
        <v>123461</v>
      </c>
      <c r="I12" s="147">
        <v>242665</v>
      </c>
      <c r="K12" s="154" t="s">
        <v>94</v>
      </c>
      <c r="S12" s="169">
        <v>105556</v>
      </c>
      <c r="T12" s="170">
        <v>4527</v>
      </c>
      <c r="U12" s="171">
        <v>27557</v>
      </c>
      <c r="V12" s="171">
        <v>16503</v>
      </c>
      <c r="W12" s="207" t="s">
        <v>1121</v>
      </c>
      <c r="AA12" s="207" t="s">
        <v>1121</v>
      </c>
      <c r="AE12" s="145"/>
      <c r="AF12" s="145"/>
      <c r="AG12" s="145"/>
      <c r="AH12" s="145"/>
      <c r="AI12" s="300"/>
      <c r="AJ12" s="300"/>
      <c r="AK12" s="300"/>
      <c r="AL12" s="300"/>
      <c r="AM12" s="300"/>
      <c r="AN12" s="300"/>
      <c r="AO12" s="300"/>
      <c r="AP12" s="300"/>
      <c r="AQ12" s="155">
        <f>IF(ISNUMBER(S12),IF(AQ$2="x",(S12-MIN(S$4:S$14))/(MAX(S$4:S$14)-MIN(S$4:S$14)),(MAX(S$4:S$14)-S12)/(MAX(S$4:S$14)-MIN(S$4:S$14))),"")</f>
        <v>0.18048733038276349</v>
      </c>
      <c r="AR12" s="155">
        <f>IF(ISNUMBER(T12),IF(AR$2="x",(T12-MIN(T$4:T$14))/(MAX(T$4:T$14)-MIN(T$4:T$14)),(MAX(T$4:T$14)-T12)/(MAX(T$4:T$14)-MIN(T$4:T$14))),"")</f>
        <v>0.17245179063360883</v>
      </c>
      <c r="AS12" s="155">
        <f>IF(ISNUMBER(U12),IF(AS$2="x",(U12-MIN(U$4:U$14))/(MAX(U$4:U$14)-MIN(U$4:U$14)),(MAX(U$4:U$14)-U12)/(MAX(U$4:U$14)-MIN(U$4:U$14))),"")</f>
        <v>0.19021706147715089</v>
      </c>
      <c r="AT12" s="155">
        <f>IF(ISNUMBER(V12),IF(AT$2="x",(V12-MIN(V$4:V$14))/(MAX(V$4:V$14)-MIN(V$4:V$14)),(MAX(V$4:V$14)-V12)/(MAX(V$4:V$14)-MIN(V$4:V$14))),"")</f>
        <v>0.28800981294081568</v>
      </c>
      <c r="AU12" s="155" t="str">
        <f>IF(ISNUMBER(W12),IF(AU$2="x",(W12-MIN(W$4:W$14))/(MAX(W$4:W$14)-MIN(W$4:W$14)),(MAX(W$4:W$14)-W12)/(MAX(W$4:W$14)-MIN(W$4:W$14))),"")</f>
        <v/>
      </c>
      <c r="AV12" s="155" t="str">
        <f>IF(ISNUMBER(X12),IF(AV$2="x",(X12-MIN(X$4:X$14))/(MAX(X$4:X$14)-MIN(X$4:X$14)),(MAX(X$4:X$14)-X12)/(MAX(X$4:X$14)-MIN(X$4:X$14))),"")</f>
        <v/>
      </c>
      <c r="AW12" s="155" t="str">
        <f>IF(ISNUMBER(Y12),IF(AW$2="x",(Y12-MIN(Y$4:Y$14))/(MAX(Y$4:Y$14)-MIN(Y$4:Y$14)),(MAX(Y$4:Y$14)-Y12)/(MAX(Y$4:Y$14)-MIN(Y$4:Y$14))),"")</f>
        <v/>
      </c>
      <c r="AX12" s="155" t="str">
        <f>IF(ISNUMBER(Z12),IF(AX$2="x",(Z12-MIN(Z$4:Z$14))/(MAX(Z$4:Z$14)-MIN(Z$4:Z$14)),(MAX(Z$4:Z$14)-Z12)/(MAX(Z$4:Z$14)-MIN(Z$4:Z$14))),"")</f>
        <v/>
      </c>
      <c r="AY12" s="155" t="str">
        <f>IF(ISNUMBER(AA12),IF(AY$2="x",(AA12-MIN(AA$4:AA$14))/(MAX(AA$4:AA$14)-MIN(AA$4:AA$14)),(MAX(AA$4:AA$14)-AA12)/(MAX(AA$4:AA$14)-MIN(AA$4:AA$14))),"")</f>
        <v/>
      </c>
      <c r="AZ12" s="155" t="str">
        <f>IF(ISNUMBER(AB12),IF(AZ$2="x",(AB12-MIN(AB$4:AB$14))/(MAX(AB$4:AB$14)-MIN(AB$4:AB$14)),(MAX(AB$4:AB$14)-AB12)/(MAX(AB$4:AB$14)-MIN(AB$4:AB$14))),"")</f>
        <v/>
      </c>
      <c r="BA12" s="155" t="str">
        <f>IF(ISNUMBER(AC12),IF(BA$2="x",(AC12-MIN(AC$4:AC$14))/(MAX(AC$4:AC$14)-MIN(AC$4:AC$14)),(MAX(AC$4:AC$14)-AC12)/(MAX(AC$4:AC$14)-MIN(AC$4:AC$14))),"")</f>
        <v/>
      </c>
      <c r="BB12" s="155" t="str">
        <f>IF(ISNUMBER(AD12),IF(BB$2="x",(AD12-MIN(AD$4:AD$14))/(MAX(AD$4:AD$14)-MIN(AD$4:AD$14)),(MAX(AD$4:AD$14)-AD12)/(MAX(AD$4:AD$14)-MIN(AD$4:AD$14))),"")</f>
        <v/>
      </c>
      <c r="BC12" s="155" t="str">
        <f>IF(ISNUMBER(AE12),IF(BC$2="x",(AE12-MIN(AE$4:AE$14))/(MAX(AE$4:AE$14)-MIN(AE$4:AE$14)),(MAX(AE$4:AE$14)-AE12)/(MAX(AE$4:AE$14)-MIN(AE$4:AE$14))),"")</f>
        <v/>
      </c>
      <c r="BD12" s="155" t="str">
        <f>IF(ISNUMBER(AF12),IF(BD$2="x",(AF12-MIN(AF$4:AF$14))/(MAX(AF$4:AF$14)-MIN(AF$4:AF$14)),(MAX(AF$4:AF$14)-AF12)/(MAX(AF$4:AF$14)-MIN(AF$4:AF$14))),"")</f>
        <v/>
      </c>
      <c r="BE12" s="155" t="str">
        <f>IF(ISNUMBER(AG12),IF(BE$2="x",(AG12-MIN(AG$4:AG$14))/(MAX(AG$4:AG$14)-MIN(AG$4:AG$14)),(MAX(AG$4:AG$14)-AG12)/(MAX(AG$4:AG$14)-MIN(AG$4:AG$14))),"")</f>
        <v/>
      </c>
      <c r="BF12" s="155" t="str">
        <f>IF(ISNUMBER(AH12),IF(BF$2="x",(AH12-MIN(AH$4:AH$14))/(MAX(AH$4:AH$14)-MIN(AH$4:AH$14)),(MAX(AH$4:AH$14)-AH12)/(MAX(AH$4:AH$14)-MIN(AH$4:AH$14))),"")</f>
        <v/>
      </c>
      <c r="BG12" s="155" t="str">
        <f>IF(ISNUMBER(AI12),IF(BG$2="x",(AI12-MIN(AI$4:AI$14))/(MAX(AI$4:AI$14)-MIN(AI$4:AI$14)),(MAX(AI$4:AI$14)-AI12)/(MAX(AI$4:AI$14)-MIN(AI$4:AI$14))),"")</f>
        <v/>
      </c>
      <c r="BH12" s="155" t="str">
        <f>IF(ISNUMBER(AJ12),IF(BH$2="x",(AJ12-MIN(AJ$4:AJ$14))/(MAX(AJ$4:AJ$14)-MIN(AJ$4:AJ$14)),(MAX(AJ$4:AJ$14)-AJ12)/(MAX(AJ$4:AJ$14)-MIN(AJ$4:AJ$14))),"")</f>
        <v/>
      </c>
      <c r="BI12" s="155" t="str">
        <f>IF(ISNUMBER(AK12),IF(BI$2="x",(AK12-MIN(AK$4:AK$14))/(MAX(AK$4:AK$14)-MIN(AK$4:AK$14)),(MAX(AK$4:AK$14)-AK12)/(MAX(AK$4:AK$14)-MIN(AK$4:AK$14))),"")</f>
        <v/>
      </c>
      <c r="BJ12" s="155" t="str">
        <f>IF(ISNUMBER(AL12),IF(BJ$2="x",(AL12-MIN(AL$4:AL$14))/(MAX(AL$4:AL$14)-MIN(AL$4:AL$14)),(MAX(AL$4:AL$14)-AL12)/(MAX(AL$4:AL$14)-MIN(AL$4:AL$14))),"")</f>
        <v/>
      </c>
      <c r="BK12" s="64">
        <f t="shared" si="3"/>
        <v>0.20779149885858472</v>
      </c>
      <c r="BL12" s="64" t="str">
        <f t="shared" si="3"/>
        <v/>
      </c>
      <c r="BM12" s="64" t="str">
        <f t="shared" si="3"/>
        <v/>
      </c>
      <c r="BN12" s="64" t="str">
        <f t="shared" si="3"/>
        <v/>
      </c>
      <c r="BO12" s="64" t="str">
        <f t="shared" si="3"/>
        <v/>
      </c>
    </row>
    <row r="13" spans="1:67" x14ac:dyDescent="0.3">
      <c r="A13" s="144" t="s">
        <v>542</v>
      </c>
      <c r="B13" s="145">
        <v>849</v>
      </c>
      <c r="C13" s="145">
        <v>2514</v>
      </c>
      <c r="D13" s="145">
        <v>834</v>
      </c>
      <c r="E13" s="145">
        <v>2540</v>
      </c>
      <c r="F13" s="145">
        <v>212</v>
      </c>
      <c r="G13" s="145">
        <v>1730</v>
      </c>
      <c r="H13" s="145">
        <v>2286</v>
      </c>
      <c r="I13" s="149">
        <v>1854</v>
      </c>
      <c r="K13" s="144" t="s">
        <v>93</v>
      </c>
      <c r="L13" s="145">
        <v>1607658651</v>
      </c>
      <c r="M13" s="146">
        <f>ABS($J$1-L13)/$J$1</f>
        <v>0.33971554250000002</v>
      </c>
      <c r="N13" s="147">
        <v>0</v>
      </c>
      <c r="O13" s="147">
        <v>35.950000000000003</v>
      </c>
      <c r="P13" s="147">
        <f>100-O13</f>
        <v>64.05</v>
      </c>
      <c r="Q13" s="145">
        <v>9672</v>
      </c>
      <c r="R13" s="145">
        <v>5636505</v>
      </c>
      <c r="S13" s="169">
        <v>274056</v>
      </c>
      <c r="T13" s="170">
        <v>1523</v>
      </c>
      <c r="U13" s="171">
        <v>60461</v>
      </c>
      <c r="V13" s="171">
        <v>5745</v>
      </c>
      <c r="W13" s="171">
        <v>442480</v>
      </c>
      <c r="X13">
        <v>920</v>
      </c>
      <c r="Y13">
        <v>75281</v>
      </c>
      <c r="Z13" s="171">
        <v>4173</v>
      </c>
      <c r="AA13" s="145">
        <v>496354</v>
      </c>
      <c r="AB13" s="145">
        <v>834</v>
      </c>
      <c r="AC13" s="145">
        <v>73236</v>
      </c>
      <c r="AD13" s="145">
        <v>3989</v>
      </c>
      <c r="AE13" s="145">
        <v>751391</v>
      </c>
      <c r="AF13" s="145">
        <v>426</v>
      </c>
      <c r="AG13" s="145">
        <v>213409</v>
      </c>
      <c r="AH13" s="145">
        <v>1462</v>
      </c>
      <c r="AI13" s="300">
        <v>753958</v>
      </c>
      <c r="AJ13" s="300">
        <v>423</v>
      </c>
      <c r="AK13" s="300">
        <v>216581</v>
      </c>
      <c r="AL13" s="300">
        <v>1447</v>
      </c>
      <c r="AM13" s="300"/>
      <c r="AN13" s="300"/>
      <c r="AO13" s="300"/>
      <c r="AP13" s="300"/>
      <c r="AQ13" s="155">
        <f>IF(ISNUMBER(S13),IF(AQ$2="x",(S13-MIN(S$4:S$14))/(MAX(S$4:S$14)-MIN(S$4:S$14)),(MAX(S$4:S$14)-S13)/(MAX(S$4:S$14)-MIN(S$4:S$14))),"")</f>
        <v>1</v>
      </c>
      <c r="AR13" s="155">
        <f>IF(ISNUMBER(T13),IF(AR$2="x",(T13-MIN(T$4:T$14))/(MAX(T$4:T$14)-MIN(T$4:T$14)),(MAX(T$4:T$14)-T13)/(MAX(T$4:T$14)-MIN(T$4:T$14))),"")</f>
        <v>1</v>
      </c>
      <c r="AS13" s="155">
        <f>IF(ISNUMBER(U13),IF(AS$2="x",(U13-MIN(U$4:U$14))/(MAX(U$4:U$14)-MIN(U$4:U$14)),(MAX(U$4:U$14)-U13)/(MAX(U$4:U$14)-MIN(U$4:U$14))),"")</f>
        <v>0.85584528553800088</v>
      </c>
      <c r="AT13" s="155">
        <f>IF(ISNUMBER(V13),IF(AT$2="x",(V13-MIN(V$4:V$14))/(MAX(V$4:V$14)-MIN(V$4:V$14)),(MAX(V$4:V$14)-V13)/(MAX(V$4:V$14)-MIN(V$4:V$14))),"")</f>
        <v>0.94780742103649185</v>
      </c>
      <c r="AU13" s="155">
        <f>IF(ISNUMBER(W13),IF(AU$2="x",(W13-MIN(W$4:W$14))/(MAX(W$4:W$14)-MIN(W$4:W$14)),(MAX(W$4:W$14)-W13)/(MAX(W$4:W$14)-MIN(W$4:W$14))),"")</f>
        <v>0.31711300802191916</v>
      </c>
      <c r="AV13" s="155">
        <f>IF(ISNUMBER(X13),IF(AV$2="x",(X13-MIN(X$4:X$14))/(MAX(X$4:X$14)-MIN(X$4:X$14)),(MAX(X$4:X$14)-X13)/(MAX(X$4:X$14)-MIN(X$4:X$14))),"")</f>
        <v>0.77716966379984365</v>
      </c>
      <c r="AW13" s="155">
        <f>IF(ISNUMBER(Y13),IF(AW$2="x",(Y13-MIN(Y$4:Y$14))/(MAX(Y$4:Y$14)-MIN(Y$4:Y$14)),(MAX(Y$4:Y$14)-Y13)/(MAX(Y$4:Y$14)-MIN(Y$4:Y$14))),"")</f>
        <v>0.1810555491775048</v>
      </c>
      <c r="AX13" s="155">
        <f>IF(ISNUMBER(Z13),IF(AX$2="x",(Z13-MIN(Z$4:Z$14))/(MAX(Z$4:Z$14)-MIN(Z$4:Z$14)),(MAX(Z$4:Z$14)-Z13)/(MAX(Z$4:Z$14)-MIN(Z$4:Z$14))),"")</f>
        <v>0.71008486283797123</v>
      </c>
      <c r="AY13" s="155">
        <f>IF(ISNUMBER(AA13),IF(AY$2="x",(AA13-MIN(AA$4:AA$14))/(MAX(AA$4:AA$14)-MIN(AA$4:AA$14)),(MAX(AA$4:AA$14)-AA13)/(MAX(AA$4:AA$14)-MIN(AA$4:AA$14))),"")</f>
        <v>0.21044624693080916</v>
      </c>
      <c r="AZ13" s="155">
        <f>IF(ISNUMBER(AB13),IF(AZ$2="x",(AB13-MIN(AB$4:AB$14))/(MAX(AB$4:AB$14)-MIN(AB$4:AB$14)),(MAX(AB$4:AB$14)-AB13)/(MAX(AB$4:AB$14)-MIN(AB$4:AB$14))),"")</f>
        <v>0.72750533049040511</v>
      </c>
      <c r="BA13" s="155">
        <f>IF(ISNUMBER(AC13),IF(BA$2="x",(AC13-MIN(AC$4:AC$14))/(MAX(AC$4:AC$14)-MIN(AC$4:AC$14)),(MAX(AC$4:AC$14)-AC13)/(MAX(AC$4:AC$14)-MIN(AC$4:AC$14))),"")</f>
        <v>9.9293038394862088E-2</v>
      </c>
      <c r="BB13" s="155">
        <f>IF(ISNUMBER(AD13),IF(BB$2="x",(AD13-MIN(AD$4:AD$14))/(MAX(AD$4:AD$14)-MIN(AD$4:AD$14)),(MAX(AD$4:AD$14)-AD13)/(MAX(AD$4:AD$14)-MIN(AD$4:AD$14))),"")</f>
        <v>0.69631395562075926</v>
      </c>
      <c r="BC13" s="155">
        <f>IF(ISNUMBER(AE13),IF(BC$2="x",(AE13-MIN(AE$4:AE$14))/(MAX(AE$4:AE$14)-MIN(AE$4:AE$14)),(MAX(AE$4:AE$14)-AE13)/(MAX(AE$4:AE$14)-MIN(AE$4:AE$14))),"")</f>
        <v>0.30737665374508344</v>
      </c>
      <c r="BD13" s="155">
        <f>IF(ISNUMBER(AF13),IF(BD$2="x",(AF13-MIN(AF$4:AF$14))/(MAX(AF$4:AF$14)-MIN(AF$4:AF$14)),(MAX(AF$4:AF$14)-AF13)/(MAX(AF$4:AF$14)-MIN(AF$4:AF$14))),"")</f>
        <v>0.87011105746016415</v>
      </c>
      <c r="BE13" s="155">
        <f>IF(ISNUMBER(AG13),IF(BE$2="x",(AG13-MIN(AG$4:AG$14))/(MAX(AG$4:AG$14)-MIN(AG$4:AG$14)),(MAX(AG$4:AG$14)-AG13)/(MAX(AG$4:AG$14)-MIN(AG$4:AG$14))),"")</f>
        <v>0.2839477999350144</v>
      </c>
      <c r="BF13" s="155">
        <f>IF(ISNUMBER(AH13),IF(BF$2="x",(AH13-MIN(AH$4:AH$14))/(MAX(AH$4:AH$14)-MIN(AH$4:AH$14)),(MAX(AH$4:AH$14)-AH13)/(MAX(AH$4:AH$14)-MIN(AH$4:AH$14))),"")</f>
        <v>0.91181030551755582</v>
      </c>
      <c r="BG13" s="155">
        <f>IF(ISNUMBER(AI13),IF(BG$2="x",(AI13-MIN(AI$4:AI$14))/(MAX(AI$4:AI$14)-MIN(AI$4:AI$14)),(MAX(AI$4:AI$14)-AI13)/(MAX(AI$4:AI$14)-MIN(AI$4:AI$14))),"")</f>
        <v>0.30858423135717639</v>
      </c>
      <c r="BH13" s="155">
        <f>IF(ISNUMBER(AJ13),IF(BH$2="x",(AJ13-MIN(AJ$4:AJ$14))/(MAX(AJ$4:AJ$14)-MIN(AJ$4:AJ$14)),(MAX(AJ$4:AJ$14)-AJ13)/(MAX(AJ$4:AJ$14)-MIN(AJ$4:AJ$14))),"")</f>
        <v>0.87143547607539873</v>
      </c>
      <c r="BI13" s="155">
        <f>IF(ISNUMBER(AK13),IF(BI$2="x",(AK13-MIN(AK$4:AK$14))/(MAX(AK$4:AK$14)-MIN(AK$4:AK$14)),(MAX(AK$4:AK$14)-AK13)/(MAX(AK$4:AK$14)-MIN(AK$4:AK$14))),"")</f>
        <v>0.27978030520987002</v>
      </c>
      <c r="BJ13" s="155">
        <f>IF(ISNUMBER(AL13),IF(BJ$2="x",(AL13-MIN(AL$4:AL$14))/(MAX(AL$4:AL$14)-MIN(AL$4:AL$14)),(MAX(AL$4:AL$14)-AL13)/(MAX(AL$4:AL$14)-MIN(AL$4:AL$14))),"")</f>
        <v>0.86158767083454491</v>
      </c>
      <c r="BK13" s="64">
        <f t="shared" si="3"/>
        <v>0.95091317664362318</v>
      </c>
      <c r="BL13" s="64">
        <f t="shared" si="3"/>
        <v>0.49635577095930972</v>
      </c>
      <c r="BM13" s="64">
        <f t="shared" si="3"/>
        <v>0.43338964285920889</v>
      </c>
      <c r="BN13" s="64">
        <f t="shared" si="3"/>
        <v>0.59331145416445441</v>
      </c>
      <c r="BO13" s="64">
        <f t="shared" si="3"/>
        <v>0.58034692086924755</v>
      </c>
    </row>
    <row r="14" spans="1:67" x14ac:dyDescent="0.3">
      <c r="A14" s="144" t="s">
        <v>543</v>
      </c>
      <c r="B14" s="145">
        <v>109064</v>
      </c>
      <c r="C14" s="145">
        <v>47660</v>
      </c>
      <c r="D14" s="145">
        <v>73236</v>
      </c>
      <c r="E14" s="145">
        <v>32557</v>
      </c>
      <c r="F14" s="145">
        <v>444525</v>
      </c>
      <c r="G14" s="145">
        <v>28058</v>
      </c>
      <c r="H14" s="145">
        <v>57055</v>
      </c>
      <c r="I14" s="149">
        <v>25525</v>
      </c>
      <c r="K14" s="144" t="s">
        <v>92</v>
      </c>
      <c r="L14" s="145">
        <v>832392128</v>
      </c>
      <c r="M14" s="146">
        <f>ABS($J$1-L14)/$J$1</f>
        <v>0.30633989333333334</v>
      </c>
      <c r="N14" s="147">
        <v>0</v>
      </c>
      <c r="O14" s="147">
        <v>35.64</v>
      </c>
      <c r="P14" s="147">
        <f>100-O14</f>
        <v>64.36</v>
      </c>
      <c r="Q14" s="145">
        <v>11986</v>
      </c>
      <c r="R14" s="145">
        <v>807651</v>
      </c>
      <c r="S14" s="169">
        <v>68446</v>
      </c>
      <c r="T14" s="170">
        <v>3102</v>
      </c>
      <c r="U14" s="171">
        <v>30231</v>
      </c>
      <c r="V14" s="171">
        <v>8953</v>
      </c>
      <c r="W14">
        <v>89707</v>
      </c>
      <c r="X14">
        <v>2655</v>
      </c>
      <c r="Y14">
        <v>31302</v>
      </c>
      <c r="Z14" s="171">
        <v>8653</v>
      </c>
      <c r="AA14" s="145">
        <v>96435</v>
      </c>
      <c r="AB14" s="145">
        <v>2540</v>
      </c>
      <c r="AC14" s="145">
        <v>32557</v>
      </c>
      <c r="AD14" s="145">
        <v>8436</v>
      </c>
      <c r="AE14" s="145">
        <v>101507</v>
      </c>
      <c r="AF14" s="145">
        <v>2228</v>
      </c>
      <c r="AG14" s="145">
        <v>33696</v>
      </c>
      <c r="AH14" s="145">
        <v>7383</v>
      </c>
      <c r="AI14" s="300">
        <v>101527</v>
      </c>
      <c r="AJ14" s="300">
        <v>2226</v>
      </c>
      <c r="AK14" s="300">
        <v>33758</v>
      </c>
      <c r="AL14" s="300">
        <v>7373</v>
      </c>
      <c r="AM14" s="300"/>
      <c r="AN14" s="300"/>
      <c r="AO14" s="300"/>
      <c r="AP14" s="300"/>
      <c r="AQ14" s="155">
        <f>IF(ISNUMBER(S14),IF(AQ$2="x",(S14-MIN(S$4:S$14))/(MAX(S$4:S$14)-MIN(S$4:S$14)),(MAX(S$4:S$14)-S14)/(MAX(S$4:S$14)-MIN(S$4:S$14))),"")</f>
        <v>0</v>
      </c>
      <c r="AR14" s="155">
        <f>IF(ISNUMBER(T14),IF(AR$2="x",(T14-MIN(T$4:T$14))/(MAX(T$4:T$14)-MIN(T$4:T$14)),(MAX(T$4:T$14)-T14)/(MAX(T$4:T$14)-MIN(T$4:T$14))),"")</f>
        <v>0.56501377410468323</v>
      </c>
      <c r="AS14" s="155">
        <f>IF(ISNUMBER(U14),IF(AS$2="x",(U14-MIN(U$4:U$14))/(MAX(U$4:U$14)-MIN(U$4:U$14)),(MAX(U$4:U$14)-U14)/(MAX(U$4:U$14)-MIN(U$4:U$14))),"")</f>
        <v>0.24431048085287158</v>
      </c>
      <c r="AT14" s="155">
        <f>IF(ISNUMBER(V14),IF(AT$2="x",(V14-MIN(V$4:V$14))/(MAX(V$4:V$14)-MIN(V$4:V$14)),(MAX(V$4:V$14)-V14)/(MAX(V$4:V$14)-MIN(V$4:V$14))),"")</f>
        <v>0.7510579576816927</v>
      </c>
      <c r="AU14" s="155">
        <f>IF(ISNUMBER(W14),IF(AU$2="x",(W14-MIN(W$4:W$14))/(MAX(W$4:W$14)-MIN(W$4:W$14)),(MAX(W$4:W$14)-W14)/(MAX(W$4:W$14)-MIN(W$4:W$14))),"")</f>
        <v>0</v>
      </c>
      <c r="AV14" s="155">
        <f>IF(ISNUMBER(X14),IF(AV$2="x",(X14-MIN(X$4:X$14))/(MAX(X$4:X$14)-MIN(X$4:X$14)),(MAX(X$4:X$14)-X14)/(MAX(X$4:X$14)-MIN(X$4:X$14))),"")</f>
        <v>9.8905394839718525E-2</v>
      </c>
      <c r="AW14" s="155">
        <f>IF(ISNUMBER(Y14),IF(AW$2="x",(Y14-MIN(Y$4:Y$14))/(MAX(Y$4:Y$14)-MIN(Y$4:Y$14)),(MAX(Y$4:Y$14)-Y14)/(MAX(Y$4:Y$14)-MIN(Y$4:Y$14))),"")</f>
        <v>7.3393141226444497E-4</v>
      </c>
      <c r="AX14" s="155">
        <f>IF(ISNUMBER(Z14),IF(AX$2="x",(Z14-MIN(Z$4:Z$14))/(MAX(Z$4:Z$14)-MIN(Z$4:Z$14)),(MAX(Z$4:Z$14)-Z14)/(MAX(Z$4:Z$14)-MIN(Z$4:Z$14))),"")</f>
        <v>0.26800868363923425</v>
      </c>
      <c r="AY14" s="155">
        <f>IF(ISNUMBER(AA14),IF(AY$2="x",(AA14-MIN(AA$4:AA$14))/(MAX(AA$4:AA$14)-MIN(AA$4:AA$14)),(MAX(AA$4:AA$14)-AA14)/(MAX(AA$4:AA$14)-MIN(AA$4:AA$14))),"")</f>
        <v>0</v>
      </c>
      <c r="AZ14" s="155">
        <f>IF(ISNUMBER(AB14),IF(AZ$2="x",(AB14-MIN(AB$4:AB$14))/(MAX(AB$4:AB$14)-MIN(AB$4:AB$14)),(MAX(AB$4:AB$14)-AB14)/(MAX(AB$4:AB$14)-MIN(AB$4:AB$14))),"")</f>
        <v>0</v>
      </c>
      <c r="BA14" s="155">
        <f>IF(ISNUMBER(AC14),IF(BA$2="x",(AC14-MIN(AC$4:AC$14))/(MAX(AC$4:AC$14)-MIN(AC$4:AC$14)),(MAX(AC$4:AC$14)-AC14)/(MAX(AC$4:AC$14)-MIN(AC$4:AC$14))),"")</f>
        <v>1.4634542264732877E-2</v>
      </c>
      <c r="BB14" s="155">
        <f>IF(ISNUMBER(AD14),IF(BB$2="x",(AD14-MIN(AD$4:AD$14))/(MAX(AD$4:AD$14)-MIN(AD$4:AD$14)),(MAX(AD$4:AD$14)-AD14)/(MAX(AD$4:AD$14)-MIN(AD$4:AD$14))),"")</f>
        <v>0.28855675774802858</v>
      </c>
      <c r="BC14" s="155">
        <f>IF(ISNUMBER(AE14),IF(BC$2="x",(AE14-MIN(AE$4:AE$14))/(MAX(AE$4:AE$14)-MIN(AE$4:AE$14)),(MAX(AE$4:AE$14)-AE14)/(MAX(AE$4:AE$14)-MIN(AE$4:AE$14))),"")</f>
        <v>0</v>
      </c>
      <c r="BD14" s="155">
        <f>IF(ISNUMBER(AF14),IF(BD$2="x",(AF14-MIN(AF$4:AF$14))/(MAX(AF$4:AF$14)-MIN(AF$4:AF$14)),(MAX(AF$4:AF$14)-AF14)/(MAX(AF$4:AF$14)-MIN(AF$4:AF$14))),"")</f>
        <v>0</v>
      </c>
      <c r="BE14" s="155">
        <f>IF(ISNUMBER(AG14),IF(BE$2="x",(AG14-MIN(AG$4:AG$14))/(MAX(AG$4:AG$14)-MIN(AG$4:AG$14)),(MAX(AG$4:AG$14)-AG14)/(MAX(AG$4:AG$14)-MIN(AG$4:AG$14))),"")</f>
        <v>1.2348776230381525E-2</v>
      </c>
      <c r="BF14" s="155">
        <f>IF(ISNUMBER(AH14),IF(BF$2="x",(AH14-MIN(AH$4:AH$14))/(MAX(AH$4:AH$14)-MIN(AH$4:AH$14)),(MAX(AH$4:AH$14)-AH14)/(MAX(AH$4:AH$14)-MIN(AH$4:AH$14))),"")</f>
        <v>0.37181942544459645</v>
      </c>
      <c r="BG14" s="155">
        <f>IF(ISNUMBER(AI14),IF(BG$2="x",(AI14-MIN(AI$4:AI$14))/(MAX(AI$4:AI$14)-MIN(AI$4:AI$14)),(MAX(AI$4:AI$14)-AI14)/(MAX(AI$4:AI$14)-MIN(AI$4:AI$14))),"")</f>
        <v>0</v>
      </c>
      <c r="BH14" s="155">
        <f>IF(ISNUMBER(AJ14),IF(BH$2="x",(AJ14-MIN(AJ$4:AJ$14))/(MAX(AJ$4:AJ$14)-MIN(AJ$4:AJ$14)),(MAX(AJ$4:AJ$14)-AJ14)/(MAX(AJ$4:AJ$14)-MIN(AJ$4:AJ$14))),"")</f>
        <v>0</v>
      </c>
      <c r="BI14" s="155">
        <f>IF(ISNUMBER(AK14),IF(BI$2="x",(AK14-MIN(AK$4:AK$14))/(MAX(AK$4:AK$14)-MIN(AK$4:AK$14)),(MAX(AK$4:AK$14)-AK14)/(MAX(AK$4:AK$14)-MIN(AK$4:AK$14))),"")</f>
        <v>0</v>
      </c>
      <c r="BJ14" s="155">
        <f>IF(ISNUMBER(AL14),IF(BJ$2="x",(AL14-MIN(AL$4:AL$14))/(MAX(AL$4:AL$14)-MIN(AL$4:AL$14)),(MAX(AL$4:AL$14)-AL14)/(MAX(AL$4:AL$14)-MIN(AL$4:AL$14))),"")</f>
        <v>0</v>
      </c>
      <c r="BK14" s="64">
        <f t="shared" si="3"/>
        <v>0.39009555315981187</v>
      </c>
      <c r="BL14" s="64">
        <f t="shared" si="3"/>
        <v>9.1912002472804302E-2</v>
      </c>
      <c r="BM14" s="64">
        <f t="shared" si="3"/>
        <v>7.5797825003190364E-2</v>
      </c>
      <c r="BN14" s="64">
        <f t="shared" si="3"/>
        <v>9.6042050418744501E-2</v>
      </c>
      <c r="BO14" s="64">
        <f t="shared" si="3"/>
        <v>0</v>
      </c>
    </row>
    <row r="15" spans="1:67" x14ac:dyDescent="0.3">
      <c r="A15" s="144"/>
      <c r="B15" s="145"/>
      <c r="C15" s="145"/>
      <c r="D15" s="145"/>
      <c r="E15" s="145"/>
      <c r="F15" s="145"/>
      <c r="G15" s="145"/>
      <c r="H15" s="145"/>
      <c r="I15" s="149"/>
      <c r="K15" t="s">
        <v>1140</v>
      </c>
      <c r="L15" s="300"/>
      <c r="M15" s="321"/>
      <c r="N15" s="170"/>
      <c r="O15" s="170"/>
      <c r="P15" s="170"/>
      <c r="Q15" s="300"/>
      <c r="R15" s="300"/>
      <c r="S15" s="170">
        <v>66336742</v>
      </c>
      <c r="T15" s="170">
        <v>5</v>
      </c>
      <c r="U15" s="171">
        <v>55602119</v>
      </c>
      <c r="V15" s="171">
        <v>9</v>
      </c>
      <c r="Z15" s="171"/>
      <c r="AA15" s="145"/>
      <c r="AB15" s="145"/>
      <c r="AC15" s="145"/>
      <c r="AD15" s="145"/>
      <c r="AE15" s="300"/>
      <c r="AF15" s="300"/>
      <c r="AG15" s="300"/>
      <c r="AH15" s="300"/>
      <c r="AI15" s="170">
        <v>66336742</v>
      </c>
      <c r="AJ15" s="170">
        <v>5</v>
      </c>
      <c r="AK15" s="171">
        <v>55602119</v>
      </c>
      <c r="AL15" s="171">
        <v>9</v>
      </c>
      <c r="AM15" s="171"/>
      <c r="AN15" s="171"/>
      <c r="AO15" s="171"/>
      <c r="AP15" s="171"/>
      <c r="AQ15" s="155"/>
      <c r="AR15" s="155">
        <f>IF(ISNUMBER(T15),IF(AR$2="x",(T15-MIN(T$4:T$14))/(MAX(T$4:T$14)-MIN(T$4:T$14)),(MAX(T$4:T$14)-T15)/(MAX(T$4:T$14)-MIN(T$4:T$14))),"")</f>
        <v>1.4181818181818182</v>
      </c>
      <c r="AS15" s="155"/>
      <c r="AT15" s="155">
        <f>IF(ISNUMBER(V15),IF(AT$2="x",(V15-MIN(V$4:V$14))/(MAX(V$4:V$14)-MIN(V$4:V$14)),(MAX(V$4:V$14)-V15)/(MAX(V$4:V$14)-MIN(V$4:V$14))),"")</f>
        <v>1.2996013492793621</v>
      </c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64"/>
      <c r="BL15" s="64"/>
      <c r="BM15" s="64"/>
      <c r="BN15" s="64"/>
      <c r="BO15" s="64"/>
    </row>
    <row r="16" spans="1:67" x14ac:dyDescent="0.3">
      <c r="A16" s="144"/>
      <c r="B16" s="145"/>
      <c r="C16" s="145"/>
      <c r="D16" s="145"/>
      <c r="E16" s="145"/>
      <c r="F16" s="145"/>
      <c r="G16" s="145"/>
      <c r="H16" s="145"/>
      <c r="I16" s="149"/>
      <c r="K16" t="s">
        <v>1141</v>
      </c>
      <c r="L16" s="300"/>
      <c r="M16" s="321"/>
      <c r="N16" s="170"/>
      <c r="O16" s="170"/>
      <c r="P16" s="170"/>
      <c r="Q16" s="300"/>
      <c r="R16" s="300"/>
      <c r="S16" s="170">
        <v>58462999</v>
      </c>
      <c r="T16" s="170">
        <v>5</v>
      </c>
      <c r="U16" s="171">
        <v>37089910</v>
      </c>
      <c r="V16" s="171">
        <v>10</v>
      </c>
      <c r="Z16" s="171"/>
      <c r="AA16" s="145"/>
      <c r="AB16" s="145"/>
      <c r="AC16" s="145"/>
      <c r="AD16" s="145"/>
      <c r="AE16" s="300"/>
      <c r="AF16" s="300"/>
      <c r="AG16" s="300"/>
      <c r="AH16" s="300"/>
      <c r="AI16" s="170">
        <v>58462999</v>
      </c>
      <c r="AJ16" s="170">
        <v>5</v>
      </c>
      <c r="AK16" s="171">
        <v>37089910</v>
      </c>
      <c r="AL16" s="171">
        <v>10</v>
      </c>
      <c r="AM16" s="171"/>
      <c r="AN16" s="171"/>
      <c r="AO16" s="171"/>
      <c r="AP16" s="171"/>
      <c r="AQ16" s="155"/>
      <c r="AR16" s="155">
        <f>IF(ISNUMBER(T16),IF(AR$2="x",(T16-MIN(T$4:T$14))/(MAX(T$4:T$14)-MIN(T$4:T$14)),(MAX(T$4:T$14)-T16)/(MAX(T$4:T$14)-MIN(T$4:T$14))),"")</f>
        <v>1.4181818181818182</v>
      </c>
      <c r="AS16" s="155"/>
      <c r="AT16" s="155">
        <f>IF(ISNUMBER(V16),IF(AT$2="x",(V16-MIN(V$4:V$14))/(MAX(V$4:V$14)-MIN(V$4:V$14)),(MAX(V$4:V$14)-V16)/(MAX(V$4:V$14)-MIN(V$4:V$14))),"")</f>
        <v>1.299540018399264</v>
      </c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64"/>
      <c r="BL16" s="64"/>
      <c r="BM16" s="64"/>
      <c r="BN16" s="64"/>
      <c r="BO16" s="64"/>
    </row>
    <row r="17" spans="1:67" x14ac:dyDescent="0.3">
      <c r="A17" s="144"/>
      <c r="B17" s="145"/>
      <c r="C17" s="145"/>
      <c r="D17" s="145"/>
      <c r="E17" s="145"/>
      <c r="F17" s="145"/>
      <c r="G17" s="145"/>
      <c r="H17" s="145"/>
      <c r="I17" s="149"/>
      <c r="K17" t="s">
        <v>1142</v>
      </c>
      <c r="L17" s="300"/>
      <c r="M17" s="321"/>
      <c r="N17" s="170"/>
      <c r="O17" s="170"/>
      <c r="P17" s="170"/>
      <c r="Q17" s="300"/>
      <c r="R17" s="300"/>
      <c r="S17" s="170">
        <v>55855599</v>
      </c>
      <c r="T17" s="170">
        <v>5</v>
      </c>
      <c r="U17" s="171">
        <v>1173110</v>
      </c>
      <c r="V17" s="171">
        <v>15</v>
      </c>
      <c r="Z17" s="171"/>
      <c r="AA17" s="145"/>
      <c r="AB17" s="145"/>
      <c r="AC17" s="145"/>
      <c r="AD17" s="145"/>
      <c r="AE17" s="300"/>
      <c r="AF17" s="300"/>
      <c r="AG17" s="300"/>
      <c r="AH17" s="300"/>
      <c r="AI17" s="170">
        <v>55855599</v>
      </c>
      <c r="AJ17" s="170">
        <v>5</v>
      </c>
      <c r="AK17" s="171">
        <v>1173110</v>
      </c>
      <c r="AL17" s="171">
        <v>15</v>
      </c>
      <c r="AM17" s="171"/>
      <c r="AN17" s="171"/>
      <c r="AO17" s="171"/>
      <c r="AP17" s="171"/>
      <c r="AQ17" s="155"/>
      <c r="AR17" s="155">
        <f>IF(ISNUMBER(T17),IF(AR$2="x",(T17-MIN(T$4:T$14))/(MAX(T$4:T$14)-MIN(T$4:T$14)),(MAX(T$4:T$14)-T17)/(MAX(T$4:T$14)-MIN(T$4:T$14))),"")</f>
        <v>1.4181818181818182</v>
      </c>
      <c r="AS17" s="155"/>
      <c r="AT17" s="155">
        <f>IF(ISNUMBER(V17),IF(AT$2="x",(V17-MIN(V$4:V$14))/(MAX(V$4:V$14)-MIN(V$4:V$14)),(MAX(V$4:V$14)-V17)/(MAX(V$4:V$14)-MIN(V$4:V$14))),"")</f>
        <v>1.2992333639987734</v>
      </c>
      <c r="AU17" s="155"/>
      <c r="AV17" s="155"/>
      <c r="AW17" s="155"/>
      <c r="AX17" s="155"/>
      <c r="AY17" s="155"/>
      <c r="AZ17" s="155"/>
      <c r="BA17" s="155"/>
      <c r="BB17" s="155"/>
      <c r="BC17" s="155"/>
      <c r="BD17" s="155"/>
      <c r="BE17" s="155"/>
      <c r="BF17" s="155"/>
      <c r="BG17" s="155"/>
      <c r="BH17" s="155"/>
      <c r="BI17" s="155"/>
      <c r="BJ17" s="155"/>
      <c r="BK17" s="64"/>
      <c r="BL17" s="64"/>
      <c r="BM17" s="64"/>
      <c r="BN17" s="64"/>
      <c r="BO17" s="64"/>
    </row>
    <row r="18" spans="1:67" x14ac:dyDescent="0.3">
      <c r="A18" s="144"/>
      <c r="B18" s="145"/>
      <c r="C18" s="145"/>
      <c r="D18" s="145"/>
      <c r="E18" s="145"/>
      <c r="F18" s="145"/>
      <c r="G18" s="145"/>
      <c r="H18" s="145"/>
      <c r="I18" s="149"/>
      <c r="K18" t="s">
        <v>1143</v>
      </c>
      <c r="L18" s="300"/>
      <c r="M18" s="321"/>
      <c r="N18" s="170"/>
      <c r="O18" s="170"/>
      <c r="P18" s="170"/>
      <c r="Q18" s="300"/>
      <c r="R18" s="300"/>
      <c r="S18" s="170">
        <v>75944018</v>
      </c>
      <c r="T18" s="170">
        <v>4</v>
      </c>
      <c r="U18" s="171">
        <v>51258098</v>
      </c>
      <c r="V18" s="171">
        <v>9</v>
      </c>
      <c r="Z18" s="171"/>
      <c r="AA18" s="145"/>
      <c r="AB18" s="145"/>
      <c r="AC18" s="145"/>
      <c r="AD18" s="145"/>
      <c r="AE18" s="300"/>
      <c r="AF18" s="300"/>
      <c r="AG18" s="300"/>
      <c r="AH18" s="300"/>
      <c r="AI18" s="170">
        <v>75944018</v>
      </c>
      <c r="AJ18" s="170">
        <v>4</v>
      </c>
      <c r="AK18" s="171">
        <v>51258098</v>
      </c>
      <c r="AL18" s="171">
        <v>9</v>
      </c>
      <c r="AM18" s="171"/>
      <c r="AN18" s="171"/>
      <c r="AO18" s="171"/>
      <c r="AP18" s="171"/>
      <c r="AQ18" s="155"/>
      <c r="AR18" s="155">
        <f>IF(ISNUMBER(T18),IF(AR$2="x",(T18-MIN(T$4:T$14))/(MAX(T$4:T$14)-MIN(T$4:T$14)),(MAX(T$4:T$14)-T18)/(MAX(T$4:T$14)-MIN(T$4:T$14))),"")</f>
        <v>1.4184573002754821</v>
      </c>
      <c r="AS18" s="155"/>
      <c r="AT18" s="155">
        <f>IF(ISNUMBER(V18),IF(AT$2="x",(V18-MIN(V$4:V$14))/(MAX(V$4:V$14)-MIN(V$4:V$14)),(MAX(V$4:V$14)-V18)/(MAX(V$4:V$14)-MIN(V$4:V$14))),"")</f>
        <v>1.2996013492793621</v>
      </c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64"/>
      <c r="BL18" s="64"/>
      <c r="BM18" s="64"/>
      <c r="BN18" s="64"/>
      <c r="BO18" s="64"/>
    </row>
    <row r="19" spans="1:67" x14ac:dyDescent="0.3">
      <c r="A19" s="144"/>
      <c r="B19" s="145"/>
      <c r="C19" s="145"/>
      <c r="D19" s="145"/>
      <c r="E19" s="145"/>
      <c r="F19" s="145"/>
      <c r="G19" s="145"/>
      <c r="H19" s="145"/>
      <c r="I19" s="149"/>
      <c r="K19" t="s">
        <v>1215</v>
      </c>
      <c r="L19" s="300"/>
      <c r="M19" s="321"/>
      <c r="N19" s="170"/>
      <c r="O19" s="170"/>
      <c r="P19" s="170"/>
      <c r="Q19" s="300"/>
      <c r="R19" s="300"/>
      <c r="S19" s="170"/>
      <c r="T19" s="170"/>
      <c r="U19" s="171"/>
      <c r="V19" s="171"/>
      <c r="Z19" s="171"/>
      <c r="AA19" s="145"/>
      <c r="AB19" s="145"/>
      <c r="AC19" s="145"/>
      <c r="AD19" s="145"/>
      <c r="AE19" s="300"/>
      <c r="AF19" s="300"/>
      <c r="AG19" s="300"/>
      <c r="AH19" s="300"/>
      <c r="AI19" s="170">
        <v>95771753</v>
      </c>
      <c r="AJ19" s="170">
        <v>6</v>
      </c>
      <c r="AK19" s="369">
        <v>28883</v>
      </c>
      <c r="AL19" s="171">
        <v>2266</v>
      </c>
      <c r="AM19" s="171"/>
      <c r="AN19" s="171"/>
      <c r="AO19" s="171"/>
      <c r="AP19" s="171"/>
      <c r="AQ19" s="155"/>
      <c r="AR19" s="155"/>
      <c r="AS19" s="155"/>
      <c r="AT19" s="155"/>
      <c r="AU19" s="155"/>
      <c r="AV19" s="155"/>
      <c r="AW19" s="155"/>
      <c r="AX19" s="155"/>
      <c r="AY19" s="155"/>
      <c r="AZ19" s="155"/>
      <c r="BA19" s="155"/>
      <c r="BB19" s="155"/>
      <c r="BC19" s="155"/>
      <c r="BD19" s="155"/>
      <c r="BE19" s="155"/>
      <c r="BF19" s="155"/>
      <c r="BG19" s="155"/>
      <c r="BH19" s="155"/>
      <c r="BI19" s="155"/>
      <c r="BJ19" s="155"/>
      <c r="BK19" s="64"/>
      <c r="BL19" s="64"/>
      <c r="BM19" s="64"/>
      <c r="BN19" s="64"/>
      <c r="BO19" s="64"/>
    </row>
    <row r="20" spans="1:67" x14ac:dyDescent="0.3">
      <c r="A20" s="144"/>
      <c r="B20" s="145"/>
      <c r="C20" s="145"/>
      <c r="D20" s="145"/>
      <c r="E20" s="145"/>
      <c r="F20" s="145"/>
      <c r="G20" s="145"/>
      <c r="H20" s="145"/>
      <c r="I20" s="149"/>
      <c r="K20" t="s">
        <v>1144</v>
      </c>
      <c r="L20" s="300"/>
      <c r="M20" s="321"/>
      <c r="N20" s="170"/>
      <c r="O20" s="170"/>
      <c r="P20" s="170"/>
      <c r="Q20" s="300"/>
      <c r="R20" s="300"/>
      <c r="S20" s="170">
        <v>95564955</v>
      </c>
      <c r="T20" s="170">
        <v>5</v>
      </c>
      <c r="U20" s="171">
        <v>44655554</v>
      </c>
      <c r="V20" s="171">
        <v>10</v>
      </c>
      <c r="Z20" s="171"/>
      <c r="AA20" s="145"/>
      <c r="AB20" s="145"/>
      <c r="AC20" s="145"/>
      <c r="AD20" s="145"/>
      <c r="AE20" s="300"/>
      <c r="AF20" s="300"/>
      <c r="AG20" s="300"/>
      <c r="AH20" s="300"/>
      <c r="AI20" s="170">
        <v>95564955</v>
      </c>
      <c r="AJ20" s="170">
        <v>5</v>
      </c>
      <c r="AK20" s="171">
        <v>44655554</v>
      </c>
      <c r="AL20" s="171">
        <v>10</v>
      </c>
      <c r="AM20" s="171"/>
      <c r="AN20" s="171"/>
      <c r="AO20" s="171"/>
      <c r="AP20" s="171"/>
      <c r="AQ20" s="155"/>
      <c r="AR20" s="155">
        <f>IF(ISNUMBER(T20),IF(AR$2="x",(T20-MIN(T$4:T$14))/(MAX(T$4:T$14)-MIN(T$4:T$14)),(MAX(T$4:T$14)-T20)/(MAX(T$4:T$14)-MIN(T$4:T$14))),"")</f>
        <v>1.4181818181818182</v>
      </c>
      <c r="AS20" s="155"/>
      <c r="AT20" s="155">
        <f>IF(ISNUMBER(V20),IF(AT$2="x",(V20-MIN(V$4:V$14))/(MAX(V$4:V$14)-MIN(V$4:V$14)),(MAX(V$4:V$14)-V20)/(MAX(V$4:V$14)-MIN(V$4:V$14))),"")</f>
        <v>1.299540018399264</v>
      </c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64"/>
      <c r="BL20" s="64"/>
      <c r="BM20" s="64"/>
      <c r="BN20" s="64"/>
      <c r="BO20" s="64"/>
    </row>
    <row r="21" spans="1:67" x14ac:dyDescent="0.3">
      <c r="A21" s="144"/>
      <c r="B21" s="145"/>
      <c r="C21" s="145"/>
      <c r="D21" s="145"/>
      <c r="E21" s="145"/>
      <c r="F21" s="145"/>
      <c r="G21" s="145"/>
      <c r="H21" s="145"/>
      <c r="I21" s="149"/>
      <c r="K21" t="s">
        <v>1145</v>
      </c>
      <c r="L21" s="300"/>
      <c r="M21" s="321"/>
      <c r="N21" s="170"/>
      <c r="O21" s="170"/>
      <c r="P21" s="170"/>
      <c r="Q21" s="300"/>
      <c r="R21" s="300"/>
      <c r="S21" s="170">
        <v>13952798</v>
      </c>
      <c r="T21" s="170">
        <v>16</v>
      </c>
      <c r="U21" s="171">
        <v>3138604</v>
      </c>
      <c r="V21" s="171">
        <v>59</v>
      </c>
      <c r="Z21" s="171"/>
      <c r="AA21" s="145"/>
      <c r="AB21" s="145"/>
      <c r="AC21" s="145"/>
      <c r="AD21" s="145"/>
      <c r="AE21" s="300"/>
      <c r="AF21" s="300"/>
      <c r="AG21" s="300"/>
      <c r="AH21" s="300"/>
      <c r="AI21" s="170">
        <v>13952798</v>
      </c>
      <c r="AJ21" s="170">
        <v>16</v>
      </c>
      <c r="AK21" s="171">
        <v>3138604</v>
      </c>
      <c r="AL21" s="171">
        <v>59</v>
      </c>
      <c r="AM21" s="171"/>
      <c r="AN21" s="171"/>
      <c r="AO21" s="171"/>
      <c r="AP21" s="171"/>
      <c r="AQ21" s="155"/>
      <c r="AR21" s="155">
        <f>IF(ISNUMBER(T21),IF(AR$2="x",(T21-MIN(T$4:T$14))/(MAX(T$4:T$14)-MIN(T$4:T$14)),(MAX(T$4:T$14)-T21)/(MAX(T$4:T$14)-MIN(T$4:T$14))),"")</f>
        <v>1.415151515151515</v>
      </c>
      <c r="AS21" s="155"/>
      <c r="AT21" s="155">
        <f>IF(ISNUMBER(V21),IF(AT$2="x",(V21-MIN(V$4:V$14))/(MAX(V$4:V$14)-MIN(V$4:V$14)),(MAX(V$4:V$14)-V21)/(MAX(V$4:V$14)-MIN(V$4:V$14))),"")</f>
        <v>1.2965348052744556</v>
      </c>
      <c r="AU21" s="155"/>
      <c r="AV21" s="155"/>
      <c r="AW21" s="155"/>
      <c r="AX21" s="155"/>
      <c r="AY21" s="155"/>
      <c r="AZ21" s="155"/>
      <c r="BA21" s="155"/>
      <c r="BB21" s="155"/>
      <c r="BC21" s="155"/>
      <c r="BD21" s="155"/>
      <c r="BE21" s="155"/>
      <c r="BF21" s="155"/>
      <c r="BG21" s="155"/>
      <c r="BH21" s="155"/>
      <c r="BI21" s="155"/>
      <c r="BJ21" s="155"/>
      <c r="BK21" s="64"/>
      <c r="BL21" s="64"/>
      <c r="BM21" s="64"/>
      <c r="BN21" s="64"/>
      <c r="BO21" s="64"/>
    </row>
    <row r="22" spans="1:67" x14ac:dyDescent="0.3">
      <c r="A22" s="144"/>
      <c r="B22" s="145"/>
      <c r="C22" s="145"/>
      <c r="D22" s="145"/>
      <c r="E22" s="145"/>
      <c r="F22" s="145"/>
      <c r="G22" s="145"/>
      <c r="H22" s="145"/>
      <c r="I22" s="149"/>
      <c r="K22" t="s">
        <v>1146</v>
      </c>
      <c r="L22" s="300"/>
      <c r="M22" s="321"/>
      <c r="N22" s="170"/>
      <c r="O22" s="170"/>
      <c r="P22" s="170"/>
      <c r="Q22" s="300"/>
      <c r="R22" s="300"/>
      <c r="S22" s="170"/>
      <c r="T22" s="170"/>
      <c r="U22" s="171"/>
      <c r="V22" s="171"/>
      <c r="Z22" s="171"/>
      <c r="AA22" s="145"/>
      <c r="AB22" s="145"/>
      <c r="AC22" s="145"/>
      <c r="AD22" s="145"/>
      <c r="AE22" s="300"/>
      <c r="AF22" s="300"/>
      <c r="AG22" s="300"/>
      <c r="AH22" s="300"/>
      <c r="AI22" s="300">
        <v>12947</v>
      </c>
      <c r="AJ22" s="300">
        <v>24674</v>
      </c>
      <c r="AK22" s="300">
        <v>2949</v>
      </c>
      <c r="AL22" s="300">
        <v>93082</v>
      </c>
      <c r="AM22" s="300"/>
      <c r="AN22" s="300"/>
      <c r="AO22" s="300"/>
      <c r="AP22" s="300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64"/>
      <c r="BL22" s="64"/>
      <c r="BM22" s="64"/>
      <c r="BN22" s="64"/>
      <c r="BO22" s="64"/>
    </row>
    <row r="23" spans="1:67" x14ac:dyDescent="0.3">
      <c r="A23" s="144"/>
      <c r="B23" s="145"/>
      <c r="C23" s="145"/>
      <c r="D23" s="145"/>
      <c r="E23" s="145"/>
      <c r="F23" s="145"/>
      <c r="G23" s="145"/>
      <c r="H23" s="145"/>
      <c r="I23" s="149"/>
      <c r="K23" t="s">
        <v>1147</v>
      </c>
      <c r="L23" s="300"/>
      <c r="M23" s="321"/>
      <c r="N23" s="170"/>
      <c r="O23" s="170"/>
      <c r="P23" s="170"/>
      <c r="Q23" s="300"/>
      <c r="R23" s="300"/>
      <c r="S23" s="170"/>
      <c r="T23" s="170"/>
      <c r="U23" s="171"/>
      <c r="V23" s="171"/>
      <c r="Z23" s="171"/>
      <c r="AA23" s="145"/>
      <c r="AB23" s="145"/>
      <c r="AC23" s="145"/>
      <c r="AD23" s="145"/>
      <c r="AE23" s="300"/>
      <c r="AF23" s="300"/>
      <c r="AG23" s="300"/>
      <c r="AH23" s="300"/>
      <c r="AI23" s="300">
        <v>804232</v>
      </c>
      <c r="AJ23" s="300">
        <v>242</v>
      </c>
      <c r="AK23" s="300">
        <v>99167</v>
      </c>
      <c r="AL23" s="300">
        <v>1323</v>
      </c>
      <c r="AM23" s="300"/>
      <c r="AN23" s="300"/>
      <c r="AO23" s="300"/>
      <c r="AP23" s="300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64"/>
      <c r="BL23" s="64"/>
      <c r="BM23" s="64"/>
      <c r="BN23" s="64"/>
      <c r="BO23" s="64"/>
    </row>
    <row r="24" spans="1:67" x14ac:dyDescent="0.3">
      <c r="A24" s="144" t="s">
        <v>544</v>
      </c>
      <c r="B24" s="145">
        <v>2784</v>
      </c>
      <c r="C24" s="145">
        <v>9773</v>
      </c>
      <c r="D24" s="145">
        <v>3989</v>
      </c>
      <c r="E24" s="145">
        <v>8436</v>
      </c>
      <c r="F24" s="145">
        <v>762</v>
      </c>
      <c r="G24" s="145">
        <v>11583</v>
      </c>
      <c r="H24" s="145">
        <v>6805</v>
      </c>
      <c r="I24" s="149">
        <v>11446</v>
      </c>
      <c r="K24" s="144" t="s">
        <v>372</v>
      </c>
      <c r="W24" t="s">
        <v>280</v>
      </c>
      <c r="Y24" s="207"/>
      <c r="Z24" s="207"/>
      <c r="AA24" s="145">
        <v>1740046</v>
      </c>
      <c r="AB24" s="145">
        <v>247</v>
      </c>
      <c r="AC24" s="145">
        <v>354295</v>
      </c>
      <c r="AD24" s="145">
        <v>955</v>
      </c>
      <c r="AQ24" s="174">
        <f t="shared" ref="AQ24:BJ24" si="5">IF(AQ4&lt;&gt;"",(AQ4-MAX(AQ$4:AQ$14))^2,"")</f>
        <v>0.58790207575233677</v>
      </c>
      <c r="AR24" s="174">
        <f t="shared" si="5"/>
        <v>0.93871009114435122</v>
      </c>
      <c r="AS24" s="174">
        <f t="shared" si="5"/>
        <v>0.57173948186702994</v>
      </c>
      <c r="AT24" s="174">
        <f t="shared" si="5"/>
        <v>0.71053370936817439</v>
      </c>
      <c r="AU24" s="174">
        <f t="shared" si="5"/>
        <v>0.68684653545076968</v>
      </c>
      <c r="AV24" s="174">
        <f t="shared" si="5"/>
        <v>0.59853631862754386</v>
      </c>
      <c r="AW24" s="174">
        <f t="shared" si="5"/>
        <v>1</v>
      </c>
      <c r="AX24" s="174">
        <f t="shared" si="5"/>
        <v>1</v>
      </c>
      <c r="AY24" s="174">
        <f t="shared" si="5"/>
        <v>0.71909005607237009</v>
      </c>
      <c r="AZ24" s="174">
        <f t="shared" si="5"/>
        <v>0.42848050336195959</v>
      </c>
      <c r="BA24" s="174">
        <f t="shared" si="5"/>
        <v>0.98948475828290328</v>
      </c>
      <c r="BB24" s="174">
        <f t="shared" si="5"/>
        <v>1</v>
      </c>
      <c r="BC24" s="174">
        <f t="shared" si="5"/>
        <v>0.53740408166873466</v>
      </c>
      <c r="BD24" s="174">
        <f t="shared" si="5"/>
        <v>5.0196768928065724E-2</v>
      </c>
      <c r="BE24" s="174">
        <f t="shared" si="5"/>
        <v>0.52497080430631327</v>
      </c>
      <c r="BF24" s="174">
        <f t="shared" si="5"/>
        <v>1.8838908112264501E-2</v>
      </c>
      <c r="BG24" s="174">
        <f t="shared" si="5"/>
        <v>0.5321230335578393</v>
      </c>
      <c r="BH24" s="174">
        <f t="shared" si="5"/>
        <v>4.6885121594034344E-2</v>
      </c>
      <c r="BI24" s="174">
        <f t="shared" si="5"/>
        <v>0.52224715829709956</v>
      </c>
      <c r="BJ24" s="174">
        <f t="shared" si="5"/>
        <v>4.298477997409425E-2</v>
      </c>
      <c r="BK24" s="64"/>
      <c r="BL24" s="64"/>
      <c r="BM24" s="64"/>
      <c r="BN24" s="64"/>
    </row>
    <row r="25" spans="1:67" x14ac:dyDescent="0.3">
      <c r="A25" s="144"/>
      <c r="B25" s="145"/>
      <c r="C25" s="145"/>
      <c r="D25" s="145"/>
      <c r="E25" s="145"/>
      <c r="F25" s="145"/>
      <c r="G25" s="145"/>
      <c r="H25" s="149"/>
      <c r="I25" s="149"/>
      <c r="K25" s="148" t="s">
        <v>541</v>
      </c>
      <c r="W25" s="207" t="s">
        <v>1096</v>
      </c>
      <c r="AA25" s="145">
        <v>1925512</v>
      </c>
      <c r="AB25" s="145">
        <v>210</v>
      </c>
      <c r="AC25" s="145">
        <v>454051</v>
      </c>
      <c r="AD25" s="145">
        <v>739</v>
      </c>
      <c r="AQ25" s="174" t="str">
        <f t="shared" ref="AQ25:BJ25" si="6">IF(AQ5&lt;&gt;"",(AQ5-MAX(AQ$4:AQ$14))^2,"")</f>
        <v/>
      </c>
      <c r="AR25" s="174" t="str">
        <f t="shared" si="6"/>
        <v/>
      </c>
      <c r="AS25" s="174" t="str">
        <f t="shared" si="6"/>
        <v/>
      </c>
      <c r="AT25" s="174" t="str">
        <f t="shared" si="6"/>
        <v/>
      </c>
      <c r="AU25" s="174" t="str">
        <f t="shared" si="6"/>
        <v/>
      </c>
      <c r="AV25" s="174" t="str">
        <f t="shared" si="6"/>
        <v/>
      </c>
      <c r="AW25" s="174" t="str">
        <f t="shared" si="6"/>
        <v/>
      </c>
      <c r="AX25" s="174" t="str">
        <f t="shared" si="6"/>
        <v/>
      </c>
      <c r="AY25" s="174">
        <f t="shared" si="6"/>
        <v>0.85168813356149431</v>
      </c>
      <c r="AZ25" s="174">
        <f t="shared" si="6"/>
        <v>0.50171093966657732</v>
      </c>
      <c r="BA25" s="174">
        <f t="shared" si="6"/>
        <v>1</v>
      </c>
      <c r="BB25" s="174">
        <f t="shared" si="6"/>
        <v>0.97757080671603824</v>
      </c>
      <c r="BC25" s="174">
        <f t="shared" si="6"/>
        <v>0.87062630074653202</v>
      </c>
      <c r="BD25" s="174">
        <f t="shared" si="6"/>
        <v>0.67301781447181308</v>
      </c>
      <c r="BE25" s="174">
        <f t="shared" si="6"/>
        <v>1</v>
      </c>
      <c r="BF25" s="174">
        <f t="shared" si="6"/>
        <v>1</v>
      </c>
      <c r="BG25" s="174">
        <f t="shared" si="6"/>
        <v>0.81860629018996967</v>
      </c>
      <c r="BH25" s="174">
        <f t="shared" si="6"/>
        <v>0.34826541355614105</v>
      </c>
      <c r="BI25" s="174">
        <f t="shared" si="6"/>
        <v>0.90700838009443885</v>
      </c>
      <c r="BJ25" s="174">
        <f t="shared" si="6"/>
        <v>0.52698564969952366</v>
      </c>
      <c r="BL25" s="64"/>
    </row>
    <row r="26" spans="1:67" x14ac:dyDescent="0.3">
      <c r="A26" s="144"/>
      <c r="B26" s="145"/>
      <c r="C26" s="145"/>
      <c r="D26" s="145"/>
      <c r="E26" s="145"/>
      <c r="F26" s="145"/>
      <c r="G26" s="145"/>
      <c r="H26" s="145"/>
      <c r="I26" s="147"/>
      <c r="K26" s="144" t="s">
        <v>90</v>
      </c>
      <c r="L26" s="145">
        <v>1329033283</v>
      </c>
      <c r="M26" s="146">
        <f t="shared" ref="M26" si="7">ABS($J$1-L26)/$J$1</f>
        <v>0.10752773583333333</v>
      </c>
      <c r="Q26">
        <v>1771</v>
      </c>
      <c r="W26" s="207" t="s">
        <v>1097</v>
      </c>
      <c r="AA26" s="149">
        <v>1926442</v>
      </c>
      <c r="AB26" s="145">
        <v>204</v>
      </c>
      <c r="AC26" s="149">
        <v>482534</v>
      </c>
      <c r="AD26" s="149">
        <v>712</v>
      </c>
      <c r="AQ26" s="174">
        <f t="shared" ref="AQ26:BJ26" si="8">IF(AQ6&lt;&gt;"",(AQ6-MAX(AQ$4:AQ$14))^2,"")</f>
        <v>0.90706609350910128</v>
      </c>
      <c r="AR26" s="174">
        <f t="shared" si="8"/>
        <v>1</v>
      </c>
      <c r="AS26" s="174">
        <f t="shared" si="8"/>
        <v>1</v>
      </c>
      <c r="AT26" s="174">
        <f t="shared" si="8"/>
        <v>1</v>
      </c>
      <c r="AU26" s="174">
        <f t="shared" si="8"/>
        <v>0.82128641491599075</v>
      </c>
      <c r="AV26" s="174">
        <f t="shared" si="8"/>
        <v>1</v>
      </c>
      <c r="AW26" s="174">
        <f t="shared" si="8"/>
        <v>0.89068669945643797</v>
      </c>
      <c r="AX26" s="174">
        <f t="shared" si="8"/>
        <v>0.91939599070501465</v>
      </c>
      <c r="AY26" s="174">
        <f t="shared" si="8"/>
        <v>0.8707282598970939</v>
      </c>
      <c r="AZ26" s="174">
        <f t="shared" si="8"/>
        <v>0.97794809079791412</v>
      </c>
      <c r="BA26" s="174">
        <f t="shared" si="8"/>
        <v>0.90999021715898021</v>
      </c>
      <c r="BB26" s="174">
        <f t="shared" si="8"/>
        <v>0.69561656687867912</v>
      </c>
      <c r="BC26" s="174">
        <f t="shared" si="8"/>
        <v>0.83449889128767973</v>
      </c>
      <c r="BD26" s="174">
        <f t="shared" si="8"/>
        <v>0.21532109392286061</v>
      </c>
      <c r="BE26" s="174">
        <f t="shared" si="8"/>
        <v>0.90820092014612819</v>
      </c>
      <c r="BF26" s="174">
        <f t="shared" si="8"/>
        <v>0.12264368095725549</v>
      </c>
      <c r="BG26" s="174">
        <f t="shared" si="8"/>
        <v>0.83327682028336847</v>
      </c>
      <c r="BH26" s="174">
        <f t="shared" si="8"/>
        <v>0.21216064153079325</v>
      </c>
      <c r="BI26" s="174">
        <f t="shared" si="8"/>
        <v>0.92264066628009311</v>
      </c>
      <c r="BJ26" s="174">
        <f t="shared" si="8"/>
        <v>0.29964402221038272</v>
      </c>
      <c r="BK26" s="64"/>
      <c r="BL26" s="64"/>
      <c r="BM26" s="64"/>
    </row>
    <row r="27" spans="1:67" x14ac:dyDescent="0.3">
      <c r="K27" s="144" t="s">
        <v>89</v>
      </c>
      <c r="R27" t="s">
        <v>1115</v>
      </c>
      <c r="S27" t="s">
        <v>1116</v>
      </c>
      <c r="W27" s="207" t="s">
        <v>1112</v>
      </c>
      <c r="AA27" s="149">
        <v>1953403</v>
      </c>
      <c r="AB27" s="149">
        <v>202</v>
      </c>
      <c r="AC27" s="149">
        <v>499296</v>
      </c>
      <c r="AD27" s="149">
        <v>694</v>
      </c>
      <c r="AQ27" s="174">
        <f t="shared" ref="AQ27:BJ27" si="9">IF(AQ7&lt;&gt;"",(AQ7-MAX(AQ$4:AQ$14))^2,"")</f>
        <v>0.1244636944929587</v>
      </c>
      <c r="AR27" s="174">
        <f t="shared" si="9"/>
        <v>2.2129635953828275E-2</v>
      </c>
      <c r="AS27" s="174">
        <f t="shared" si="9"/>
        <v>5.5322450554861673E-2</v>
      </c>
      <c r="AT27" s="174">
        <f t="shared" si="9"/>
        <v>1.6273653459463171E-2</v>
      </c>
      <c r="AU27" s="174">
        <f t="shared" si="9"/>
        <v>0</v>
      </c>
      <c r="AV27" s="174">
        <f t="shared" si="9"/>
        <v>0</v>
      </c>
      <c r="AW27" s="174">
        <f t="shared" si="9"/>
        <v>0</v>
      </c>
      <c r="AX27" s="174">
        <f t="shared" si="9"/>
        <v>0</v>
      </c>
      <c r="AY27" s="174">
        <f t="shared" si="9"/>
        <v>0</v>
      </c>
      <c r="AZ27" s="174">
        <f t="shared" si="9"/>
        <v>0</v>
      </c>
      <c r="BA27" s="174">
        <f t="shared" si="9"/>
        <v>0</v>
      </c>
      <c r="BB27" s="174">
        <f t="shared" si="9"/>
        <v>0</v>
      </c>
      <c r="BC27" s="174">
        <f t="shared" si="9"/>
        <v>0</v>
      </c>
      <c r="BD27" s="174">
        <f t="shared" si="9"/>
        <v>0</v>
      </c>
      <c r="BE27" s="174">
        <f t="shared" si="9"/>
        <v>0</v>
      </c>
      <c r="BF27" s="174">
        <f t="shared" si="9"/>
        <v>0</v>
      </c>
      <c r="BG27" s="174">
        <f t="shared" si="9"/>
        <v>0</v>
      </c>
      <c r="BH27" s="174">
        <f t="shared" si="9"/>
        <v>0</v>
      </c>
      <c r="BI27" s="174">
        <f t="shared" si="9"/>
        <v>0</v>
      </c>
      <c r="BJ27" s="174">
        <f t="shared" si="9"/>
        <v>0</v>
      </c>
      <c r="BK27" s="64"/>
      <c r="BL27" s="64"/>
      <c r="BM27" s="64"/>
    </row>
    <row r="28" spans="1:67" x14ac:dyDescent="0.3">
      <c r="K28" s="144" t="s">
        <v>461</v>
      </c>
      <c r="L28" s="145">
        <v>1308573201</v>
      </c>
      <c r="Q28">
        <v>1692</v>
      </c>
      <c r="R28" s="77">
        <f>1691/Q28</f>
        <v>0.99940898345153661</v>
      </c>
      <c r="S28" s="77">
        <f>1689/Q28</f>
        <v>0.99822695035460995</v>
      </c>
      <c r="W28" s="207" t="s">
        <v>1110</v>
      </c>
      <c r="AA28" s="149">
        <v>1996773</v>
      </c>
      <c r="AB28" s="149">
        <v>195</v>
      </c>
      <c r="AC28" s="149">
        <v>506032</v>
      </c>
      <c r="AD28" s="149">
        <v>677</v>
      </c>
      <c r="AQ28" s="174">
        <f t="shared" ref="AQ28:BJ28" si="10">IF(AQ10&lt;&gt;"",(AQ10-MAX(AQ$4:AQ$14))^2,"")</f>
        <v>0.37653900555731457</v>
      </c>
      <c r="AR28" s="174">
        <f t="shared" si="10"/>
        <v>3.6397787036404564E-3</v>
      </c>
      <c r="AS28" s="174">
        <f t="shared" si="10"/>
        <v>0</v>
      </c>
      <c r="AT28" s="174">
        <f t="shared" si="10"/>
        <v>0</v>
      </c>
      <c r="AU28" s="174">
        <f t="shared" si="10"/>
        <v>0.89813569823144868</v>
      </c>
      <c r="AV28" s="174">
        <f t="shared" si="10"/>
        <v>0.29612657953920957</v>
      </c>
      <c r="AW28" s="174">
        <f t="shared" si="10"/>
        <v>0.72333528301823191</v>
      </c>
      <c r="AX28" s="174">
        <f t="shared" si="10"/>
        <v>0.13036560338162914</v>
      </c>
      <c r="AY28" s="174">
        <f t="shared" si="10"/>
        <v>0.71122231218015342</v>
      </c>
      <c r="AZ28" s="174">
        <f t="shared" si="10"/>
        <v>7.7780333786443931E-2</v>
      </c>
      <c r="BA28" s="174">
        <f t="shared" si="10"/>
        <v>0.6825139946743588</v>
      </c>
      <c r="BB28" s="174">
        <f t="shared" si="10"/>
        <v>3.732485115540974E-2</v>
      </c>
      <c r="BC28" s="174">
        <f t="shared" si="10"/>
        <v>0.71957846269423886</v>
      </c>
      <c r="BD28" s="174">
        <f t="shared" si="10"/>
        <v>7.9245920008691947E-2</v>
      </c>
      <c r="BE28" s="174">
        <f t="shared" si="10"/>
        <v>0.69499575601274366</v>
      </c>
      <c r="BF28" s="174">
        <f t="shared" si="10"/>
        <v>2.6918140441470187E-2</v>
      </c>
      <c r="BG28" s="174">
        <f t="shared" si="10"/>
        <v>0.71953911645793944</v>
      </c>
      <c r="BH28" s="174">
        <f t="shared" si="10"/>
        <v>7.9127052409606616E-2</v>
      </c>
      <c r="BI28" s="174">
        <f t="shared" si="10"/>
        <v>0.7102051917269564</v>
      </c>
      <c r="BJ28" s="174">
        <f t="shared" si="10"/>
        <v>6.7957318854482168E-2</v>
      </c>
      <c r="BK28" s="64"/>
      <c r="BL28" s="64"/>
      <c r="BM28" s="64"/>
    </row>
    <row r="29" spans="1:67" x14ac:dyDescent="0.3">
      <c r="K29" s="148" t="s">
        <v>384</v>
      </c>
      <c r="L29" s="145">
        <v>2072607534</v>
      </c>
      <c r="Q29">
        <v>5146</v>
      </c>
      <c r="R29" s="77">
        <f>5145/Q29</f>
        <v>0.99980567431014378</v>
      </c>
      <c r="S29" s="77">
        <f>5142/Q29</f>
        <v>0.99922269724057522</v>
      </c>
      <c r="U29" t="s">
        <v>1117</v>
      </c>
      <c r="W29" s="207" t="s">
        <v>1111</v>
      </c>
      <c r="AA29" s="74">
        <v>895287</v>
      </c>
      <c r="AB29" s="149">
        <v>671</v>
      </c>
      <c r="AC29" s="149">
        <v>218596</v>
      </c>
      <c r="AD29" s="149">
        <v>2435</v>
      </c>
      <c r="AQ29" s="174">
        <f t="shared" ref="AQ29:BJ29" si="11">IF(AQ11&lt;&gt;"",(AQ11-MAX(AQ$4:AQ$14))^2,"")</f>
        <v>0.62822643260322097</v>
      </c>
      <c r="AR29" s="174">
        <f t="shared" si="11"/>
        <v>6.3398523173128704E-2</v>
      </c>
      <c r="AS29" s="174">
        <f t="shared" si="11"/>
        <v>8.4140249185703592E-2</v>
      </c>
      <c r="AT29" s="174">
        <f t="shared" si="11"/>
        <v>1.6953461409739468E-2</v>
      </c>
      <c r="AU29" s="174">
        <f t="shared" si="11"/>
        <v>0.95955807940779925</v>
      </c>
      <c r="AV29" s="174">
        <f t="shared" si="11"/>
        <v>0.65864836496945611</v>
      </c>
      <c r="AW29" s="174">
        <f t="shared" si="11"/>
        <v>0.8274828319742108</v>
      </c>
      <c r="AX29" s="174">
        <f t="shared" si="11"/>
        <v>0.32812751404711499</v>
      </c>
      <c r="AY29" s="174">
        <f t="shared" si="11"/>
        <v>0.97175889506968127</v>
      </c>
      <c r="AZ29" s="174">
        <f t="shared" si="11"/>
        <v>0.7951011315642319</v>
      </c>
      <c r="BA29" s="174">
        <f t="shared" si="11"/>
        <v>0.87306936539006097</v>
      </c>
      <c r="BB29" s="174">
        <f t="shared" si="11"/>
        <v>0.3157232222581654</v>
      </c>
      <c r="BC29" s="174">
        <f t="shared" si="11"/>
        <v>0.95290101576023212</v>
      </c>
      <c r="BD29" s="174">
        <f t="shared" si="11"/>
        <v>0.42303372711988524</v>
      </c>
      <c r="BE29" s="174">
        <f t="shared" si="11"/>
        <v>0.8939183306672579</v>
      </c>
      <c r="BF29" s="174">
        <f t="shared" si="11"/>
        <v>0.13696412059346483</v>
      </c>
      <c r="BG29" s="174">
        <f t="shared" si="11"/>
        <v>0.95280177366445862</v>
      </c>
      <c r="BH29" s="174">
        <f t="shared" si="11"/>
        <v>0.421966094346309</v>
      </c>
      <c r="BI29" s="174">
        <f t="shared" si="11"/>
        <v>0.91618715015704866</v>
      </c>
      <c r="BJ29" s="174">
        <f t="shared" si="11"/>
        <v>0.34638307608676999</v>
      </c>
      <c r="BK29" s="64"/>
      <c r="BL29" s="64"/>
      <c r="BM29" s="64"/>
    </row>
    <row r="30" spans="1:67" x14ac:dyDescent="0.3">
      <c r="K30" s="154" t="s">
        <v>94</v>
      </c>
      <c r="L30" s="145">
        <v>1363796173</v>
      </c>
      <c r="M30" s="146">
        <f t="shared" ref="M30" si="12">ABS($J$1-L30)/$J$1</f>
        <v>0.13649681083333334</v>
      </c>
      <c r="N30" s="147">
        <v>0</v>
      </c>
      <c r="O30" s="147">
        <v>35.950000000000003</v>
      </c>
      <c r="P30" s="147">
        <f t="shared" ref="P30" si="13">100-O30</f>
        <v>64.05</v>
      </c>
      <c r="Q30" s="145">
        <v>1910</v>
      </c>
      <c r="R30" s="145">
        <v>9850160</v>
      </c>
      <c r="W30" s="207" t="s">
        <v>1118</v>
      </c>
      <c r="AA30" s="145">
        <v>1831717</v>
      </c>
      <c r="AB30" s="145">
        <v>212</v>
      </c>
      <c r="AC30" s="145">
        <v>444525</v>
      </c>
      <c r="AD30" s="145">
        <v>762</v>
      </c>
      <c r="AQ30" s="174">
        <f t="shared" ref="AQ30:BJ30" si="14">IF(AQ12&lt;&gt;"",(AQ12-MAX(AQ$4:AQ$14))^2,"")</f>
        <v>0.67160101566316999</v>
      </c>
      <c r="AR30" s="174">
        <f t="shared" si="14"/>
        <v>0.68483603882552035</v>
      </c>
      <c r="AS30" s="174">
        <f t="shared" si="14"/>
        <v>0.65574840752270036</v>
      </c>
      <c r="AT30" s="174">
        <f t="shared" si="14"/>
        <v>0.50693002646857221</v>
      </c>
      <c r="AU30" s="174" t="str">
        <f t="shared" si="14"/>
        <v/>
      </c>
      <c r="AV30" s="174" t="str">
        <f t="shared" si="14"/>
        <v/>
      </c>
      <c r="AW30" s="174" t="str">
        <f t="shared" si="14"/>
        <v/>
      </c>
      <c r="AX30" s="174" t="str">
        <f t="shared" si="14"/>
        <v/>
      </c>
      <c r="AY30" s="174" t="str">
        <f t="shared" si="14"/>
        <v/>
      </c>
      <c r="AZ30" s="174" t="str">
        <f t="shared" si="14"/>
        <v/>
      </c>
      <c r="BA30" s="174" t="str">
        <f t="shared" si="14"/>
        <v/>
      </c>
      <c r="BB30" s="174" t="str">
        <f t="shared" si="14"/>
        <v/>
      </c>
      <c r="BC30" s="174" t="str">
        <f t="shared" si="14"/>
        <v/>
      </c>
      <c r="BD30" s="174" t="str">
        <f t="shared" si="14"/>
        <v/>
      </c>
      <c r="BE30" s="174" t="str">
        <f t="shared" si="14"/>
        <v/>
      </c>
      <c r="BF30" s="174" t="str">
        <f t="shared" si="14"/>
        <v/>
      </c>
      <c r="BG30" s="174" t="str">
        <f t="shared" si="14"/>
        <v/>
      </c>
      <c r="BH30" s="174" t="str">
        <f t="shared" si="14"/>
        <v/>
      </c>
      <c r="BI30" s="174" t="str">
        <f t="shared" si="14"/>
        <v/>
      </c>
      <c r="BJ30" s="174" t="str">
        <f t="shared" si="14"/>
        <v/>
      </c>
      <c r="BK30" s="64"/>
      <c r="BL30" s="64"/>
      <c r="BM30" s="64"/>
    </row>
    <row r="31" spans="1:67" x14ac:dyDescent="0.3">
      <c r="K31" s="144" t="s">
        <v>93</v>
      </c>
      <c r="AQ31" s="174">
        <f t="shared" ref="AQ31:BJ31" si="15">IF(AQ13&lt;&gt;"",(AQ13-MAX(AQ$4:AQ$14))^2,"")</f>
        <v>0</v>
      </c>
      <c r="AR31" s="174">
        <f t="shared" si="15"/>
        <v>0</v>
      </c>
      <c r="AS31" s="174">
        <f t="shared" si="15"/>
        <v>2.0780581701620501E-2</v>
      </c>
      <c r="AT31" s="174">
        <f t="shared" si="15"/>
        <v>2.7240652988620336E-3</v>
      </c>
      <c r="AU31" s="174">
        <f t="shared" si="15"/>
        <v>0.46633464381287154</v>
      </c>
      <c r="AV31" s="174">
        <f t="shared" si="15"/>
        <v>4.9653358731074709E-2</v>
      </c>
      <c r="AW31" s="174">
        <f t="shared" si="15"/>
        <v>0.6706700135329583</v>
      </c>
      <c r="AX31" s="174">
        <f t="shared" si="15"/>
        <v>8.4050786755677953E-2</v>
      </c>
      <c r="AY31" s="174">
        <f t="shared" si="15"/>
        <v>0.62339512898564475</v>
      </c>
      <c r="AZ31" s="174">
        <f t="shared" si="15"/>
        <v>7.425334491114334E-2</v>
      </c>
      <c r="BA31" s="174">
        <f t="shared" si="15"/>
        <v>0.81127303068395951</v>
      </c>
      <c r="BB31" s="174">
        <f t="shared" si="15"/>
        <v>9.2225213550710172E-2</v>
      </c>
      <c r="BC31" s="174">
        <f t="shared" si="15"/>
        <v>0.47972709977735795</v>
      </c>
      <c r="BD31" s="174">
        <f t="shared" si="15"/>
        <v>1.6871137394116779E-2</v>
      </c>
      <c r="BE31" s="174">
        <f t="shared" si="15"/>
        <v>0.51273075321790618</v>
      </c>
      <c r="BF31" s="174">
        <f t="shared" si="15"/>
        <v>7.7774222129068458E-3</v>
      </c>
      <c r="BG31" s="174">
        <f t="shared" si="15"/>
        <v>0.47805576512794656</v>
      </c>
      <c r="BH31" s="174">
        <f t="shared" si="15"/>
        <v>1.6528836811959373E-2</v>
      </c>
      <c r="BI31" s="174">
        <f t="shared" si="15"/>
        <v>0.51871640876358804</v>
      </c>
      <c r="BJ31" s="174">
        <f t="shared" si="15"/>
        <v>1.9157972865006291E-2</v>
      </c>
      <c r="BK31" s="64"/>
      <c r="BL31" s="64"/>
      <c r="BM31" s="64"/>
    </row>
    <row r="32" spans="1:67" x14ac:dyDescent="0.3">
      <c r="K32" s="144" t="s">
        <v>92</v>
      </c>
      <c r="AQ32" s="174">
        <f t="shared" ref="AQ32:BJ32" si="16">IF(AQ14&lt;&gt;"",(AQ14-MAX(AQ$4:AQ$14))^2,"")</f>
        <v>1</v>
      </c>
      <c r="AR32" s="174">
        <f t="shared" si="16"/>
        <v>0.18921301671865154</v>
      </c>
      <c r="AS32" s="174">
        <f t="shared" si="16"/>
        <v>0.57106664934881823</v>
      </c>
      <c r="AT32" s="174">
        <f t="shared" si="16"/>
        <v>6.19721404336099E-2</v>
      </c>
      <c r="AU32" s="174">
        <f t="shared" si="16"/>
        <v>1</v>
      </c>
      <c r="AV32" s="174">
        <f t="shared" si="16"/>
        <v>0.81197148744896364</v>
      </c>
      <c r="AW32" s="174">
        <f t="shared" si="16"/>
        <v>0.99853267583078908</v>
      </c>
      <c r="AX32" s="174">
        <f t="shared" si="16"/>
        <v>0.53581128722756666</v>
      </c>
      <c r="AY32" s="174">
        <f t="shared" si="16"/>
        <v>1</v>
      </c>
      <c r="AZ32" s="174">
        <f t="shared" si="16"/>
        <v>1</v>
      </c>
      <c r="BA32" s="174">
        <f t="shared" si="16"/>
        <v>0.97094508529783241</v>
      </c>
      <c r="BB32" s="174">
        <f t="shared" si="16"/>
        <v>0.50615148694599732</v>
      </c>
      <c r="BC32" s="174">
        <f t="shared" si="16"/>
        <v>1</v>
      </c>
      <c r="BD32" s="174">
        <f t="shared" si="16"/>
        <v>1</v>
      </c>
      <c r="BE32" s="174">
        <f t="shared" si="16"/>
        <v>0.97545493981362497</v>
      </c>
      <c r="BF32" s="174">
        <f t="shared" si="16"/>
        <v>0.39461083424875693</v>
      </c>
      <c r="BG32" s="174">
        <f t="shared" si="16"/>
        <v>1</v>
      </c>
      <c r="BH32" s="174">
        <f t="shared" si="16"/>
        <v>1</v>
      </c>
      <c r="BI32" s="174">
        <f t="shared" si="16"/>
        <v>1</v>
      </c>
      <c r="BJ32" s="174">
        <f t="shared" si="16"/>
        <v>1</v>
      </c>
      <c r="BK32" s="64"/>
      <c r="BL32" s="64"/>
      <c r="BM32" s="64"/>
    </row>
    <row r="33" spans="11:72" x14ac:dyDescent="0.3">
      <c r="K33" s="154" t="s">
        <v>290</v>
      </c>
      <c r="AH33" t="s">
        <v>559</v>
      </c>
      <c r="AQ33" s="174">
        <f>SQRT(SUM(AQ$24:AQ$32)/COUNTIF(AQ$24:AQ$32,"&lt;&gt;"))</f>
        <v>0.69087692404316459</v>
      </c>
      <c r="AR33" s="174">
        <f t="shared" ref="AR33:AX33" si="17">SQRT(SUM(AR$24:AR$32)/COUNTIF(AR$24:AR$32,"&lt;&gt;"))</f>
        <v>0.56783478470797</v>
      </c>
      <c r="AS33" s="174">
        <f t="shared" si="17"/>
        <v>0.57337188050462928</v>
      </c>
      <c r="AT33" s="174">
        <f t="shared" si="17"/>
        <v>0.50721319826396272</v>
      </c>
      <c r="AU33" s="174">
        <f t="shared" si="17"/>
        <v>0.73273925723342181</v>
      </c>
      <c r="AV33" s="174">
        <f t="shared" si="17"/>
        <v>0.61598485815771731</v>
      </c>
      <c r="AW33" s="174">
        <f t="shared" si="17"/>
        <v>0.7535624654350257</v>
      </c>
      <c r="AX33" s="174">
        <f t="shared" si="17"/>
        <v>0.57713383602043911</v>
      </c>
      <c r="AY33" s="174">
        <f t="shared" ref="AY33:BJ33" si="18">SQRT(SUM(AY$24:AY$32)/COUNTIF(AY$24:AY$32,"&lt;&gt;"))</f>
        <v>0.79915808377500475</v>
      </c>
      <c r="AZ33" s="174">
        <f t="shared" si="18"/>
        <v>0.65449508478659169</v>
      </c>
      <c r="BA33" s="174">
        <f t="shared" si="18"/>
        <v>0.83248466462272475</v>
      </c>
      <c r="BB33" s="174">
        <f t="shared" si="18"/>
        <v>0.6346138062287261</v>
      </c>
      <c r="BC33" s="174">
        <f t="shared" si="18"/>
        <v>0.77421902240865892</v>
      </c>
      <c r="BD33" s="174">
        <f t="shared" si="18"/>
        <v>0.52256700387450938</v>
      </c>
      <c r="BE33" s="174">
        <f t="shared" si="18"/>
        <v>0.78246558349332695</v>
      </c>
      <c r="BF33" s="174">
        <f t="shared" si="18"/>
        <v>0.43560342649480294</v>
      </c>
      <c r="BG33" s="174">
        <f t="shared" si="18"/>
        <v>0.76987753710729301</v>
      </c>
      <c r="BH33" s="174">
        <f t="shared" si="18"/>
        <v>0.48590501589517859</v>
      </c>
      <c r="BI33" s="174">
        <f t="shared" si="18"/>
        <v>0.78152308242866542</v>
      </c>
      <c r="BJ33" s="174">
        <f t="shared" si="18"/>
        <v>0.50586700268947049</v>
      </c>
      <c r="BK33" s="64"/>
      <c r="BL33" s="64"/>
      <c r="BM33" s="64"/>
    </row>
    <row r="34" spans="11:72" x14ac:dyDescent="0.3">
      <c r="K34" s="144" t="s">
        <v>372</v>
      </c>
      <c r="AH34" t="s">
        <v>560</v>
      </c>
      <c r="AQ34" s="64">
        <f>IF(AQ24&lt;&gt;"",(AQ24-AVERAGE(AQ$24:AQ$32))/AQ$33,"")</f>
        <v>7.3713977530232552E-2</v>
      </c>
      <c r="AR34" s="64">
        <f t="shared" ref="AR34:AX34" si="19">IF(AR24&lt;&gt;"",(AR24-AVERAGE(AR$24:AR$32))/AR$33,"")</f>
        <v>1.014325330343534</v>
      </c>
      <c r="AS34" s="64">
        <f t="shared" si="19"/>
        <v>0.35210961892088838</v>
      </c>
      <c r="AT34" s="64">
        <f t="shared" si="19"/>
        <v>0.830243236482617</v>
      </c>
      <c r="AU34" s="64">
        <f t="shared" si="19"/>
        <v>-4.7250531723927935E-3</v>
      </c>
      <c r="AV34" s="64">
        <f t="shared" si="19"/>
        <v>0.17969322061256948</v>
      </c>
      <c r="AW34" s="64">
        <f t="shared" si="19"/>
        <v>0.35816397499437125</v>
      </c>
      <c r="AX34" s="64">
        <f t="shared" si="19"/>
        <v>0.99067113283216679</v>
      </c>
      <c r="AY34" s="64">
        <f t="shared" ref="AY34:BJ34" si="20">IF(AY24&lt;&gt;"",(AY24-AVERAGE(AY$24:AY$32))/AY$33,"")</f>
        <v>7.5668114212013786E-4</v>
      </c>
      <c r="AZ34" s="64">
        <f t="shared" si="20"/>
        <v>-8.1633599534969015E-2</v>
      </c>
      <c r="BA34" s="64">
        <f t="shared" si="20"/>
        <v>0.25204692742536289</v>
      </c>
      <c r="BB34" s="64">
        <f t="shared" si="20"/>
        <v>0.86182096291292176</v>
      </c>
      <c r="BC34" s="64">
        <f t="shared" si="20"/>
        <v>-0.17687230080848074</v>
      </c>
      <c r="BD34" s="64">
        <f t="shared" si="20"/>
        <v>-0.49182982640888945</v>
      </c>
      <c r="BE34" s="64">
        <f t="shared" si="20"/>
        <v>-0.20935506579450791</v>
      </c>
      <c r="BF34" s="64">
        <f t="shared" si="20"/>
        <v>-0.44680601292474548</v>
      </c>
      <c r="BG34" s="64">
        <f t="shared" si="20"/>
        <v>-0.17493342754015406</v>
      </c>
      <c r="BH34" s="64">
        <f t="shared" si="20"/>
        <v>-0.45015284115580478</v>
      </c>
      <c r="BI34" s="64">
        <f t="shared" si="20"/>
        <v>-0.21097068637490049</v>
      </c>
      <c r="BJ34" s="64">
        <f t="shared" si="20"/>
        <v>-0.48412788575878729</v>
      </c>
      <c r="BK34" s="64">
        <f>IFERROR(AVERAGEIF($AQ$1:$BF$1,"="&amp;BK$3,$AQ34:$BF34),"")</f>
        <v>0.56759804081931797</v>
      </c>
      <c r="BL34" s="64">
        <f t="shared" ref="BL34:BM42" si="21">IFERROR(AVERAGEIF($AQ$1:$BF$1,"="&amp;BL$3,$AQ34:$BF34),"")</f>
        <v>0.38095081881667869</v>
      </c>
      <c r="BM34" s="64">
        <f t="shared" si="21"/>
        <v>0.25824774298635894</v>
      </c>
      <c r="BN34" s="64">
        <f>IFERROR(AVERAGEIF($AQ$1:$BJ$1,"="&amp;BN$3,$AQ34:$BJ34),"")</f>
        <v>-0.33121580148415591</v>
      </c>
      <c r="BO34" s="64">
        <f>IFERROR(AVERAGEIF($AQ$1:$BJ$1,"="&amp;BO$3,$AQ34:$BJ34),"")</f>
        <v>-0.33004621020741165</v>
      </c>
      <c r="BP34" s="79">
        <f t="shared" ref="BP34:BP42" si="22">IF(BK34&lt;&gt;"",(MAX(BK$34:BK$42)-BK34)/(MAX(BK$34:BK$42)-MIN(BK$34:BK$42)),"")</f>
        <v>0.27971524450516017</v>
      </c>
      <c r="BQ34" s="79">
        <f t="shared" ref="BQ34:BQ42" si="23">IF(BL34&lt;&gt;"",(MAX(BL$34:BL$42)-BL34)/(MAX(BL$34:BL$42)-MIN(BL$34:BL$42)),"")</f>
        <v>9.9740412305165047E-2</v>
      </c>
      <c r="BR34" s="79">
        <f t="shared" ref="BR34:BR42" si="24">IF(BM34&lt;&gt;"",(MAX(BM$34:BM$42)-BM34)/(MAX(BM$34:BM$42)-MIN(BM$34:BM$42)),"")</f>
        <v>9.5150074039708835E-2</v>
      </c>
      <c r="BS34" s="79">
        <f t="shared" ref="BS34:BS42" si="25">IF(BN34&lt;&gt;"",(MAX(BN$34:BN$42)-BN34)/(MAX(BN$34:BN$42)-MIN(BN$34:BN$42)),"")</f>
        <v>0.74869330276954438</v>
      </c>
      <c r="BT34" s="79">
        <f t="shared" ref="BT34:BT42" si="26">IF(BO34&lt;&gt;"",(MAX(BO$34:BO$42)-BO34)/(MAX(BO$34:BO$42)-MIN(BO$34:BO$42)),"")</f>
        <v>0.76700149759409375</v>
      </c>
    </row>
    <row r="35" spans="11:72" x14ac:dyDescent="0.3">
      <c r="K35" s="148" t="s">
        <v>541</v>
      </c>
      <c r="AQ35" s="64" t="str">
        <f t="shared" ref="AQ35:AX35" si="27">IF(AQ25&lt;&gt;"",(AQ25-AVERAGE(AQ$24:AQ$32))/AQ$33,"")</f>
        <v/>
      </c>
      <c r="AR35" s="64" t="str">
        <f t="shared" si="27"/>
        <v/>
      </c>
      <c r="AS35" s="64" t="str">
        <f t="shared" si="27"/>
        <v/>
      </c>
      <c r="AT35" s="64" t="str">
        <f t="shared" si="27"/>
        <v/>
      </c>
      <c r="AU35" s="64" t="str">
        <f t="shared" si="27"/>
        <v/>
      </c>
      <c r="AV35" s="64" t="str">
        <f t="shared" si="27"/>
        <v/>
      </c>
      <c r="AW35" s="64" t="str">
        <f t="shared" si="27"/>
        <v/>
      </c>
      <c r="AX35" s="64" t="str">
        <f t="shared" si="27"/>
        <v/>
      </c>
      <c r="AY35" s="64">
        <f t="shared" ref="AY35:BA42" si="28">IF(AY25&lt;&gt;"",(AY25-AVERAGE(AY$24:AY$32))/AY$33,"")</f>
        <v>0.16667889375713504</v>
      </c>
      <c r="AZ35" s="64">
        <f t="shared" si="28"/>
        <v>3.025484394890475E-2</v>
      </c>
      <c r="BA35" s="64">
        <f t="shared" si="28"/>
        <v>0.26467808108374546</v>
      </c>
      <c r="BB35" s="64">
        <f t="shared" ref="BB35:BJ35" si="29">IF(BB25&lt;&gt;"",(BB25-AVERAGE(BB$24:BB$32))/BB$33,"")</f>
        <v>0.82647790377393127</v>
      </c>
      <c r="BC35" s="64">
        <f t="shared" si="29"/>
        <v>0.25352557037933338</v>
      </c>
      <c r="BD35" s="64">
        <f t="shared" si="29"/>
        <v>0.70001933537499006</v>
      </c>
      <c r="BE35" s="64">
        <f t="shared" si="29"/>
        <v>0.39773770060285007</v>
      </c>
      <c r="BF35" s="64">
        <f t="shared" si="29"/>
        <v>1.8056122010064561</v>
      </c>
      <c r="BG35" s="64">
        <f t="shared" si="29"/>
        <v>0.19718193214231058</v>
      </c>
      <c r="BH35" s="64">
        <f t="shared" si="29"/>
        <v>0.17009243745461744</v>
      </c>
      <c r="BI35" s="64">
        <f t="shared" si="29"/>
        <v>0.28135158848568742</v>
      </c>
      <c r="BJ35" s="64">
        <f t="shared" si="29"/>
        <v>0.47264705143263153</v>
      </c>
      <c r="BK35" s="64" t="str">
        <f t="shared" ref="BK35:BK42" si="30">IFERROR(AVERAGEIF($AQ$1:$BF$1,"="&amp;BK$3,$AQ35:$BF35),"")</f>
        <v/>
      </c>
      <c r="BL35" s="64" t="str">
        <f t="shared" si="21"/>
        <v/>
      </c>
      <c r="BM35" s="64">
        <f t="shared" si="21"/>
        <v>0.32202243064092911</v>
      </c>
      <c r="BN35" s="64">
        <f t="shared" ref="BN35:BO42" si="31">IFERROR(AVERAGEIF($AQ$1:$BJ$1,"="&amp;BN$3,$AQ35:$BJ35),"")</f>
        <v>0.7892237018409074</v>
      </c>
      <c r="BO35" s="64">
        <f t="shared" si="31"/>
        <v>0.28031825237881175</v>
      </c>
      <c r="BP35" s="79" t="str">
        <f t="shared" si="22"/>
        <v/>
      </c>
      <c r="BQ35" s="79" t="str">
        <f t="shared" si="23"/>
        <v/>
      </c>
      <c r="BR35" s="79">
        <f t="shared" si="24"/>
        <v>4.1703715959976913E-2</v>
      </c>
      <c r="BS35" s="79">
        <f t="shared" si="25"/>
        <v>0</v>
      </c>
      <c r="BT35" s="79">
        <f t="shared" si="26"/>
        <v>0.39782647623114081</v>
      </c>
    </row>
    <row r="36" spans="11:72" x14ac:dyDescent="0.3">
      <c r="K36" s="144" t="s">
        <v>90</v>
      </c>
      <c r="AQ36" s="64">
        <f t="shared" ref="AQ36:AX36" si="32">IF(AQ26&lt;&gt;"",(AQ26-AVERAGE(AQ$24:AQ$32))/AQ$33,"")</f>
        <v>0.53568340601967479</v>
      </c>
      <c r="AR36" s="64">
        <f t="shared" si="32"/>
        <v>1.1222614950629415</v>
      </c>
      <c r="AS36" s="64">
        <f t="shared" si="32"/>
        <v>1.0990254212027415</v>
      </c>
      <c r="AT36" s="64">
        <f t="shared" si="32"/>
        <v>1.4009426812576764</v>
      </c>
      <c r="AU36" s="64">
        <f t="shared" si="32"/>
        <v>0.17875068958065835</v>
      </c>
      <c r="AV36" s="64">
        <f t="shared" si="32"/>
        <v>0.83143599651967637</v>
      </c>
      <c r="AW36" s="64">
        <f t="shared" si="32"/>
        <v>0.21310194555736059</v>
      </c>
      <c r="AX36" s="64">
        <f t="shared" si="32"/>
        <v>0.85100853766917794</v>
      </c>
      <c r="AY36" s="64">
        <f t="shared" si="28"/>
        <v>0.19050412523781934</v>
      </c>
      <c r="AZ36" s="64">
        <f t="shared" si="28"/>
        <v>0.75789537510220029</v>
      </c>
      <c r="BA36" s="64">
        <f t="shared" si="28"/>
        <v>0.15655623011630274</v>
      </c>
      <c r="BB36" s="64">
        <f t="shared" ref="BB36:BJ36" si="33">IF(BB26&lt;&gt;"",(BB26-AVERAGE(BB$24:BB$32))/BB$33,"")</f>
        <v>0.38218526930871466</v>
      </c>
      <c r="BC36" s="64">
        <f t="shared" si="33"/>
        <v>0.20686253522623554</v>
      </c>
      <c r="BD36" s="64">
        <f t="shared" si="33"/>
        <v>-0.17584293138777124</v>
      </c>
      <c r="BE36" s="64">
        <f t="shared" si="33"/>
        <v>0.28041742250955204</v>
      </c>
      <c r="BF36" s="64">
        <f t="shared" si="33"/>
        <v>-0.20850491947310923</v>
      </c>
      <c r="BG36" s="64">
        <f t="shared" si="33"/>
        <v>0.21623759929233716</v>
      </c>
      <c r="BH36" s="64">
        <f t="shared" si="33"/>
        <v>-0.11001327780457403</v>
      </c>
      <c r="BI36" s="64">
        <f t="shared" si="33"/>
        <v>0.30135392307710507</v>
      </c>
      <c r="BJ36" s="64">
        <f t="shared" si="33"/>
        <v>2.3237174369161603E-2</v>
      </c>
      <c r="BK36" s="64">
        <f t="shared" si="30"/>
        <v>1.0394782508857585</v>
      </c>
      <c r="BL36" s="64">
        <f t="shared" si="21"/>
        <v>0.51857429233171837</v>
      </c>
      <c r="BM36" s="64">
        <f t="shared" si="21"/>
        <v>0.37178524994125928</v>
      </c>
      <c r="BN36" s="64">
        <f t="shared" si="31"/>
        <v>2.5733026718726779E-2</v>
      </c>
      <c r="BO36" s="64">
        <f t="shared" si="31"/>
        <v>0.10770385473350745</v>
      </c>
      <c r="BP36" s="79">
        <f t="shared" si="22"/>
        <v>0</v>
      </c>
      <c r="BQ36" s="79">
        <f t="shared" si="23"/>
        <v>0</v>
      </c>
      <c r="BR36" s="79">
        <f t="shared" si="24"/>
        <v>0</v>
      </c>
      <c r="BS36" s="79">
        <f t="shared" si="25"/>
        <v>0.51017511743794286</v>
      </c>
      <c r="BT36" s="79">
        <f t="shared" si="26"/>
        <v>0.5022311849657296</v>
      </c>
    </row>
    <row r="37" spans="11:72" x14ac:dyDescent="0.3">
      <c r="K37" s="144" t="s">
        <v>89</v>
      </c>
      <c r="AQ37" s="64">
        <f t="shared" ref="AQ37:AX37" si="34">IF(AQ27&lt;&gt;"",(AQ27-AVERAGE(AQ$24:AQ$32))/AQ$33,"")</f>
        <v>-0.5970833311238678</v>
      </c>
      <c r="AR37" s="64">
        <f t="shared" si="34"/>
        <v>-0.59984217026477815</v>
      </c>
      <c r="AS37" s="64">
        <f t="shared" si="34"/>
        <v>-0.54855720634732219</v>
      </c>
      <c r="AT37" s="64">
        <f t="shared" si="34"/>
        <v>-0.53853040403965891</v>
      </c>
      <c r="AU37" s="64">
        <f t="shared" si="34"/>
        <v>-0.94209333072868517</v>
      </c>
      <c r="AV37" s="64">
        <f t="shared" si="34"/>
        <v>-0.79198053191706508</v>
      </c>
      <c r="AW37" s="64">
        <f t="shared" si="34"/>
        <v>-0.96886602698789026</v>
      </c>
      <c r="AX37" s="64">
        <f t="shared" si="34"/>
        <v>-0.74202921774056452</v>
      </c>
      <c r="AY37" s="64">
        <f t="shared" si="28"/>
        <v>-0.89905284424688037</v>
      </c>
      <c r="AZ37" s="64">
        <f t="shared" si="28"/>
        <v>-0.73630697038491566</v>
      </c>
      <c r="BA37" s="64">
        <f t="shared" si="28"/>
        <v>-0.93654524770056535</v>
      </c>
      <c r="BB37" s="64">
        <f t="shared" ref="BB37:BJ37" si="35">IF(BB27&lt;&gt;"",(BB27-AVERAGE(BB$24:BB$32))/BB$33,"")</f>
        <v>-0.71394053200731677</v>
      </c>
      <c r="BC37" s="64">
        <f t="shared" si="35"/>
        <v>-0.87099640020974123</v>
      </c>
      <c r="BD37" s="64">
        <f t="shared" si="35"/>
        <v>-0.58788787935882303</v>
      </c>
      <c r="BE37" s="64">
        <f t="shared" si="35"/>
        <v>-0.88027378142999291</v>
      </c>
      <c r="BF37" s="64">
        <f t="shared" si="35"/>
        <v>-0.49005385480665331</v>
      </c>
      <c r="BG37" s="64">
        <f t="shared" si="35"/>
        <v>-0.86611222924570463</v>
      </c>
      <c r="BH37" s="64">
        <f t="shared" si="35"/>
        <v>-0.54664314288207594</v>
      </c>
      <c r="BI37" s="64">
        <f t="shared" si="35"/>
        <v>-0.87921346773224873</v>
      </c>
      <c r="BJ37" s="64">
        <f t="shared" si="35"/>
        <v>-0.56910037802565439</v>
      </c>
      <c r="BK37" s="64">
        <f t="shared" si="30"/>
        <v>-0.57100327794390671</v>
      </c>
      <c r="BL37" s="64">
        <f t="shared" si="21"/>
        <v>-0.86124227684355126</v>
      </c>
      <c r="BM37" s="64">
        <f t="shared" si="21"/>
        <v>-0.82146139858491962</v>
      </c>
      <c r="BN37" s="64">
        <f t="shared" si="31"/>
        <v>-0.70730297895130256</v>
      </c>
      <c r="BO37" s="64">
        <f t="shared" si="31"/>
        <v>-0.71526730447142095</v>
      </c>
      <c r="BP37" s="79">
        <f t="shared" si="22"/>
        <v>0.9546410826260483</v>
      </c>
      <c r="BQ37" s="79">
        <f t="shared" si="23"/>
        <v>1</v>
      </c>
      <c r="BR37" s="79">
        <f t="shared" si="24"/>
        <v>1</v>
      </c>
      <c r="BS37" s="79">
        <f t="shared" si="25"/>
        <v>1</v>
      </c>
      <c r="BT37" s="79">
        <f t="shared" si="26"/>
        <v>1</v>
      </c>
    </row>
    <row r="38" spans="11:72" x14ac:dyDescent="0.3">
      <c r="K38" s="144" t="s">
        <v>461</v>
      </c>
      <c r="AQ38" s="64">
        <f t="shared" ref="AQ38:AX38" si="36">IF(AQ28&lt;&gt;"",(AQ28-AVERAGE(AQ$24:AQ$32))/AQ$33,"")</f>
        <v>-0.23222049913180265</v>
      </c>
      <c r="AR38" s="64">
        <f t="shared" si="36"/>
        <v>-0.63240420723068347</v>
      </c>
      <c r="AS38" s="64">
        <f t="shared" si="36"/>
        <v>-0.64504336556770803</v>
      </c>
      <c r="AT38" s="64">
        <f t="shared" si="36"/>
        <v>-0.57061484804695806</v>
      </c>
      <c r="AU38" s="64">
        <f t="shared" si="36"/>
        <v>0.28363013005941079</v>
      </c>
      <c r="AV38" s="64">
        <f t="shared" si="36"/>
        <v>-0.3112437481836749</v>
      </c>
      <c r="AW38" s="64">
        <f t="shared" si="36"/>
        <v>-8.978404930366269E-3</v>
      </c>
      <c r="AX38" s="64">
        <f t="shared" si="36"/>
        <v>-0.51614469105859007</v>
      </c>
      <c r="AY38" s="64">
        <f t="shared" si="28"/>
        <v>-9.0883595975688059E-3</v>
      </c>
      <c r="AZ38" s="64">
        <f t="shared" si="28"/>
        <v>-0.61746675967224784</v>
      </c>
      <c r="BA38" s="64">
        <f t="shared" si="28"/>
        <v>-0.11669351507595468</v>
      </c>
      <c r="BB38" s="64">
        <f t="shared" ref="BB38:BJ38" si="37">IF(BB28&lt;&gt;"",(BB28-AVERAGE(BB$24:BB$32))/BB$33,"")</f>
        <v>-0.65512546875299293</v>
      </c>
      <c r="BC38" s="64">
        <f t="shared" si="37"/>
        <v>5.8428532357236045E-2</v>
      </c>
      <c r="BD38" s="64">
        <f t="shared" si="37"/>
        <v>-0.43624049362429951</v>
      </c>
      <c r="BE38" s="64">
        <f t="shared" si="37"/>
        <v>7.9387747183897444E-3</v>
      </c>
      <c r="BF38" s="64">
        <f t="shared" si="37"/>
        <v>-0.42825879350956003</v>
      </c>
      <c r="BG38" s="64">
        <f t="shared" si="37"/>
        <v>6.8502799478872639E-2</v>
      </c>
      <c r="BH38" s="64">
        <f t="shared" si="37"/>
        <v>-0.38379845138649316</v>
      </c>
      <c r="BI38" s="64">
        <f t="shared" si="37"/>
        <v>2.953152994577098E-2</v>
      </c>
      <c r="BJ38" s="64">
        <f t="shared" si="37"/>
        <v>-0.4347620667834044</v>
      </c>
      <c r="BK38" s="64">
        <f t="shared" si="30"/>
        <v>-0.52007072999428805</v>
      </c>
      <c r="BL38" s="64">
        <f t="shared" si="21"/>
        <v>-0.13818417852830511</v>
      </c>
      <c r="BM38" s="64">
        <f t="shared" si="21"/>
        <v>-0.34959352577469105</v>
      </c>
      <c r="BN38" s="64">
        <f t="shared" si="31"/>
        <v>-0.19953299501455846</v>
      </c>
      <c r="BO38" s="64">
        <f t="shared" si="31"/>
        <v>-0.1801315471863135</v>
      </c>
      <c r="BP38" s="79">
        <f t="shared" si="22"/>
        <v>0.9244499243636739</v>
      </c>
      <c r="BQ38" s="79">
        <f t="shared" si="23"/>
        <v>0.47597520245214531</v>
      </c>
      <c r="BR38" s="79">
        <f t="shared" si="24"/>
        <v>0.6045512691001067</v>
      </c>
      <c r="BS38" s="79">
        <f t="shared" si="25"/>
        <v>0.6607010149207978</v>
      </c>
      <c r="BT38" s="79">
        <f t="shared" si="26"/>
        <v>0.6763265774178302</v>
      </c>
    </row>
    <row r="39" spans="11:72" x14ac:dyDescent="0.3">
      <c r="K39" s="148" t="s">
        <v>384</v>
      </c>
      <c r="AQ39" s="64">
        <f t="shared" ref="AQ39:AX39" si="38">IF(AQ29&lt;&gt;"",(AQ29-AVERAGE(AQ$24:AQ$32))/AQ$33,"")</f>
        <v>0.13208089564192335</v>
      </c>
      <c r="AR39" s="64">
        <f t="shared" si="38"/>
        <v>-0.5271645387939895</v>
      </c>
      <c r="AS39" s="64">
        <f t="shared" si="38"/>
        <v>-0.49829698325183464</v>
      </c>
      <c r="AT39" s="64">
        <f t="shared" si="38"/>
        <v>-0.53719012355681062</v>
      </c>
      <c r="AU39" s="64">
        <f t="shared" si="38"/>
        <v>0.36745583008845101</v>
      </c>
      <c r="AV39" s="64">
        <f t="shared" si="38"/>
        <v>0.27728011020218518</v>
      </c>
      <c r="AW39" s="64">
        <f t="shared" si="38"/>
        <v>0.12922851716713407</v>
      </c>
      <c r="AX39" s="64">
        <f t="shared" si="38"/>
        <v>-0.17348255911856955</v>
      </c>
      <c r="AY39" s="64">
        <f t="shared" si="28"/>
        <v>0.31692546442436204</v>
      </c>
      <c r="AZ39" s="64">
        <f t="shared" si="28"/>
        <v>0.47852435538964999</v>
      </c>
      <c r="BA39" s="64">
        <f t="shared" si="28"/>
        <v>0.11220604165288944</v>
      </c>
      <c r="BB39" s="64">
        <f t="shared" ref="BB39:BJ39" si="39">IF(BB29&lt;&gt;"",(BB29-AVERAGE(BB$24:BB$32))/BB$33,"")</f>
        <v>-0.21643603532075537</v>
      </c>
      <c r="BC39" s="64">
        <f t="shared" si="39"/>
        <v>0.35979358063531586</v>
      </c>
      <c r="BD39" s="64">
        <f t="shared" si="39"/>
        <v>0.22164223636481284</v>
      </c>
      <c r="BE39" s="64">
        <f t="shared" si="39"/>
        <v>0.26216410916239435</v>
      </c>
      <c r="BF39" s="64">
        <f t="shared" si="39"/>
        <v>-0.17562997229594282</v>
      </c>
      <c r="BG39" s="64">
        <f t="shared" si="39"/>
        <v>0.3714895031603061</v>
      </c>
      <c r="BH39" s="64">
        <f t="shared" si="39"/>
        <v>0.3217695726543639</v>
      </c>
      <c r="BI39" s="64">
        <f t="shared" si="39"/>
        <v>0.29309630885157323</v>
      </c>
      <c r="BJ39" s="64">
        <f t="shared" si="39"/>
        <v>0.11563113093856908</v>
      </c>
      <c r="BK39" s="64">
        <f t="shared" si="30"/>
        <v>-0.35764268749017786</v>
      </c>
      <c r="BL39" s="64">
        <f t="shared" si="21"/>
        <v>0.15012047458480016</v>
      </c>
      <c r="BM39" s="64">
        <f t="shared" si="21"/>
        <v>0.17280495653653652</v>
      </c>
      <c r="BN39" s="64">
        <f t="shared" si="31"/>
        <v>0.16699248846664508</v>
      </c>
      <c r="BO39" s="64">
        <f t="shared" si="31"/>
        <v>0.27549662890120308</v>
      </c>
      <c r="BP39" s="79">
        <f t="shared" si="22"/>
        <v>0.82816786240321438</v>
      </c>
      <c r="BQ39" s="79">
        <f t="shared" si="23"/>
        <v>0.26703101410584368</v>
      </c>
      <c r="BR39" s="79">
        <f t="shared" si="24"/>
        <v>0.16675537589021547</v>
      </c>
      <c r="BS39" s="79">
        <f t="shared" si="25"/>
        <v>0.41578357496765406</v>
      </c>
      <c r="BT39" s="79">
        <f t="shared" si="26"/>
        <v>0.40074280419494135</v>
      </c>
    </row>
    <row r="40" spans="11:72" x14ac:dyDescent="0.3">
      <c r="K40" s="154" t="s">
        <v>94</v>
      </c>
      <c r="AQ40" s="64">
        <f t="shared" ref="AQ40:AX40" si="40">IF(AQ30&lt;&gt;"",(AQ30-AVERAGE(AQ$24:AQ$32))/AQ$33,"")</f>
        <v>0.19486282039649663</v>
      </c>
      <c r="AR40" s="64">
        <f t="shared" si="40"/>
        <v>0.56723392425893682</v>
      </c>
      <c r="AS40" s="64">
        <f t="shared" si="40"/>
        <v>0.49862696396706241</v>
      </c>
      <c r="AT40" s="64">
        <f t="shared" si="40"/>
        <v>0.42882686246775314</v>
      </c>
      <c r="AU40" s="64" t="str">
        <f t="shared" si="40"/>
        <v/>
      </c>
      <c r="AV40" s="64" t="str">
        <f t="shared" si="40"/>
        <v/>
      </c>
      <c r="AW40" s="64" t="str">
        <f t="shared" si="40"/>
        <v/>
      </c>
      <c r="AX40" s="64" t="str">
        <f t="shared" si="40"/>
        <v/>
      </c>
      <c r="AY40" s="64" t="str">
        <f t="shared" si="28"/>
        <v/>
      </c>
      <c r="AZ40" s="64" t="str">
        <f t="shared" si="28"/>
        <v/>
      </c>
      <c r="BA40" s="64" t="str">
        <f t="shared" si="28"/>
        <v/>
      </c>
      <c r="BB40" s="64" t="str">
        <f t="shared" ref="BB40:BJ40" si="41">IF(BB30&lt;&gt;"",(BB30-AVERAGE(BB$24:BB$32))/BB$33,"")</f>
        <v/>
      </c>
      <c r="BC40" s="64" t="str">
        <f t="shared" si="41"/>
        <v/>
      </c>
      <c r="BD40" s="64" t="str">
        <f t="shared" si="41"/>
        <v/>
      </c>
      <c r="BE40" s="64" t="str">
        <f t="shared" si="41"/>
        <v/>
      </c>
      <c r="BF40" s="64" t="str">
        <f t="shared" si="41"/>
        <v/>
      </c>
      <c r="BG40" s="64" t="str">
        <f t="shared" si="41"/>
        <v/>
      </c>
      <c r="BH40" s="64" t="str">
        <f t="shared" si="41"/>
        <v/>
      </c>
      <c r="BI40" s="64" t="str">
        <f t="shared" si="41"/>
        <v/>
      </c>
      <c r="BJ40" s="64" t="str">
        <f t="shared" si="41"/>
        <v/>
      </c>
      <c r="BK40" s="64">
        <f t="shared" si="30"/>
        <v>0.42238764277256224</v>
      </c>
      <c r="BL40" s="64" t="str">
        <f t="shared" si="21"/>
        <v/>
      </c>
      <c r="BM40" s="64" t="str">
        <f t="shared" si="21"/>
        <v/>
      </c>
      <c r="BN40" s="64" t="str">
        <f t="shared" si="31"/>
        <v/>
      </c>
      <c r="BO40" s="64" t="str">
        <f t="shared" si="31"/>
        <v/>
      </c>
      <c r="BP40" s="79">
        <f t="shared" si="22"/>
        <v>0.36579124669355656</v>
      </c>
      <c r="BQ40" s="79" t="str">
        <f t="shared" si="23"/>
        <v/>
      </c>
      <c r="BR40" s="79" t="str">
        <f t="shared" si="24"/>
        <v/>
      </c>
      <c r="BS40" s="79" t="str">
        <f t="shared" si="25"/>
        <v/>
      </c>
      <c r="BT40" s="79" t="str">
        <f t="shared" si="26"/>
        <v/>
      </c>
    </row>
    <row r="41" spans="11:72" x14ac:dyDescent="0.3">
      <c r="K41" s="144" t="s">
        <v>93</v>
      </c>
      <c r="AQ41" s="64">
        <f t="shared" ref="AQ41:AX41" si="42">IF(AQ31&lt;&gt;"",(AQ31-AVERAGE(AQ$24:AQ$32))/AQ$33,"")</f>
        <v>-0.77723653954856031</v>
      </c>
      <c r="AR41" s="64">
        <f t="shared" si="42"/>
        <v>-0.63881413279646637</v>
      </c>
      <c r="AS41" s="64">
        <f t="shared" si="42"/>
        <v>-0.60880060165097849</v>
      </c>
      <c r="AT41" s="64">
        <f t="shared" si="42"/>
        <v>-0.56524419659666902</v>
      </c>
      <c r="AU41" s="64">
        <f t="shared" si="42"/>
        <v>-0.30566688133440123</v>
      </c>
      <c r="AV41" s="64">
        <f t="shared" si="42"/>
        <v>-0.71137244866063964</v>
      </c>
      <c r="AW41" s="64">
        <f t="shared" si="42"/>
        <v>-7.886679759980525E-2</v>
      </c>
      <c r="AX41" s="64">
        <f t="shared" si="42"/>
        <v>-0.59639439006308737</v>
      </c>
      <c r="AY41" s="64">
        <f t="shared" si="28"/>
        <v>-0.1189879964499385</v>
      </c>
      <c r="AZ41" s="64">
        <f t="shared" si="28"/>
        <v>-0.62285562959241025</v>
      </c>
      <c r="BA41" s="64">
        <f t="shared" si="28"/>
        <v>3.7974842770556815E-2</v>
      </c>
      <c r="BB41" s="64">
        <f t="shared" ref="BB41:BJ41" si="43">IF(BB31&lt;&gt;"",(BB31-AVERAGE(BB$24:BB$32))/BB$33,"")</f>
        <v>-0.56861559163331155</v>
      </c>
      <c r="BC41" s="64">
        <f t="shared" si="43"/>
        <v>-0.25136928450689067</v>
      </c>
      <c r="BD41" s="64">
        <f t="shared" si="43"/>
        <v>-0.55560276133754005</v>
      </c>
      <c r="BE41" s="64">
        <f t="shared" si="43"/>
        <v>-0.22499799162616077</v>
      </c>
      <c r="BF41" s="64">
        <f t="shared" si="43"/>
        <v>-0.47219949063075622</v>
      </c>
      <c r="BG41" s="64">
        <f t="shared" si="43"/>
        <v>-0.24516182858305618</v>
      </c>
      <c r="BH41" s="64">
        <f t="shared" si="43"/>
        <v>-0.51262654237115413</v>
      </c>
      <c r="BI41" s="64">
        <f t="shared" si="43"/>
        <v>-0.21548846660800547</v>
      </c>
      <c r="BJ41" s="64">
        <f t="shared" si="43"/>
        <v>-0.53122881739182792</v>
      </c>
      <c r="BK41" s="64">
        <f t="shared" si="30"/>
        <v>-0.64752386764816849</v>
      </c>
      <c r="BL41" s="64">
        <f t="shared" si="21"/>
        <v>-0.42307512941448333</v>
      </c>
      <c r="BM41" s="64">
        <f t="shared" si="21"/>
        <v>-0.31812109372627584</v>
      </c>
      <c r="BN41" s="64">
        <f t="shared" si="31"/>
        <v>-0.37604238202533696</v>
      </c>
      <c r="BO41" s="64">
        <f t="shared" si="31"/>
        <v>-0.37612641373851097</v>
      </c>
      <c r="BP41" s="79">
        <f t="shared" si="22"/>
        <v>1</v>
      </c>
      <c r="BQ41" s="79">
        <f t="shared" si="23"/>
        <v>0.68244536468281081</v>
      </c>
      <c r="BR41" s="79">
        <f t="shared" si="24"/>
        <v>0.57817580675350133</v>
      </c>
      <c r="BS41" s="79">
        <f t="shared" si="25"/>
        <v>0.77864704907859872</v>
      </c>
      <c r="BT41" s="79">
        <f t="shared" si="26"/>
        <v>0.79487281246541075</v>
      </c>
    </row>
    <row r="42" spans="11:72" x14ac:dyDescent="0.3">
      <c r="K42" s="144" t="s">
        <v>92</v>
      </c>
      <c r="AQ42" s="64">
        <f>IF(AQ32&lt;&gt;"",(AQ32-AVERAGE(AQ$24:AQ$32))/AQ$33,"")</f>
        <v>0.67019927021590375</v>
      </c>
      <c r="AR42" s="64">
        <f t="shared" ref="AR42:AX42" si="44">IF(AR32&lt;&gt;"",(AR32-AVERAGE(AR$24:AR$32))/AR$33,"")</f>
        <v>-0.30559570057949448</v>
      </c>
      <c r="AS42" s="64">
        <f t="shared" si="44"/>
        <v>0.35093615272715117</v>
      </c>
      <c r="AT42" s="64">
        <f t="shared" si="44"/>
        <v>-0.44843320796795022</v>
      </c>
      <c r="AU42" s="64">
        <f t="shared" si="44"/>
        <v>0.42264861550695842</v>
      </c>
      <c r="AV42" s="64">
        <f t="shared" si="44"/>
        <v>0.52618740142694864</v>
      </c>
      <c r="AW42" s="64">
        <f t="shared" si="44"/>
        <v>0.35621679179919469</v>
      </c>
      <c r="AX42" s="64">
        <f t="shared" si="44"/>
        <v>0.18637118747946665</v>
      </c>
      <c r="AY42" s="64">
        <f t="shared" si="28"/>
        <v>0.35226403573295151</v>
      </c>
      <c r="AZ42" s="64">
        <f t="shared" si="28"/>
        <v>0.79158838474378723</v>
      </c>
      <c r="BA42" s="64">
        <f t="shared" si="28"/>
        <v>0.22977663972766349</v>
      </c>
      <c r="BB42" s="64">
        <f t="shared" ref="BB42:BJ42" si="45">IF(BB32&lt;&gt;"",(BB32-AVERAGE(BB$24:BB$32))/BB$33,"")</f>
        <v>8.363349171880953E-2</v>
      </c>
      <c r="BC42" s="64">
        <f t="shared" si="45"/>
        <v>0.42062776692699216</v>
      </c>
      <c r="BD42" s="64">
        <f t="shared" si="45"/>
        <v>1.3257423203775205</v>
      </c>
      <c r="BE42" s="64">
        <f t="shared" si="45"/>
        <v>0.36636883185747554</v>
      </c>
      <c r="BF42" s="64">
        <f t="shared" si="45"/>
        <v>0.4158408426343112</v>
      </c>
      <c r="BG42" s="64">
        <f t="shared" si="45"/>
        <v>0.43279565129508879</v>
      </c>
      <c r="BH42" s="64">
        <f t="shared" si="45"/>
        <v>1.5113722454911203</v>
      </c>
      <c r="BI42" s="64">
        <f t="shared" si="45"/>
        <v>0.40033927035501859</v>
      </c>
      <c r="BJ42" s="64">
        <f t="shared" si="45"/>
        <v>1.4077037912193122</v>
      </c>
      <c r="BK42" s="64">
        <f t="shared" si="30"/>
        <v>6.6776628598902557E-2</v>
      </c>
      <c r="BL42" s="64">
        <f t="shared" si="21"/>
        <v>0.3728559990531421</v>
      </c>
      <c r="BM42" s="64">
        <f t="shared" si="21"/>
        <v>0.36431563798080291</v>
      </c>
      <c r="BN42" s="64">
        <f t="shared" si="31"/>
        <v>0.63214494044907488</v>
      </c>
      <c r="BO42" s="64">
        <f t="shared" si="31"/>
        <v>0.93805273959013502</v>
      </c>
      <c r="BP42" s="79">
        <f t="shared" si="22"/>
        <v>0.57658589257266191</v>
      </c>
      <c r="BQ42" s="79">
        <f t="shared" si="23"/>
        <v>0.10560700352052851</v>
      </c>
      <c r="BR42" s="79">
        <f t="shared" si="24"/>
        <v>6.2599060887221858E-3</v>
      </c>
      <c r="BS42" s="79">
        <f t="shared" si="25"/>
        <v>0.10496221912240175</v>
      </c>
      <c r="BT42" s="79">
        <f t="shared" si="26"/>
        <v>0</v>
      </c>
    </row>
  </sheetData>
  <sortState ref="K4:AE13">
    <sortCondition ref="K4:K13"/>
  </sortState>
  <mergeCells count="1">
    <mergeCell ref="M1:R1"/>
  </mergeCells>
  <conditionalFormatting sqref="B12:I12">
    <cfRule type="colorScale" priority="156">
      <colorScale>
        <cfvo type="min"/>
        <cfvo type="max"/>
        <color rgb="FFFF0000"/>
        <color rgb="FF00B050"/>
      </colorScale>
    </cfRule>
  </conditionalFormatting>
  <conditionalFormatting sqref="B11:I11">
    <cfRule type="colorScale" priority="155">
      <colorScale>
        <cfvo type="min"/>
        <cfvo type="max"/>
        <color rgb="FFFF0000"/>
        <color rgb="FF00B050"/>
      </colorScale>
    </cfRule>
  </conditionalFormatting>
  <conditionalFormatting sqref="B10:I10">
    <cfRule type="colorScale" priority="154">
      <colorScale>
        <cfvo type="min"/>
        <cfvo type="max"/>
        <color rgb="FF00B050"/>
        <color rgb="FFFF0000"/>
      </colorScale>
    </cfRule>
  </conditionalFormatting>
  <conditionalFormatting sqref="B13:I13">
    <cfRule type="colorScale" priority="153">
      <colorScale>
        <cfvo type="min"/>
        <cfvo type="max"/>
        <color rgb="FF00B050"/>
        <color rgb="FFFF0000"/>
      </colorScale>
    </cfRule>
  </conditionalFormatting>
  <conditionalFormatting sqref="B14:I23">
    <cfRule type="colorScale" priority="152">
      <colorScale>
        <cfvo type="min"/>
        <cfvo type="max"/>
        <color rgb="FFFF0000"/>
        <color rgb="FF00B050"/>
      </colorScale>
    </cfRule>
  </conditionalFormatting>
  <conditionalFormatting sqref="B24:I24">
    <cfRule type="colorScale" priority="151">
      <colorScale>
        <cfvo type="min"/>
        <cfvo type="max"/>
        <color rgb="FF00B050"/>
        <color rgb="FFFF0000"/>
      </colorScale>
    </cfRule>
  </conditionalFormatting>
  <conditionalFormatting sqref="B25:I25">
    <cfRule type="colorScale" priority="150">
      <colorScale>
        <cfvo type="min"/>
        <cfvo type="max"/>
        <color rgb="FF00B050"/>
        <color rgb="FFFF0000"/>
      </colorScale>
    </cfRule>
  </conditionalFormatting>
  <conditionalFormatting sqref="B26:I26">
    <cfRule type="colorScale" priority="149">
      <colorScale>
        <cfvo type="min"/>
        <cfvo type="max"/>
        <color rgb="FFFF0000"/>
        <color rgb="FF00B050"/>
      </colorScale>
    </cfRule>
  </conditionalFormatting>
  <conditionalFormatting sqref="B4:I4">
    <cfRule type="colorScale" priority="145">
      <colorScale>
        <cfvo type="min"/>
        <cfvo type="max"/>
        <color rgb="FF00B050"/>
        <color rgb="FFFF0000"/>
      </colorScale>
    </cfRule>
  </conditionalFormatting>
  <conditionalFormatting sqref="AA13:AA23 AA4:AA6 AA10:AA11">
    <cfRule type="colorScale" priority="3488">
      <colorScale>
        <cfvo type="min"/>
        <cfvo type="max"/>
        <color rgb="FFFF0000"/>
        <color rgb="FF00B050"/>
      </colorScale>
    </cfRule>
  </conditionalFormatting>
  <conditionalFormatting sqref="R13:R23 R4:R11">
    <cfRule type="colorScale" priority="3491">
      <colorScale>
        <cfvo type="min"/>
        <cfvo type="max"/>
        <color rgb="FFFF0000"/>
        <color rgb="FF00B050"/>
      </colorScale>
    </cfRule>
  </conditionalFormatting>
  <conditionalFormatting sqref="Q13:Q23 Q4:Q6 Q10:Q11">
    <cfRule type="colorScale" priority="3494">
      <colorScale>
        <cfvo type="min"/>
        <cfvo type="max"/>
        <color rgb="FF00B050"/>
        <color rgb="FFFF0000"/>
      </colorScale>
    </cfRule>
  </conditionalFormatting>
  <conditionalFormatting sqref="AB13:AB23 AB4:AB6 AB10:AB11">
    <cfRule type="colorScale" priority="3497">
      <colorScale>
        <cfvo type="min"/>
        <cfvo type="max"/>
        <color rgb="FF00B050"/>
        <color rgb="FFFF0000"/>
      </colorScale>
    </cfRule>
  </conditionalFormatting>
  <conditionalFormatting sqref="AC13:AC23 AC4:AC6 AC10:AC11">
    <cfRule type="colorScale" priority="3500">
      <colorScale>
        <cfvo type="min"/>
        <cfvo type="max"/>
        <color rgb="FFFF0000"/>
        <color rgb="FF00B050"/>
      </colorScale>
    </cfRule>
  </conditionalFormatting>
  <conditionalFormatting sqref="AD13:AD23 AD4:AD6 AD10:AD11">
    <cfRule type="colorScale" priority="3503">
      <colorScale>
        <cfvo type="min"/>
        <cfvo type="max"/>
        <color rgb="FF00B050"/>
        <color rgb="FFFF0000"/>
      </colorScale>
    </cfRule>
  </conditionalFormatting>
  <conditionalFormatting sqref="M13:M23 M4:M11">
    <cfRule type="colorScale" priority="3506">
      <colorScale>
        <cfvo type="min"/>
        <cfvo type="max"/>
        <color rgb="FF00B050"/>
        <color rgb="FFFF0000"/>
      </colorScale>
    </cfRule>
  </conditionalFormatting>
  <conditionalFormatting sqref="BP34:BT42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 AA26">
    <cfRule type="colorScale" priority="103">
      <colorScale>
        <cfvo type="min"/>
        <cfvo type="max"/>
        <color rgb="FFFF0000"/>
        <color rgb="FF00B050"/>
      </colorScale>
    </cfRule>
  </conditionalFormatting>
  <conditionalFormatting sqref="AB24">
    <cfRule type="colorScale" priority="104">
      <colorScale>
        <cfvo type="min"/>
        <cfvo type="max"/>
        <color rgb="FF00B050"/>
        <color rgb="FFFF0000"/>
      </colorScale>
    </cfRule>
  </conditionalFormatting>
  <conditionalFormatting sqref="AC24">
    <cfRule type="colorScale" priority="105">
      <colorScale>
        <cfvo type="min"/>
        <cfvo type="max"/>
        <color rgb="FFFF0000"/>
        <color rgb="FF00B050"/>
      </colorScale>
    </cfRule>
  </conditionalFormatting>
  <conditionalFormatting sqref="AD24">
    <cfRule type="colorScale" priority="106">
      <colorScale>
        <cfvo type="min"/>
        <cfvo type="max"/>
        <color rgb="FF00B050"/>
        <color rgb="FFFF0000"/>
      </colorScale>
    </cfRule>
  </conditionalFormatting>
  <conditionalFormatting sqref="AA24 AA26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4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2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4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:S23">
    <cfRule type="colorScale" priority="7189">
      <colorScale>
        <cfvo type="min"/>
        <cfvo type="max"/>
        <color rgb="FFFF0000"/>
        <color rgb="FF00B050"/>
      </colorScale>
    </cfRule>
  </conditionalFormatting>
  <conditionalFormatting sqref="T4:T23">
    <cfRule type="colorScale" priority="7191">
      <colorScale>
        <cfvo type="min"/>
        <cfvo type="max"/>
        <color rgb="FF00B050"/>
        <color rgb="FFFF0000"/>
      </colorScale>
    </cfRule>
  </conditionalFormatting>
  <conditionalFormatting sqref="U4:U23">
    <cfRule type="colorScale" priority="7193">
      <colorScale>
        <cfvo type="min"/>
        <cfvo type="max"/>
        <color rgb="FFFF0000"/>
        <color rgb="FF00B050"/>
      </colorScale>
    </cfRule>
  </conditionalFormatting>
  <conditionalFormatting sqref="V4:V23">
    <cfRule type="colorScale" priority="7195">
      <colorScale>
        <cfvo type="min"/>
        <cfvo type="max"/>
        <color rgb="FF00B050"/>
        <color rgb="FFFF0000"/>
      </colorScale>
    </cfRule>
  </conditionalFormatting>
  <conditionalFormatting sqref="W4:W23">
    <cfRule type="colorScale" priority="7197">
      <colorScale>
        <cfvo type="min"/>
        <cfvo type="max"/>
        <color rgb="FFFF0000"/>
        <color rgb="FF00B050"/>
      </colorScale>
    </cfRule>
  </conditionalFormatting>
  <conditionalFormatting sqref="X4:X23">
    <cfRule type="colorScale" priority="7199">
      <colorScale>
        <cfvo type="min"/>
        <cfvo type="max"/>
        <color rgb="FF00B050"/>
        <color rgb="FFFF0000"/>
      </colorScale>
    </cfRule>
  </conditionalFormatting>
  <conditionalFormatting sqref="Y4:Y23">
    <cfRule type="colorScale" priority="7201">
      <colorScale>
        <cfvo type="min"/>
        <cfvo type="max"/>
        <color rgb="FFFF0000"/>
        <color rgb="FF00B050"/>
      </colorScale>
    </cfRule>
  </conditionalFormatting>
  <conditionalFormatting sqref="Z4:Z23">
    <cfRule type="colorScale" priority="7203">
      <colorScale>
        <cfvo type="min"/>
        <cfvo type="max"/>
        <color rgb="FF00B050"/>
        <color rgb="FFFF0000"/>
      </colorScale>
    </cfRule>
  </conditionalFormatting>
  <conditionalFormatting sqref="AA4:AA6 AA10:AA23">
    <cfRule type="colorScale" priority="7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6 AB10:AB23">
    <cfRule type="colorScale" priority="7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6 AC10:AC23">
    <cfRule type="colorScale" priority="7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6 AD10:AD23">
    <cfRule type="colorScale" priority="7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A6 AA26 AA10:AA24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6 AB10:AB24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6 AC10:AC2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6 AD10:AD24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:AD25">
    <cfRule type="colorScale" priority="94">
      <colorScale>
        <cfvo type="min"/>
        <cfvo type="max"/>
        <color rgb="FFFF0000"/>
        <color rgb="FF00B050"/>
      </colorScale>
    </cfRule>
  </conditionalFormatting>
  <conditionalFormatting sqref="AA25:AD2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:AD3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6 AA10:AA2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6 AB10:AB25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6 AC10:AC2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6 AD10:AD25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:AE2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:AP4 AI6:AP6 AE10:AP14 AE5:AH9 AE22:AP23 AE15:AH21">
    <cfRule type="colorScale" priority="85">
      <colorScale>
        <cfvo type="min"/>
        <cfvo type="max"/>
        <color rgb="FFFF0000"/>
        <color rgb="FF00B050"/>
      </colorScale>
    </cfRule>
  </conditionalFormatting>
  <conditionalFormatting sqref="AE4:AP4 AI6:AP6 AE10:AP14 AE5:AH9 AE22:AP23 AE15:AH2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6 AA10:AA2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6 AB10:AB29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6 AC10:AC2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6 AD10:AD2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:AE2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2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:AG2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P4 AI6:AP6 AH10:AP14 AH5:AH9 AH22:AP29 AH15:AH2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">
    <cfRule type="colorScale" priority="67">
      <colorScale>
        <cfvo type="min"/>
        <cfvo type="max"/>
        <color rgb="FFFF0000"/>
        <color rgb="FF00B050"/>
      </colorScale>
    </cfRule>
  </conditionalFormatting>
  <conditionalFormatting sqref="AB30">
    <cfRule type="colorScale" priority="68">
      <colorScale>
        <cfvo type="min"/>
        <cfvo type="max"/>
        <color rgb="FF00B050"/>
        <color rgb="FFFF0000"/>
      </colorScale>
    </cfRule>
  </conditionalFormatting>
  <conditionalFormatting sqref="AC30">
    <cfRule type="colorScale" priority="69">
      <colorScale>
        <cfvo type="min"/>
        <cfvo type="max"/>
        <color rgb="FFFF0000"/>
        <color rgb="FF00B050"/>
      </colorScale>
    </cfRule>
  </conditionalFormatting>
  <conditionalFormatting sqref="AD30">
    <cfRule type="colorScale" priority="70">
      <colorScale>
        <cfvo type="min"/>
        <cfvo type="max"/>
        <color rgb="FF00B050"/>
        <color rgb="FFFF0000"/>
      </colorScale>
    </cfRule>
  </conditionalFormatting>
  <conditionalFormatting sqref="AA3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0">
    <cfRule type="colorScale" priority="52">
      <colorScale>
        <cfvo type="min"/>
        <cfvo type="max"/>
        <color rgb="FFFF0000"/>
        <color rgb="FF00B050"/>
      </colorScale>
    </cfRule>
  </conditionalFormatting>
  <conditionalFormatting sqref="Q30">
    <cfRule type="colorScale" priority="53">
      <colorScale>
        <cfvo type="min"/>
        <cfvo type="max"/>
        <color rgb="FF00B050"/>
        <color rgb="FFFF0000"/>
      </colorScale>
    </cfRule>
  </conditionalFormatting>
  <conditionalFormatting sqref="M30">
    <cfRule type="colorScale" priority="54">
      <colorScale>
        <cfvo type="min"/>
        <cfvo type="max"/>
        <color rgb="FF00B050"/>
        <color rgb="FFFF0000"/>
      </colorScale>
    </cfRule>
  </conditionalFormatting>
  <conditionalFormatting sqref="Q4:Q23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:M2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A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:AB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7:AC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:AD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A2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2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4:AC2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23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:AA30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4:AB3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24:AC3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4:AD3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6">
    <cfRule type="colorScale" priority="37">
      <colorScale>
        <cfvo type="min"/>
        <cfvo type="max"/>
        <color rgb="FF00B050"/>
        <color rgb="FFFF0000"/>
      </colorScale>
    </cfRule>
  </conditionalFormatting>
  <conditionalFormatting sqref="AB26">
    <cfRule type="colorScale" priority="36">
      <colorScale>
        <cfvo type="min"/>
        <cfvo type="max"/>
        <color rgb="FFFF0000"/>
        <color rgb="FF00B050"/>
      </colorScale>
    </cfRule>
  </conditionalFormatting>
  <conditionalFormatting sqref="AB2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:AI14 AI22:AI2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14 AJ22:AJ2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:AK14 AK22:AK2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P14 AL22:AP2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olorScale" priority="22">
      <colorScale>
        <cfvo type="min"/>
        <cfvo type="max"/>
        <color rgb="FFFF0000"/>
        <color rgb="FF00B050"/>
      </colorScale>
    </cfRule>
  </conditionalFormatting>
  <conditionalFormatting sqref="AI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:S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T1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:U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V1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:X1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:Y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:Z1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:AI21">
    <cfRule type="colorScale" priority="9">
      <colorScale>
        <cfvo type="min"/>
        <cfvo type="max"/>
        <color rgb="FFFF0000"/>
        <color rgb="FF00B050"/>
      </colorScale>
    </cfRule>
  </conditionalFormatting>
  <conditionalFormatting sqref="AJ15:AJ21">
    <cfRule type="colorScale" priority="10">
      <colorScale>
        <cfvo type="min"/>
        <cfvo type="max"/>
        <color rgb="FF00B050"/>
        <color rgb="FFFF0000"/>
      </colorScale>
    </cfRule>
  </conditionalFormatting>
  <conditionalFormatting sqref="AK15:AK21">
    <cfRule type="colorScale" priority="11">
      <colorScale>
        <cfvo type="min"/>
        <cfvo type="max"/>
        <color rgb="FFFF0000"/>
        <color rgb="FF00B050"/>
      </colorScale>
    </cfRule>
  </conditionalFormatting>
  <conditionalFormatting sqref="AL15:AP21">
    <cfRule type="colorScale" priority="12">
      <colorScale>
        <cfvo type="min"/>
        <cfvo type="max"/>
        <color rgb="FF00B050"/>
        <color rgb="FFFF0000"/>
      </colorScale>
    </cfRule>
  </conditionalFormatting>
  <conditionalFormatting sqref="AI15:AI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:AJ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:AK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:AP2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5:AL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6E1B5-16DD-494B-B181-7C92B422C635}">
  <dimension ref="A1:BI41"/>
  <sheetViews>
    <sheetView topLeftCell="V1" workbookViewId="0">
      <selection activeCell="V18" sqref="V18"/>
    </sheetView>
  </sheetViews>
  <sheetFormatPr defaultRowHeight="14.4" x14ac:dyDescent="0.3"/>
  <cols>
    <col min="1" max="1" width="11.21875" bestFit="1" customWidth="1"/>
    <col min="2" max="2" width="8.77734375" bestFit="1" customWidth="1"/>
    <col min="3" max="4" width="10" bestFit="1" customWidth="1"/>
    <col min="5" max="5" width="6" bestFit="1" customWidth="1"/>
    <col min="6" max="6" width="5.5546875" bestFit="1" customWidth="1"/>
    <col min="7" max="8" width="10" bestFit="1" customWidth="1"/>
    <col min="9" max="9" width="6" bestFit="1" customWidth="1"/>
    <col min="10" max="10" width="5.5546875" bestFit="1" customWidth="1"/>
    <col min="11" max="12" width="10" bestFit="1" customWidth="1"/>
    <col min="13" max="13" width="6" bestFit="1" customWidth="1"/>
    <col min="14" max="14" width="5.5546875" bestFit="1" customWidth="1"/>
    <col min="22" max="22" width="14.77734375" bestFit="1" customWidth="1"/>
    <col min="23" max="23" width="5.77734375" bestFit="1" customWidth="1"/>
    <col min="24" max="24" width="4.5546875" bestFit="1" customWidth="1"/>
    <col min="25" max="25" width="5.77734375" bestFit="1" customWidth="1"/>
    <col min="26" max="26" width="5.5546875" bestFit="1" customWidth="1"/>
    <col min="27" max="27" width="5.77734375" bestFit="1" customWidth="1"/>
    <col min="28" max="28" width="5.5546875" bestFit="1" customWidth="1"/>
    <col min="29" max="29" width="5.77734375" bestFit="1" customWidth="1"/>
    <col min="30" max="30" width="4.5546875" bestFit="1" customWidth="1"/>
    <col min="31" max="31" width="5.77734375" bestFit="1" customWidth="1"/>
    <col min="32" max="32" width="5.5546875" bestFit="1" customWidth="1"/>
    <col min="33" max="34" width="5.5546875" customWidth="1"/>
    <col min="35" max="42" width="5.88671875" bestFit="1" customWidth="1"/>
    <col min="43" max="43" width="8.109375" bestFit="1" customWidth="1"/>
    <col min="44" max="44" width="5.88671875" customWidth="1"/>
    <col min="50" max="50" width="5.77734375" bestFit="1" customWidth="1"/>
    <col min="51" max="51" width="9.6640625" bestFit="1" customWidth="1"/>
  </cols>
  <sheetData>
    <row r="1" spans="1:61" x14ac:dyDescent="0.3">
      <c r="C1">
        <v>1</v>
      </c>
      <c r="E1" s="345">
        <v>1</v>
      </c>
      <c r="F1" s="345"/>
      <c r="I1" s="345">
        <v>2</v>
      </c>
      <c r="J1" s="345"/>
      <c r="M1" s="345">
        <v>3</v>
      </c>
      <c r="N1" s="345"/>
      <c r="V1" s="73" t="s">
        <v>331</v>
      </c>
      <c r="W1" s="285">
        <v>1</v>
      </c>
      <c r="X1" s="285">
        <v>1</v>
      </c>
      <c r="Y1" s="285">
        <v>2</v>
      </c>
      <c r="Z1" s="285">
        <v>2</v>
      </c>
      <c r="AA1" s="285">
        <v>3</v>
      </c>
      <c r="AB1" s="285">
        <v>3</v>
      </c>
      <c r="AC1" s="285" t="s">
        <v>1083</v>
      </c>
      <c r="AD1" s="285" t="s">
        <v>1083</v>
      </c>
      <c r="AE1" s="285" t="s">
        <v>1127</v>
      </c>
      <c r="AF1" s="285" t="s">
        <v>1127</v>
      </c>
      <c r="AG1" s="295" t="s">
        <v>1199</v>
      </c>
      <c r="AH1" s="295" t="s">
        <v>1199</v>
      </c>
      <c r="AI1" s="285">
        <v>1</v>
      </c>
      <c r="AJ1" s="285">
        <v>1</v>
      </c>
      <c r="AK1" s="285">
        <v>2</v>
      </c>
      <c r="AL1" s="285">
        <v>2</v>
      </c>
      <c r="AM1" s="285">
        <v>3</v>
      </c>
      <c r="AN1" s="285">
        <v>3</v>
      </c>
      <c r="AO1" s="285" t="s">
        <v>1083</v>
      </c>
      <c r="AP1" s="285" t="s">
        <v>1083</v>
      </c>
      <c r="AQ1" s="289" t="s">
        <v>1127</v>
      </c>
      <c r="AR1" s="289" t="s">
        <v>1127</v>
      </c>
      <c r="AX1" s="73" t="s">
        <v>331</v>
      </c>
      <c r="AY1" s="73" t="s">
        <v>398</v>
      </c>
      <c r="AZ1" s="75" t="s">
        <v>372</v>
      </c>
      <c r="BA1" s="99" t="s">
        <v>90</v>
      </c>
      <c r="BB1" s="99" t="s">
        <v>89</v>
      </c>
      <c r="BC1" s="100" t="s">
        <v>461</v>
      </c>
      <c r="BD1" s="99" t="s">
        <v>384</v>
      </c>
      <c r="BE1" s="99" t="s">
        <v>94</v>
      </c>
      <c r="BF1" s="99" t="s">
        <v>93</v>
      </c>
      <c r="BG1" s="99" t="s">
        <v>92</v>
      </c>
      <c r="BH1" s="139" t="s">
        <v>222</v>
      </c>
      <c r="BI1" s="75"/>
    </row>
    <row r="2" spans="1:61" x14ac:dyDescent="0.3">
      <c r="E2" s="232"/>
      <c r="F2" s="232"/>
      <c r="I2" s="232"/>
      <c r="J2" s="232"/>
      <c r="M2" s="232"/>
      <c r="N2" s="232"/>
      <c r="V2" s="73"/>
      <c r="W2" s="285">
        <v>11</v>
      </c>
      <c r="X2" s="285">
        <v>11</v>
      </c>
      <c r="Y2" s="285">
        <v>19</v>
      </c>
      <c r="Z2" s="285">
        <v>19</v>
      </c>
      <c r="AA2" s="285">
        <v>28</v>
      </c>
      <c r="AB2" s="285">
        <v>28</v>
      </c>
      <c r="AC2" s="285" t="s">
        <v>1083</v>
      </c>
      <c r="AD2" s="285" t="s">
        <v>1083</v>
      </c>
      <c r="AE2" s="285" t="s">
        <v>1127</v>
      </c>
      <c r="AF2" s="285" t="s">
        <v>1127</v>
      </c>
      <c r="AG2" s="295" t="s">
        <v>1199</v>
      </c>
      <c r="AH2" s="295" t="s">
        <v>1199</v>
      </c>
      <c r="AI2" s="285" t="s">
        <v>1085</v>
      </c>
      <c r="AJ2" s="285" t="s">
        <v>1085</v>
      </c>
      <c r="AK2" s="285" t="s">
        <v>1085</v>
      </c>
      <c r="AL2" s="285" t="s">
        <v>1085</v>
      </c>
      <c r="AM2" s="285" t="s">
        <v>1085</v>
      </c>
      <c r="AN2" s="285" t="s">
        <v>1085</v>
      </c>
      <c r="AO2" s="285" t="s">
        <v>1085</v>
      </c>
      <c r="AP2" s="285" t="s">
        <v>1085</v>
      </c>
      <c r="AQ2" s="285" t="s">
        <v>1085</v>
      </c>
      <c r="AR2" s="285" t="s">
        <v>1085</v>
      </c>
      <c r="AX2" s="73"/>
      <c r="AY2" s="73"/>
      <c r="AZ2" s="13"/>
      <c r="BA2" s="76"/>
      <c r="BB2" s="76"/>
      <c r="BC2" s="18"/>
      <c r="BD2" s="76"/>
      <c r="BE2" s="76"/>
      <c r="BF2" s="76"/>
      <c r="BG2" s="76"/>
      <c r="BH2" s="171"/>
      <c r="BI2" s="99"/>
    </row>
    <row r="3" spans="1:61" x14ac:dyDescent="0.3">
      <c r="A3" t="s">
        <v>398</v>
      </c>
      <c r="C3" t="s">
        <v>464</v>
      </c>
      <c r="D3" t="s">
        <v>463</v>
      </c>
      <c r="E3" t="s">
        <v>474</v>
      </c>
      <c r="F3" t="s">
        <v>466</v>
      </c>
      <c r="G3" t="s">
        <v>464</v>
      </c>
      <c r="H3" t="s">
        <v>463</v>
      </c>
      <c r="I3" t="s">
        <v>474</v>
      </c>
      <c r="J3" t="s">
        <v>466</v>
      </c>
      <c r="K3" t="s">
        <v>464</v>
      </c>
      <c r="L3" t="s">
        <v>463</v>
      </c>
      <c r="M3" t="s">
        <v>474</v>
      </c>
      <c r="N3" t="s">
        <v>466</v>
      </c>
      <c r="Q3" t="s">
        <v>458</v>
      </c>
      <c r="R3" t="s">
        <v>452</v>
      </c>
      <c r="S3" t="s">
        <v>453</v>
      </c>
      <c r="T3" t="s">
        <v>454</v>
      </c>
      <c r="V3" s="73" t="s">
        <v>398</v>
      </c>
      <c r="W3" s="285" t="s">
        <v>474</v>
      </c>
      <c r="X3" s="285" t="s">
        <v>466</v>
      </c>
      <c r="Y3" s="285" t="s">
        <v>474</v>
      </c>
      <c r="Z3" s="285" t="s">
        <v>466</v>
      </c>
      <c r="AA3" s="285" t="s">
        <v>474</v>
      </c>
      <c r="AB3" s="285" t="s">
        <v>466</v>
      </c>
      <c r="AC3" s="285" t="s">
        <v>474</v>
      </c>
      <c r="AD3" s="285" t="s">
        <v>466</v>
      </c>
      <c r="AE3" s="285" t="s">
        <v>474</v>
      </c>
      <c r="AF3" s="285" t="s">
        <v>466</v>
      </c>
      <c r="AG3" s="295" t="s">
        <v>474</v>
      </c>
      <c r="AH3" s="295" t="s">
        <v>466</v>
      </c>
      <c r="AI3" s="285" t="s">
        <v>474</v>
      </c>
      <c r="AJ3" s="285" t="s">
        <v>466</v>
      </c>
      <c r="AK3" s="285" t="s">
        <v>474</v>
      </c>
      <c r="AL3" s="285" t="s">
        <v>466</v>
      </c>
      <c r="AM3" s="285" t="s">
        <v>474</v>
      </c>
      <c r="AN3" s="285" t="s">
        <v>466</v>
      </c>
      <c r="AO3" s="285" t="s">
        <v>474</v>
      </c>
      <c r="AP3" s="285" t="s">
        <v>466</v>
      </c>
      <c r="AQ3" s="285" t="s">
        <v>474</v>
      </c>
      <c r="AR3" s="285" t="s">
        <v>466</v>
      </c>
      <c r="AS3">
        <v>1</v>
      </c>
      <c r="AT3">
        <v>2</v>
      </c>
      <c r="AU3" s="139">
        <v>3</v>
      </c>
      <c r="AV3" t="s">
        <v>1083</v>
      </c>
      <c r="AW3" t="s">
        <v>1127</v>
      </c>
      <c r="AX3" s="344">
        <v>1</v>
      </c>
      <c r="AY3" s="74" t="s">
        <v>474</v>
      </c>
      <c r="AZ3" s="90">
        <v>97.481399999999994</v>
      </c>
      <c r="BA3" s="92">
        <v>94.943600000000004</v>
      </c>
      <c r="BB3" s="92">
        <v>97.176900000000003</v>
      </c>
      <c r="BC3" s="94">
        <v>69.647199999999998</v>
      </c>
      <c r="BD3" s="92">
        <v>72.290099999999995</v>
      </c>
      <c r="BE3" s="92">
        <v>95.262</v>
      </c>
      <c r="BF3" s="92">
        <v>91.790300000000002</v>
      </c>
      <c r="BG3" s="92">
        <v>66.3322</v>
      </c>
      <c r="BH3" t="s">
        <v>325</v>
      </c>
      <c r="BI3" s="99"/>
    </row>
    <row r="4" spans="1:61" x14ac:dyDescent="0.3">
      <c r="A4" t="s">
        <v>372</v>
      </c>
      <c r="B4" t="s">
        <v>373</v>
      </c>
      <c r="C4">
        <v>577935870</v>
      </c>
      <c r="D4">
        <v>592867585</v>
      </c>
      <c r="E4" s="79">
        <v>97.481399999999994</v>
      </c>
      <c r="F4" s="79">
        <v>60.492100000000001</v>
      </c>
      <c r="G4" s="10">
        <v>623835316</v>
      </c>
      <c r="H4" s="10">
        <v>633305329</v>
      </c>
      <c r="I4" s="79">
        <v>98.5047</v>
      </c>
      <c r="J4" s="79">
        <v>62.8904</v>
      </c>
      <c r="K4" s="10">
        <v>632539563</v>
      </c>
      <c r="L4" s="10">
        <v>642559833</v>
      </c>
      <c r="M4" s="79">
        <v>98.440600000000003</v>
      </c>
      <c r="N4" s="79">
        <v>63.103000000000002</v>
      </c>
      <c r="P4" t="s">
        <v>459</v>
      </c>
      <c r="Q4">
        <v>740868</v>
      </c>
      <c r="R4">
        <f>35.2%*64</f>
        <v>22.528000000000002</v>
      </c>
      <c r="S4">
        <v>54.41</v>
      </c>
      <c r="T4" s="68">
        <v>7.8935185185185185E-3</v>
      </c>
      <c r="V4" s="75" t="s">
        <v>490</v>
      </c>
      <c r="W4" s="301">
        <v>0.97481399999999996</v>
      </c>
      <c r="X4" s="301">
        <v>0.60492100000000004</v>
      </c>
      <c r="Y4" s="302">
        <v>0.98504700000000001</v>
      </c>
      <c r="Z4" s="303">
        <v>0.62890400000000002</v>
      </c>
      <c r="AA4" s="301">
        <v>0.984406</v>
      </c>
      <c r="AB4" s="303">
        <v>0.63102999999999998</v>
      </c>
      <c r="AC4" s="312">
        <v>0.98440499999999997</v>
      </c>
      <c r="AD4" s="312">
        <v>0.63102999999999998</v>
      </c>
      <c r="AE4" s="299">
        <v>0.98353000000000002</v>
      </c>
      <c r="AF4" s="299">
        <v>0.63085899999999995</v>
      </c>
      <c r="AG4" s="299"/>
      <c r="AH4" s="299"/>
      <c r="AI4" s="160">
        <f>IF(ISNUMBER(W4),IF(AI$2="x",(W4-MIN(W$4:W$12))/(MAX(W$4:W$12)-MIN(W$4:W$12)),(MAX(W$4:W$12)-W4)/(MAX(W$4:W$12)-MIN(W$4:W$12))),"")</f>
        <v>1</v>
      </c>
      <c r="AJ4" s="160">
        <f>IF(ISNUMBER(X4),IF(AJ$2="x",(X4-MIN(X$4:X$12))/(MAX(X$4:X$12)-MIN(X$4:X$12)),(MAX(X$4:X$12)-X4)/(MAX(X$4:X$12)-MIN(X$4:X$12))),"")</f>
        <v>1</v>
      </c>
      <c r="AK4" s="160">
        <f>IF(ISNUMBER(Y4),IF(AK$2="x",(Y4-MIN(Y$4:Y$12))/(MAX(Y$4:Y$12)-MIN(Y$4:Y$12)),(MAX(Y$4:Y$12)-Y4)/(MAX(Y$4:Y$12)-MIN(Y$4:Y$12))),"")</f>
        <v>1</v>
      </c>
      <c r="AL4" s="160">
        <f>IF(ISNUMBER(Z4),IF(AL$2="x",(Z4-MIN(Z$4:Z$12))/(MAX(Z$4:Z$12)-MIN(Z$4:Z$12)),(MAX(Z$4:Z$12)-Z4)/(MAX(Z$4:Z$12)-MIN(Z$4:Z$12))),"")</f>
        <v>1</v>
      </c>
      <c r="AM4" s="160">
        <f>IF(ISNUMBER(AA4),IF(AM$2="x",(AA4-MIN(AA$4:AA$12))/(MAX(AA$4:AA$12)-MIN(AA$4:AA$12)),(MAX(AA$4:AA$12)-AA4)/(MAX(AA$4:AA$12)-MIN(AA$4:AA$12))),"")</f>
        <v>1</v>
      </c>
      <c r="AN4" s="160">
        <f>IF(ISNUMBER(AB4),IF(AN$2="x",(AB4-MIN(AB$4:AB$12))/(MAX(AB$4:AB$12)-MIN(AB$4:AB$12)),(MAX(AB$4:AB$12)-AB4)/(MAX(AB$4:AB$12)-MIN(AB$4:AB$12))),"")</f>
        <v>1</v>
      </c>
      <c r="AO4" s="160">
        <f>IF(ISNUMBER(AC4),IF(AO$2="x",(AC4-MIN(AC$4:AC$12))/(MAX(AC$4:AC$12)-MIN(AC$4:AC$12)),(MAX(AC$4:AC$12)-AC4)/(MAX(AC$4:AC$12)-MIN(AC$4:AC$12))),"")</f>
        <v>1</v>
      </c>
      <c r="AP4" s="160">
        <f>IF(ISNUMBER(AD4),IF(AP$2="x",(AD4-MIN(AD$4:AD$12))/(MAX(AD$4:AD$12)-MIN(AD$4:AD$12)),(MAX(AD$4:AD$12)-AD4)/(MAX(AD$4:AD$12)-MIN(AD$4:AD$12))),"")</f>
        <v>1</v>
      </c>
      <c r="AQ4" s="160">
        <f>IF(ISNUMBER(AE4),IF(AQ$2="x",(AE4-MIN(AE$4:AE$12))/(MAX(AE$4:AE$12)-MIN(AE$4:AE$12)),(MAX(AE$4:AE$12)-AE4)/(MAX(AE$4:AE$12)-MIN(AE$4:AE$12))),"")</f>
        <v>1</v>
      </c>
      <c r="AR4" s="160">
        <f>IF(ISNUMBER(AF4),IF(AR$2="x",(AF4-MIN(AF$4:AF$12))/(MAX(AF$4:AF$12)-MIN(AF$4:AF$12)),(MAX(AF$4:AF$12)-AF4)/(MAX(AF$4:AF$12)-MIN(AF$4:AF$12))),"")</f>
        <v>1</v>
      </c>
      <c r="AS4" s="161">
        <f t="shared" ref="AS4:AT12" si="0">IFERROR(AVERAGEIF($AI$1:$AN$1,"="&amp;AS$3,$AI4:$AN4),"")</f>
        <v>1</v>
      </c>
      <c r="AT4" s="161">
        <f t="shared" si="0"/>
        <v>1</v>
      </c>
      <c r="AU4" s="161">
        <f>IFERROR(AVERAGEIF($AI$1:$AP$1,"="&amp;AU$3,$AI4:$AP4),"")</f>
        <v>1</v>
      </c>
      <c r="AV4" s="161">
        <f>IFERROR(AVERAGEIF($AI$1:$AR$1,"="&amp;AV$3,$AI4:$AR4),"")</f>
        <v>1</v>
      </c>
      <c r="AW4" s="161">
        <f>IFERROR(AVERAGEIF($AI$1:$AR$1,"="&amp;AW$3,$AI4:$AR4),"")</f>
        <v>1</v>
      </c>
      <c r="AX4" s="344"/>
      <c r="AY4" s="74" t="s">
        <v>466</v>
      </c>
      <c r="AZ4" s="90">
        <v>60.492100000000001</v>
      </c>
      <c r="BA4" s="92">
        <v>42.054400000000001</v>
      </c>
      <c r="BB4" s="92">
        <v>52.021799999999999</v>
      </c>
      <c r="BC4" s="94">
        <v>46.820999999999998</v>
      </c>
      <c r="BD4" s="92">
        <v>48.225900000000003</v>
      </c>
      <c r="BE4" s="92">
        <v>46.4313</v>
      </c>
      <c r="BF4" s="92">
        <v>42.749200000000002</v>
      </c>
      <c r="BG4" s="92">
        <v>25.450900000000001</v>
      </c>
      <c r="BH4" t="s">
        <v>325</v>
      </c>
      <c r="BI4" s="99"/>
    </row>
    <row r="5" spans="1:61" x14ac:dyDescent="0.3">
      <c r="A5" t="s">
        <v>90</v>
      </c>
      <c r="B5" t="s">
        <v>373</v>
      </c>
      <c r="C5">
        <v>562889556</v>
      </c>
      <c r="D5">
        <v>592867585</v>
      </c>
      <c r="E5" s="79">
        <v>94.943600000000004</v>
      </c>
      <c r="F5" s="79">
        <v>42.054400000000001</v>
      </c>
      <c r="G5" s="10">
        <v>619422423</v>
      </c>
      <c r="H5" s="10">
        <v>633305329</v>
      </c>
      <c r="I5" s="79">
        <v>97.807900000000004</v>
      </c>
      <c r="J5" s="79">
        <v>46.277299999999997</v>
      </c>
      <c r="K5" s="10">
        <v>627649586</v>
      </c>
      <c r="L5" s="10">
        <v>642559833</v>
      </c>
      <c r="M5" s="79">
        <v>97.679599999999994</v>
      </c>
      <c r="N5" s="79">
        <v>46.902700000000003</v>
      </c>
      <c r="P5" t="s">
        <v>459</v>
      </c>
      <c r="Q5">
        <v>740108</v>
      </c>
      <c r="R5">
        <f>13.77%*198</f>
        <v>27.264599999999998</v>
      </c>
      <c r="S5">
        <v>68.069999999999993</v>
      </c>
      <c r="T5" s="68">
        <v>7.2916666666666659E-3</v>
      </c>
      <c r="V5" s="139" t="s">
        <v>222</v>
      </c>
      <c r="W5" s="305" t="s">
        <v>1121</v>
      </c>
      <c r="X5" s="289"/>
      <c r="Y5" s="306" t="s">
        <v>1121</v>
      </c>
      <c r="Z5" s="290"/>
      <c r="AA5" s="307">
        <v>0.93184599999999995</v>
      </c>
      <c r="AB5" s="308">
        <v>0.43931399999999998</v>
      </c>
      <c r="AC5" s="323">
        <v>0.93184599999999995</v>
      </c>
      <c r="AD5" s="323">
        <v>0.41799599999999998</v>
      </c>
      <c r="AE5" s="299">
        <v>0.92783800000000005</v>
      </c>
      <c r="AF5" s="368">
        <v>0.43960399999999999</v>
      </c>
      <c r="AG5" s="368"/>
      <c r="AH5" s="368"/>
      <c r="AI5" s="160" t="str">
        <f t="shared" ref="AI5:AI12" si="1">IF(ISNUMBER(W5),IF(AI$2="x",(W5-MIN(W$4:W$12))/(MAX(W$4:W$12)-MIN(W$4:W$12)),(MAX(W$4:W$12)-W5)/(MAX(W$4:W$12)-MIN(W$4:W$12))),"")</f>
        <v/>
      </c>
      <c r="AJ5" s="160" t="str">
        <f t="shared" ref="AJ5:AJ12" si="2">IF(ISNUMBER(X5),IF(AJ$2="x",(X5-MIN(X$4:X$12))/(MAX(X$4:X$12)-MIN(X$4:X$12)),(MAX(X$4:X$12)-X5)/(MAX(X$4:X$12)-MIN(X$4:X$12))),"")</f>
        <v/>
      </c>
      <c r="AK5" s="160" t="str">
        <f t="shared" ref="AK5:AK12" si="3">IF(ISNUMBER(Y5),IF(AK$2="x",(Y5-MIN(Y$4:Y$12))/(MAX(Y$4:Y$12)-MIN(Y$4:Y$12)),(MAX(Y$4:Y$12)-Y5)/(MAX(Y$4:Y$12)-MIN(Y$4:Y$12))),"")</f>
        <v/>
      </c>
      <c r="AL5" s="160" t="str">
        <f t="shared" ref="AL5:AL12" si="4">IF(ISNUMBER(Z5),IF(AL$2="x",(Z5-MIN(Z$4:Z$12))/(MAX(Z$4:Z$12)-MIN(Z$4:Z$12)),(MAX(Z$4:Z$12)-Z5)/(MAX(Z$4:Z$12)-MIN(Z$4:Z$12))),"")</f>
        <v/>
      </c>
      <c r="AM5" s="160">
        <f t="shared" ref="AM5:AM12" si="5">IF(ISNUMBER(AA5),IF(AM$2="x",(AA5-MIN(AA$4:AA$12))/(MAX(AA$4:AA$12)-MIN(AA$4:AA$12)),(MAX(AA$4:AA$12)-AA5)/(MAX(AA$4:AA$12)-MIN(AA$4:AA$12))),"")</f>
        <v>0.80793545227985275</v>
      </c>
      <c r="AN5" s="160">
        <f t="shared" ref="AN5:AN12" si="6">IF(ISNUMBER(AB5),IF(AN$2="x",(AB5-MIN(AB$4:AB$12))/(MAX(AB$4:AB$12)-MIN(AB$4:AB$12)),(MAX(AB$4:AB$12)-AB5)/(MAX(AB$4:AB$12)-MIN(AB$4:AB$12))),"")</f>
        <v>0.47282106559901449</v>
      </c>
      <c r="AO5" s="160">
        <f t="shared" ref="AO5:AO12" si="7">IF(ISNUMBER(AC5),IF(AO$2="x",(AC5-MIN(AC$4:AC$12))/(MAX(AC$4:AC$12)-MIN(AC$4:AC$12)),(MAX(AC$4:AC$12)-AC5)/(MAX(AC$4:AC$12)-MIN(AC$4:AC$12))),"")</f>
        <v>0.85273878568826866</v>
      </c>
      <c r="AP5" s="160">
        <f t="shared" ref="AP5:AP12" si="8">IF(ISNUMBER(AD5),IF(AP$2="x",(AD5-MIN(AD$4:AD$12))/(MAX(AD$4:AD$12)-MIN(AD$4:AD$12)),(MAX(AD$4:AD$12)-AD5)/(MAX(AD$4:AD$12)-MIN(AD$4:AD$12))),"")</f>
        <v>0.41125131963674755</v>
      </c>
      <c r="AQ5" s="160">
        <f t="shared" ref="AQ5:AQ12" si="9">IF(ISNUMBER(AE5),IF(AQ$2="x",(AE5-MIN(AE$4:AE$12))/(MAX(AE$4:AE$12)-MIN(AE$4:AE$12)),(MAX(AE$4:AE$12)-AE5)/(MAX(AE$4:AE$12)-MIN(AE$4:AE$12))),"")</f>
        <v>0.79586540576204112</v>
      </c>
      <c r="AR5" s="160">
        <f t="shared" ref="AR5:AR12" si="10">IF(ISNUMBER(AF5),IF(AR$2="x",(AF5-MIN(AF$4:AF$12))/(MAX(AF$4:AF$12)-MIN(AF$4:AF$12)),(MAX(AF$4:AF$12)-AF5)/(MAX(AF$4:AF$12)-MIN(AF$4:AF$12))),"")</f>
        <v>0.47383407430231539</v>
      </c>
      <c r="AS5" s="161" t="str">
        <f t="shared" si="0"/>
        <v/>
      </c>
      <c r="AT5" s="161" t="str">
        <f t="shared" si="0"/>
        <v/>
      </c>
      <c r="AU5" s="161">
        <f t="shared" ref="AU5:AV12" si="11">IFERROR(AVERAGEIF($AI$1:$AP$1,"="&amp;AU$3,$AI5:$AP5),"")</f>
        <v>0.64037825893943356</v>
      </c>
      <c r="AV5" s="161">
        <f t="shared" si="11"/>
        <v>0.63199505266250811</v>
      </c>
      <c r="AW5" s="161">
        <f t="shared" ref="AW5:AW12" si="12">IFERROR(AVERAGEIF($AI$1:$AR$1,"="&amp;AW$3,$AI5:$AR5),"")</f>
        <v>0.6348497400321782</v>
      </c>
      <c r="AX5" s="344">
        <v>2</v>
      </c>
      <c r="AY5" s="74" t="s">
        <v>474</v>
      </c>
      <c r="AZ5" s="96">
        <v>98.5047</v>
      </c>
      <c r="BA5" s="97">
        <v>97.807900000000004</v>
      </c>
      <c r="BB5" s="97">
        <v>98.341099999999997</v>
      </c>
      <c r="BC5" s="98">
        <v>94.558300000000003</v>
      </c>
      <c r="BD5" s="97">
        <v>69.73</v>
      </c>
      <c r="BE5" s="97" t="s">
        <v>325</v>
      </c>
      <c r="BF5" s="97">
        <v>92.064599999999999</v>
      </c>
      <c r="BG5" s="97">
        <v>71.904300000000006</v>
      </c>
      <c r="BH5" t="s">
        <v>325</v>
      </c>
      <c r="BI5" s="99"/>
    </row>
    <row r="6" spans="1:61" x14ac:dyDescent="0.3">
      <c r="A6" t="s">
        <v>89</v>
      </c>
      <c r="B6" t="s">
        <v>380</v>
      </c>
      <c r="C6">
        <v>532865337</v>
      </c>
      <c r="D6">
        <v>592867585</v>
      </c>
      <c r="E6" s="79">
        <v>89.879300000000001</v>
      </c>
      <c r="F6" s="79">
        <v>52.1158</v>
      </c>
      <c r="G6" s="10">
        <v>553990321</v>
      </c>
      <c r="H6" s="10">
        <v>633305329</v>
      </c>
      <c r="I6" s="79">
        <v>87.475999999999999</v>
      </c>
      <c r="J6" s="79">
        <v>57.150199999999998</v>
      </c>
      <c r="K6" s="10">
        <v>554574519</v>
      </c>
      <c r="L6" s="10">
        <v>642559833</v>
      </c>
      <c r="M6" s="79">
        <v>86.307100000000005</v>
      </c>
      <c r="N6" s="79">
        <v>58.6004</v>
      </c>
      <c r="P6" t="s">
        <v>460</v>
      </c>
      <c r="Q6">
        <v>740869</v>
      </c>
      <c r="R6">
        <f>10.78%*198</f>
        <v>21.3444</v>
      </c>
      <c r="S6">
        <v>5.29</v>
      </c>
      <c r="T6" s="68">
        <v>3.8136574074074073E-2</v>
      </c>
      <c r="V6" s="99" t="s">
        <v>90</v>
      </c>
      <c r="W6" s="309">
        <v>0.94943599999999995</v>
      </c>
      <c r="X6" s="309">
        <v>0.42054399999999997</v>
      </c>
      <c r="Y6" s="310">
        <v>0.97807900000000003</v>
      </c>
      <c r="Z6" s="311">
        <v>0.46277299999999999</v>
      </c>
      <c r="AA6" s="309">
        <v>0.976796</v>
      </c>
      <c r="AB6" s="311">
        <v>0.46902700000000003</v>
      </c>
      <c r="AC6" s="312">
        <v>0.97678900000000002</v>
      </c>
      <c r="AD6" s="312">
        <v>0.46903</v>
      </c>
      <c r="AE6" s="299">
        <v>0.97670199999999996</v>
      </c>
      <c r="AF6" s="299">
        <v>0.46898499999999999</v>
      </c>
      <c r="AG6" s="299"/>
      <c r="AH6" s="299"/>
      <c r="AI6" s="160">
        <f t="shared" si="1"/>
        <v>0.91852760263505961</v>
      </c>
      <c r="AJ6" s="160">
        <f t="shared" si="2"/>
        <v>0.47382795109756504</v>
      </c>
      <c r="AK6" s="160">
        <f t="shared" si="3"/>
        <v>0.97578428272058448</v>
      </c>
      <c r="AL6" s="160">
        <f t="shared" si="4"/>
        <v>0.54613728629267999</v>
      </c>
      <c r="AM6" s="160">
        <f t="shared" si="5"/>
        <v>0.97219156757704872</v>
      </c>
      <c r="AN6" s="160">
        <f t="shared" si="6"/>
        <v>0.55452560605393997</v>
      </c>
      <c r="AO6" s="160">
        <f t="shared" si="7"/>
        <v>0.97866128715922796</v>
      </c>
      <c r="AP6" s="160">
        <f t="shared" si="8"/>
        <v>0.55229077884822664</v>
      </c>
      <c r="AQ6" s="160">
        <f t="shared" si="9"/>
        <v>0.97497250934682189</v>
      </c>
      <c r="AR6" s="160">
        <f t="shared" si="10"/>
        <v>0.55466480323972178</v>
      </c>
      <c r="AS6" s="161">
        <f t="shared" si="0"/>
        <v>0.69617777686631233</v>
      </c>
      <c r="AT6" s="161">
        <f t="shared" si="0"/>
        <v>0.76096078450663218</v>
      </c>
      <c r="AU6" s="161">
        <f t="shared" si="11"/>
        <v>0.7633585868154944</v>
      </c>
      <c r="AV6" s="161">
        <f t="shared" si="11"/>
        <v>0.76547603300372735</v>
      </c>
      <c r="AW6" s="161">
        <f t="shared" si="12"/>
        <v>0.76481865629327184</v>
      </c>
      <c r="AX6" s="344"/>
      <c r="AY6" s="74" t="s">
        <v>466</v>
      </c>
      <c r="AZ6" s="91">
        <v>62.8904</v>
      </c>
      <c r="BA6" s="93">
        <v>46.277299999999997</v>
      </c>
      <c r="BB6" s="93">
        <v>57.112499999999997</v>
      </c>
      <c r="BC6" s="95">
        <v>36.182099999999998</v>
      </c>
      <c r="BD6" s="93">
        <v>48.521999999999998</v>
      </c>
      <c r="BE6" s="93" t="s">
        <v>325</v>
      </c>
      <c r="BF6" s="93">
        <v>44.066200000000002</v>
      </c>
      <c r="BG6" s="93">
        <v>26.2866</v>
      </c>
      <c r="BH6" t="s">
        <v>325</v>
      </c>
      <c r="BI6" s="99"/>
    </row>
    <row r="7" spans="1:61" x14ac:dyDescent="0.3">
      <c r="A7" t="s">
        <v>89</v>
      </c>
      <c r="B7" t="s">
        <v>381</v>
      </c>
      <c r="C7">
        <v>382283660</v>
      </c>
      <c r="D7">
        <v>592867585</v>
      </c>
      <c r="E7" s="79">
        <v>64.480400000000003</v>
      </c>
      <c r="F7" s="79">
        <v>51.861800000000002</v>
      </c>
      <c r="G7" s="10">
        <v>499420984</v>
      </c>
      <c r="H7" s="10">
        <v>633305329</v>
      </c>
      <c r="I7" s="79">
        <v>78.859399999999994</v>
      </c>
      <c r="J7" s="79">
        <v>57.065300000000001</v>
      </c>
      <c r="K7" s="10">
        <v>516136204</v>
      </c>
      <c r="L7" s="10">
        <v>642559833</v>
      </c>
      <c r="M7" s="79">
        <v>80.325000000000003</v>
      </c>
      <c r="N7" s="79">
        <v>58.833399999999997</v>
      </c>
      <c r="V7" s="99" t="s">
        <v>89</v>
      </c>
      <c r="W7" s="309">
        <v>0.97176899999999999</v>
      </c>
      <c r="X7" s="309">
        <v>0.52021799999999996</v>
      </c>
      <c r="Y7" s="310">
        <v>0.98341100000000004</v>
      </c>
      <c r="Z7" s="311">
        <v>0.57112499999999999</v>
      </c>
      <c r="AA7" s="312">
        <v>0.98260199999999998</v>
      </c>
      <c r="AB7" s="313">
        <v>0.58789199999999997</v>
      </c>
      <c r="AC7" s="312">
        <v>0.95474599999999998</v>
      </c>
      <c r="AD7" s="312">
        <v>0.59317299999999995</v>
      </c>
      <c r="AE7" s="299">
        <v>0.95473699999999995</v>
      </c>
      <c r="AF7" s="325">
        <v>0.59321900000000005</v>
      </c>
      <c r="AG7" s="325">
        <v>83.637500000000003</v>
      </c>
      <c r="AH7" s="325">
        <v>42.155799999999999</v>
      </c>
      <c r="AI7" s="160">
        <f t="shared" si="1"/>
        <v>0.99022446804412323</v>
      </c>
      <c r="AJ7" s="160">
        <f t="shared" si="2"/>
        <v>0.75827597228405397</v>
      </c>
      <c r="AK7" s="160">
        <f t="shared" si="3"/>
        <v>0.99431444984656669</v>
      </c>
      <c r="AL7" s="160">
        <f t="shared" si="4"/>
        <v>0.84215026855135255</v>
      </c>
      <c r="AM7" s="160">
        <f t="shared" si="5"/>
        <v>0.99340783021143164</v>
      </c>
      <c r="AN7" s="160">
        <f t="shared" si="6"/>
        <v>0.88137951515684809</v>
      </c>
      <c r="AO7" s="160">
        <f t="shared" si="7"/>
        <v>0.91690061920372079</v>
      </c>
      <c r="AP7" s="160">
        <f t="shared" si="8"/>
        <v>0.89537698774603269</v>
      </c>
      <c r="AQ7" s="160">
        <f t="shared" si="9"/>
        <v>0.89446154973975489</v>
      </c>
      <c r="AR7" s="160">
        <f t="shared" si="10"/>
        <v>0.89644775068227867</v>
      </c>
      <c r="AS7" s="161">
        <f t="shared" si="0"/>
        <v>0.8742502201640886</v>
      </c>
      <c r="AT7" s="161">
        <f t="shared" si="0"/>
        <v>0.91823235919895962</v>
      </c>
      <c r="AU7" s="161">
        <f t="shared" si="11"/>
        <v>0.93739367268413987</v>
      </c>
      <c r="AV7" s="161">
        <f t="shared" si="11"/>
        <v>0.90613880347487674</v>
      </c>
      <c r="AW7" s="161">
        <f t="shared" si="12"/>
        <v>0.89545465021101678</v>
      </c>
      <c r="AX7" s="344">
        <v>3</v>
      </c>
      <c r="AY7" s="74" t="s">
        <v>474</v>
      </c>
      <c r="AZ7" s="90">
        <v>98.440600000000003</v>
      </c>
      <c r="BA7" s="92">
        <v>97.679599999999994</v>
      </c>
      <c r="BB7" s="92">
        <v>98.258600000000001</v>
      </c>
      <c r="BC7" s="94">
        <v>96.069199999999995</v>
      </c>
      <c r="BD7" s="92">
        <v>71.074799999999996</v>
      </c>
      <c r="BE7" s="92" t="s">
        <v>325</v>
      </c>
      <c r="BF7" s="92">
        <v>92.276499999999999</v>
      </c>
      <c r="BG7" s="92">
        <v>73.218599999999995</v>
      </c>
      <c r="BH7" s="141">
        <v>93.184600000000003</v>
      </c>
      <c r="BI7" s="99"/>
    </row>
    <row r="8" spans="1:61" x14ac:dyDescent="0.3">
      <c r="A8" t="s">
        <v>89</v>
      </c>
      <c r="B8" t="s">
        <v>374</v>
      </c>
      <c r="C8">
        <v>576130163</v>
      </c>
      <c r="D8">
        <v>592867585</v>
      </c>
      <c r="E8" s="79">
        <v>97.176900000000003</v>
      </c>
      <c r="F8" s="79">
        <v>52.021799999999999</v>
      </c>
      <c r="G8" s="10">
        <v>622799213</v>
      </c>
      <c r="H8" s="10">
        <v>633305329</v>
      </c>
      <c r="I8" s="79">
        <v>98.341099999999997</v>
      </c>
      <c r="J8" s="79">
        <v>57.112499999999997</v>
      </c>
      <c r="K8" s="10">
        <v>631370178</v>
      </c>
      <c r="L8" s="10">
        <v>642559833</v>
      </c>
      <c r="M8" s="79">
        <v>98.258600000000001</v>
      </c>
      <c r="N8" s="79">
        <v>58.7241</v>
      </c>
      <c r="P8" t="s">
        <v>465</v>
      </c>
      <c r="Q8" t="s">
        <v>467</v>
      </c>
      <c r="V8" s="74" t="s">
        <v>461</v>
      </c>
      <c r="W8" s="314">
        <v>0.69647199999999998</v>
      </c>
      <c r="X8" s="314">
        <v>0.46821000000000002</v>
      </c>
      <c r="Y8" s="314">
        <v>0.94558299999999995</v>
      </c>
      <c r="Z8" s="314">
        <v>0.361821</v>
      </c>
      <c r="AA8" s="314">
        <v>0.96069199999999999</v>
      </c>
      <c r="AB8" s="314">
        <v>0.38205800000000001</v>
      </c>
      <c r="AC8" s="79">
        <v>0.93719799999999998</v>
      </c>
      <c r="AD8" s="323">
        <v>0.37800899999999998</v>
      </c>
      <c r="AE8" s="299">
        <v>0.93717700000000004</v>
      </c>
      <c r="AF8" s="299">
        <v>0.377994</v>
      </c>
      <c r="AG8" s="299"/>
      <c r="AH8" s="299"/>
      <c r="AI8" s="160">
        <f t="shared" si="1"/>
        <v>0.10642327892851185</v>
      </c>
      <c r="AJ8" s="160">
        <f t="shared" si="2"/>
        <v>0.60985639761195387</v>
      </c>
      <c r="AK8" s="160">
        <f t="shared" si="3"/>
        <v>0.86285174128661613</v>
      </c>
      <c r="AL8" s="160">
        <f t="shared" si="4"/>
        <v>0.27034078429015568</v>
      </c>
      <c r="AM8" s="160">
        <f t="shared" si="5"/>
        <v>0.91334439336690321</v>
      </c>
      <c r="AN8" s="160">
        <f t="shared" si="6"/>
        <v>0.31537903119362937</v>
      </c>
      <c r="AO8" s="160">
        <f t="shared" si="7"/>
        <v>0.86773416267406345</v>
      </c>
      <c r="AP8" s="160">
        <f t="shared" si="8"/>
        <v>0.3007417602157848</v>
      </c>
      <c r="AQ8" s="160">
        <f t="shared" si="9"/>
        <v>0.83009676709918645</v>
      </c>
      <c r="AR8" s="160">
        <f t="shared" si="10"/>
        <v>0.30433741966722422</v>
      </c>
      <c r="AS8" s="161">
        <f t="shared" si="0"/>
        <v>0.35813983827023288</v>
      </c>
      <c r="AT8" s="161">
        <f t="shared" si="0"/>
        <v>0.56659626278838593</v>
      </c>
      <c r="AU8" s="161">
        <f t="shared" si="11"/>
        <v>0.61436171228026626</v>
      </c>
      <c r="AV8" s="161">
        <f t="shared" si="11"/>
        <v>0.58423796144492413</v>
      </c>
      <c r="AW8" s="161">
        <f t="shared" si="12"/>
        <v>0.56721709338320536</v>
      </c>
      <c r="AX8" s="344"/>
      <c r="AY8" s="74" t="s">
        <v>466</v>
      </c>
      <c r="AZ8" s="91">
        <v>63.103000000000002</v>
      </c>
      <c r="BA8" s="93">
        <v>46.902700000000003</v>
      </c>
      <c r="BB8" s="93">
        <v>58.7241</v>
      </c>
      <c r="BC8" s="95">
        <v>38.205800000000004</v>
      </c>
      <c r="BD8" s="93">
        <v>49.307299999999998</v>
      </c>
      <c r="BE8" s="93" t="s">
        <v>325</v>
      </c>
      <c r="BF8" s="93">
        <v>45.502000000000002</v>
      </c>
      <c r="BG8" s="93">
        <v>26.736599999999999</v>
      </c>
      <c r="BH8" s="140">
        <v>43.931399999999996</v>
      </c>
      <c r="BI8" s="99"/>
    </row>
    <row r="9" spans="1:61" x14ac:dyDescent="0.3">
      <c r="A9" t="s">
        <v>461</v>
      </c>
      <c r="B9" t="s">
        <v>373</v>
      </c>
      <c r="C9">
        <v>412915550</v>
      </c>
      <c r="D9">
        <v>592867585</v>
      </c>
      <c r="E9" s="79">
        <v>69.647199999999998</v>
      </c>
      <c r="F9" s="79">
        <v>46.820999999999998</v>
      </c>
      <c r="G9" s="10"/>
      <c r="H9" s="10"/>
      <c r="I9" s="98">
        <v>94.558300000000003</v>
      </c>
      <c r="J9" s="95">
        <v>36.182099999999998</v>
      </c>
      <c r="K9" s="10"/>
      <c r="L9" s="10"/>
      <c r="M9" s="94">
        <v>96.069199999999995</v>
      </c>
      <c r="N9" s="95">
        <v>38.205800000000004</v>
      </c>
      <c r="P9" t="s">
        <v>466</v>
      </c>
      <c r="Q9" t="s">
        <v>468</v>
      </c>
      <c r="V9" s="99" t="s">
        <v>384</v>
      </c>
      <c r="W9" s="309">
        <v>0.72290100000000002</v>
      </c>
      <c r="X9" s="309">
        <v>0.48225899999999999</v>
      </c>
      <c r="Y9" s="310">
        <v>0.69730000000000003</v>
      </c>
      <c r="Z9" s="311">
        <v>0.48521999999999998</v>
      </c>
      <c r="AA9" s="309">
        <v>0.71074800000000005</v>
      </c>
      <c r="AB9" s="311">
        <v>0.49307299999999998</v>
      </c>
      <c r="AC9" s="312">
        <v>0.62749500000000002</v>
      </c>
      <c r="AD9" s="312">
        <v>0.49577500000000002</v>
      </c>
      <c r="AE9" s="299">
        <v>0.71070999999999995</v>
      </c>
      <c r="AF9" s="299">
        <v>0.49305700000000002</v>
      </c>
      <c r="AG9" s="299"/>
      <c r="AH9" s="299"/>
      <c r="AI9" s="160">
        <f t="shared" si="1"/>
        <v>0.19126975973700786</v>
      </c>
      <c r="AJ9" s="160">
        <f t="shared" si="2"/>
        <v>0.64994920265287714</v>
      </c>
      <c r="AK9" s="160">
        <f t="shared" si="3"/>
        <v>0</v>
      </c>
      <c r="AL9" s="160">
        <f t="shared" si="4"/>
        <v>0.60746152038859347</v>
      </c>
      <c r="AM9" s="160">
        <f t="shared" si="5"/>
        <v>0</v>
      </c>
      <c r="AN9" s="160">
        <f t="shared" si="6"/>
        <v>0.62064708082185749</v>
      </c>
      <c r="AO9" s="160">
        <f t="shared" si="7"/>
        <v>0</v>
      </c>
      <c r="AP9" s="160">
        <f t="shared" si="8"/>
        <v>0.62620425489578335</v>
      </c>
      <c r="AQ9" s="160">
        <f t="shared" si="9"/>
        <v>0</v>
      </c>
      <c r="AR9" s="160">
        <f t="shared" si="10"/>
        <v>0.6208898230478036</v>
      </c>
      <c r="AS9" s="161">
        <f t="shared" si="0"/>
        <v>0.42060948119494251</v>
      </c>
      <c r="AT9" s="161">
        <f t="shared" si="0"/>
        <v>0.30373076019429673</v>
      </c>
      <c r="AU9" s="161">
        <f t="shared" si="11"/>
        <v>0.31032354041092874</v>
      </c>
      <c r="AV9" s="161">
        <f t="shared" si="11"/>
        <v>0.31310212744789168</v>
      </c>
      <c r="AW9" s="161">
        <f t="shared" si="12"/>
        <v>0.3104449115239018</v>
      </c>
      <c r="BI9" s="100"/>
    </row>
    <row r="10" spans="1:61" x14ac:dyDescent="0.3">
      <c r="A10" t="s">
        <v>384</v>
      </c>
      <c r="B10" t="s">
        <v>373</v>
      </c>
      <c r="C10">
        <v>428584394</v>
      </c>
      <c r="D10">
        <v>592867585</v>
      </c>
      <c r="E10" s="79">
        <v>72.290099999999995</v>
      </c>
      <c r="F10" s="79">
        <v>48.225900000000003</v>
      </c>
      <c r="G10" s="10">
        <v>441593478</v>
      </c>
      <c r="H10" s="10">
        <v>633305329</v>
      </c>
      <c r="I10" s="79">
        <v>69.728399999999993</v>
      </c>
      <c r="J10" s="79">
        <v>48.521999999999998</v>
      </c>
      <c r="K10" s="10">
        <v>456698249</v>
      </c>
      <c r="L10" s="10">
        <v>642559833</v>
      </c>
      <c r="M10" s="79">
        <v>71.074799999999996</v>
      </c>
      <c r="N10" s="79">
        <v>49.307299999999998</v>
      </c>
      <c r="V10" s="99" t="s">
        <v>94</v>
      </c>
      <c r="W10" s="309">
        <v>0.95262000000000002</v>
      </c>
      <c r="X10" s="309">
        <v>0.46431299999999998</v>
      </c>
      <c r="Y10" s="315" t="s">
        <v>1121</v>
      </c>
      <c r="Z10" s="311"/>
      <c r="AA10" s="316" t="s">
        <v>1121</v>
      </c>
      <c r="AB10" s="311"/>
      <c r="AC10" s="324" t="s">
        <v>1121</v>
      </c>
      <c r="AD10" s="312"/>
      <c r="AE10" s="299"/>
      <c r="AF10" s="299"/>
      <c r="AG10" s="299"/>
      <c r="AH10" s="299"/>
      <c r="AI10" s="160">
        <f t="shared" si="1"/>
        <v>0.92874937398071233</v>
      </c>
      <c r="AJ10" s="160">
        <f t="shared" si="2"/>
        <v>0.59873520313231265</v>
      </c>
      <c r="AK10" s="160" t="str">
        <f t="shared" si="3"/>
        <v/>
      </c>
      <c r="AL10" s="160" t="str">
        <f t="shared" si="4"/>
        <v/>
      </c>
      <c r="AM10" s="160" t="str">
        <f t="shared" si="5"/>
        <v/>
      </c>
      <c r="AN10" s="160" t="str">
        <f t="shared" si="6"/>
        <v/>
      </c>
      <c r="AO10" s="160" t="str">
        <f t="shared" si="7"/>
        <v/>
      </c>
      <c r="AP10" s="160" t="str">
        <f t="shared" si="8"/>
        <v/>
      </c>
      <c r="AQ10" s="160" t="str">
        <f t="shared" si="9"/>
        <v/>
      </c>
      <c r="AR10" s="160" t="str">
        <f t="shared" si="10"/>
        <v/>
      </c>
      <c r="AS10" s="161">
        <f t="shared" si="0"/>
        <v>0.76374228855651249</v>
      </c>
      <c r="AT10" s="161" t="str">
        <f t="shared" si="0"/>
        <v/>
      </c>
      <c r="AU10" s="161" t="str">
        <f t="shared" si="11"/>
        <v/>
      </c>
      <c r="AV10" s="161" t="str">
        <f t="shared" si="11"/>
        <v/>
      </c>
      <c r="AW10" s="161" t="str">
        <f t="shared" si="12"/>
        <v/>
      </c>
    </row>
    <row r="11" spans="1:61" x14ac:dyDescent="0.3">
      <c r="A11" t="s">
        <v>94</v>
      </c>
      <c r="B11" t="s">
        <v>375</v>
      </c>
      <c r="C11">
        <v>564777511</v>
      </c>
      <c r="D11">
        <v>592867585</v>
      </c>
      <c r="E11" s="79">
        <v>95.262</v>
      </c>
      <c r="F11" s="79">
        <v>46.4313</v>
      </c>
      <c r="G11" s="10"/>
      <c r="H11" s="10"/>
      <c r="I11" s="79"/>
      <c r="J11" s="79"/>
      <c r="K11" s="10"/>
      <c r="L11" s="10"/>
      <c r="M11" s="79"/>
      <c r="N11" s="79"/>
      <c r="V11" s="99" t="s">
        <v>93</v>
      </c>
      <c r="W11" s="309">
        <v>0.91790300000000002</v>
      </c>
      <c r="X11" s="309">
        <v>0.42749199999999998</v>
      </c>
      <c r="Y11" s="310">
        <v>0.92064599999999996</v>
      </c>
      <c r="Z11" s="311">
        <v>0.440662</v>
      </c>
      <c r="AA11" s="309">
        <v>0.92276499999999995</v>
      </c>
      <c r="AB11" s="311">
        <v>0.45501999999999998</v>
      </c>
      <c r="AC11" s="312">
        <v>0.84443199999999996</v>
      </c>
      <c r="AD11" s="312">
        <v>0.46398800000000001</v>
      </c>
      <c r="AE11" s="299">
        <v>0.92271099999999995</v>
      </c>
      <c r="AF11" s="299">
        <v>0.45496700000000001</v>
      </c>
      <c r="AG11" s="299"/>
      <c r="AH11" s="299"/>
      <c r="AI11" s="160">
        <f t="shared" si="1"/>
        <v>0.81729546826242749</v>
      </c>
      <c r="AJ11" s="160">
        <f t="shared" si="2"/>
        <v>0.49365603917674045</v>
      </c>
      <c r="AK11" s="160">
        <f t="shared" si="3"/>
        <v>0.77618880474861585</v>
      </c>
      <c r="AL11" s="160">
        <f t="shared" si="4"/>
        <v>0.48573098967866724</v>
      </c>
      <c r="AM11" s="160">
        <f t="shared" si="5"/>
        <v>0.77475169737409444</v>
      </c>
      <c r="AN11" s="160">
        <f t="shared" si="6"/>
        <v>0.5160092832944696</v>
      </c>
      <c r="AO11" s="160">
        <f t="shared" si="7"/>
        <v>0.60781989857387009</v>
      </c>
      <c r="AP11" s="160">
        <f t="shared" si="8"/>
        <v>0.53835652024916958</v>
      </c>
      <c r="AQ11" s="160">
        <f t="shared" si="9"/>
        <v>0.77707279524961492</v>
      </c>
      <c r="AR11" s="160">
        <f t="shared" si="10"/>
        <v>0.51609956862399864</v>
      </c>
      <c r="AS11" s="161">
        <f t="shared" si="0"/>
        <v>0.655475753719584</v>
      </c>
      <c r="AT11" s="161">
        <f t="shared" si="0"/>
        <v>0.63095989721364154</v>
      </c>
      <c r="AU11" s="161">
        <f t="shared" si="11"/>
        <v>0.64538049033428202</v>
      </c>
      <c r="AV11" s="161">
        <f t="shared" si="11"/>
        <v>0.57308820941151983</v>
      </c>
      <c r="AW11" s="161">
        <f t="shared" si="12"/>
        <v>0.64658618193680684</v>
      </c>
    </row>
    <row r="12" spans="1:61" x14ac:dyDescent="0.3">
      <c r="A12" t="s">
        <v>94</v>
      </c>
      <c r="B12" t="s">
        <v>376</v>
      </c>
      <c r="C12">
        <v>564777511</v>
      </c>
      <c r="D12">
        <v>592867585</v>
      </c>
      <c r="E12" s="79">
        <v>95.262</v>
      </c>
      <c r="F12" s="79">
        <v>46.4313</v>
      </c>
      <c r="G12" s="10"/>
      <c r="H12" s="10"/>
      <c r="I12" s="79"/>
      <c r="J12" s="79"/>
      <c r="K12" s="10"/>
      <c r="L12" s="10"/>
      <c r="M12" s="79"/>
      <c r="N12" s="79"/>
      <c r="V12" s="100" t="s">
        <v>92</v>
      </c>
      <c r="W12" s="317">
        <v>0.66332199999999997</v>
      </c>
      <c r="X12" s="317">
        <v>0.25450899999999999</v>
      </c>
      <c r="Y12" s="318">
        <v>0.71904299999999999</v>
      </c>
      <c r="Z12" s="319">
        <v>0.26286599999999999</v>
      </c>
      <c r="AA12" s="317">
        <v>0.732186</v>
      </c>
      <c r="AB12" s="319">
        <v>0.26736599999999999</v>
      </c>
      <c r="AC12" s="312">
        <v>0.69826999999999995</v>
      </c>
      <c r="AD12" s="312">
        <v>0.26918799999999998</v>
      </c>
      <c r="AE12" s="299">
        <v>0.73214999999999997</v>
      </c>
      <c r="AF12" s="299">
        <v>0.26737100000000003</v>
      </c>
      <c r="AG12" s="299"/>
      <c r="AH12" s="299"/>
      <c r="AI12" s="160">
        <f t="shared" si="1"/>
        <v>0</v>
      </c>
      <c r="AJ12" s="160">
        <f t="shared" si="2"/>
        <v>0</v>
      </c>
      <c r="AK12" s="160">
        <f t="shared" si="3"/>
        <v>7.5562907693216469E-2</v>
      </c>
      <c r="AL12" s="160">
        <f t="shared" si="4"/>
        <v>0</v>
      </c>
      <c r="AM12" s="160">
        <f t="shared" si="5"/>
        <v>7.8338656279005034E-2</v>
      </c>
      <c r="AN12" s="160">
        <f t="shared" si="6"/>
        <v>0</v>
      </c>
      <c r="AO12" s="160">
        <f t="shared" si="7"/>
        <v>0.19829929113782166</v>
      </c>
      <c r="AP12" s="160">
        <f t="shared" si="8"/>
        <v>0</v>
      </c>
      <c r="AQ12" s="160">
        <f t="shared" si="9"/>
        <v>7.8586613884612605E-2</v>
      </c>
      <c r="AR12" s="160">
        <f t="shared" si="10"/>
        <v>0</v>
      </c>
      <c r="AS12" s="161">
        <f t="shared" si="0"/>
        <v>0</v>
      </c>
      <c r="AT12" s="161">
        <f t="shared" si="0"/>
        <v>3.7781453846608234E-2</v>
      </c>
      <c r="AU12" s="161">
        <f t="shared" si="11"/>
        <v>3.9169328139502517E-2</v>
      </c>
      <c r="AV12" s="161">
        <f t="shared" si="11"/>
        <v>9.914964556891083E-2</v>
      </c>
      <c r="AW12" s="161">
        <f t="shared" si="12"/>
        <v>3.9293306942306302E-2</v>
      </c>
    </row>
    <row r="13" spans="1:61" x14ac:dyDescent="0.3">
      <c r="E13" s="79"/>
      <c r="F13" s="79"/>
      <c r="G13" s="10"/>
      <c r="H13" s="10"/>
      <c r="I13" s="79"/>
      <c r="J13" s="79"/>
      <c r="K13" s="10"/>
      <c r="L13" s="10"/>
      <c r="M13" s="79"/>
      <c r="N13" s="79"/>
      <c r="V13" t="s">
        <v>1140</v>
      </c>
      <c r="W13" s="309"/>
      <c r="X13" s="309"/>
      <c r="Y13" s="309"/>
      <c r="Z13" s="309"/>
      <c r="AA13" s="309"/>
      <c r="AB13" s="309"/>
      <c r="AC13" s="312"/>
      <c r="AD13" s="312"/>
      <c r="AE13" s="299"/>
      <c r="AF13" s="299"/>
      <c r="AG13" s="299"/>
      <c r="AH13" s="299"/>
      <c r="AI13" s="160"/>
      <c r="AJ13" s="160"/>
      <c r="AK13" s="160"/>
      <c r="AL13" s="160"/>
      <c r="AM13" s="160"/>
      <c r="AN13" s="160"/>
      <c r="AO13" s="160"/>
      <c r="AP13" s="160"/>
      <c r="AQ13" s="160"/>
      <c r="AR13" s="160"/>
      <c r="AS13" s="161"/>
      <c r="AT13" s="161"/>
      <c r="AU13" s="161"/>
      <c r="AV13" s="161"/>
      <c r="AW13" s="161"/>
    </row>
    <row r="14" spans="1:61" x14ac:dyDescent="0.3">
      <c r="E14" s="79"/>
      <c r="F14" s="79"/>
      <c r="G14" s="10"/>
      <c r="H14" s="10"/>
      <c r="I14" s="79"/>
      <c r="J14" s="79"/>
      <c r="K14" s="10"/>
      <c r="L14" s="10"/>
      <c r="M14" s="79"/>
      <c r="N14" s="79"/>
      <c r="V14" t="s">
        <v>1141</v>
      </c>
      <c r="W14" s="309"/>
      <c r="X14" s="309"/>
      <c r="Y14" s="309"/>
      <c r="Z14" s="309"/>
      <c r="AA14" s="309"/>
      <c r="AB14" s="309"/>
      <c r="AC14" s="312" t="s">
        <v>1196</v>
      </c>
      <c r="AD14" s="312"/>
      <c r="AE14" s="299"/>
      <c r="AF14" s="299"/>
      <c r="AG14" s="299"/>
      <c r="AH14" s="299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1"/>
      <c r="AT14" s="161"/>
      <c r="AU14" s="161"/>
      <c r="AV14" s="161"/>
      <c r="AW14" s="161"/>
    </row>
    <row r="15" spans="1:61" x14ac:dyDescent="0.3">
      <c r="E15" s="79"/>
      <c r="F15" s="79"/>
      <c r="G15" s="10"/>
      <c r="H15" s="10"/>
      <c r="I15" s="79"/>
      <c r="J15" s="79"/>
      <c r="K15" s="10"/>
      <c r="L15" s="10"/>
      <c r="M15" s="79"/>
      <c r="N15" s="79"/>
      <c r="V15" t="s">
        <v>1142</v>
      </c>
      <c r="W15" s="309"/>
      <c r="X15" s="309"/>
      <c r="Y15" s="309"/>
      <c r="Z15" s="309"/>
      <c r="AA15" s="309"/>
      <c r="AB15" s="309"/>
      <c r="AC15" s="312"/>
      <c r="AD15" s="312"/>
      <c r="AE15" s="299"/>
      <c r="AF15" s="299"/>
      <c r="AG15" s="299"/>
      <c r="AH15" s="299"/>
      <c r="AI15" s="160"/>
      <c r="AJ15" s="160"/>
      <c r="AK15" s="160"/>
      <c r="AL15" s="160"/>
      <c r="AM15" s="160"/>
      <c r="AN15" s="160"/>
      <c r="AO15" s="160"/>
      <c r="AP15" s="160"/>
      <c r="AQ15" s="160"/>
      <c r="AR15" s="160"/>
      <c r="AS15" s="161"/>
      <c r="AT15" s="161"/>
      <c r="AU15" s="161"/>
      <c r="AV15" s="161"/>
      <c r="AW15" s="161"/>
    </row>
    <row r="16" spans="1:61" x14ac:dyDescent="0.3">
      <c r="E16" s="79"/>
      <c r="F16" s="79"/>
      <c r="G16" s="10"/>
      <c r="H16" s="10"/>
      <c r="I16" s="79"/>
      <c r="J16" s="79"/>
      <c r="K16" s="10"/>
      <c r="L16" s="10"/>
      <c r="M16" s="79"/>
      <c r="N16" s="79"/>
      <c r="V16" t="s">
        <v>1143</v>
      </c>
      <c r="W16" s="309"/>
      <c r="X16" s="309"/>
      <c r="Y16" s="309"/>
      <c r="Z16" s="309"/>
      <c r="AA16" s="309"/>
      <c r="AB16" s="309"/>
      <c r="AC16" s="312"/>
      <c r="AD16" s="312"/>
      <c r="AE16" s="299"/>
      <c r="AF16" s="299"/>
      <c r="AG16" s="299"/>
      <c r="AH16" s="299"/>
      <c r="AI16" s="160"/>
      <c r="AJ16" s="160"/>
      <c r="AK16" s="160"/>
      <c r="AL16" s="160"/>
      <c r="AM16" s="160"/>
      <c r="AN16" s="160"/>
      <c r="AO16" s="160"/>
      <c r="AP16" s="160"/>
      <c r="AQ16" s="160"/>
      <c r="AR16" s="160"/>
      <c r="AS16" s="161"/>
      <c r="AT16" s="161"/>
      <c r="AU16" s="161"/>
      <c r="AV16" s="161"/>
      <c r="AW16" s="161"/>
    </row>
    <row r="17" spans="1:54" x14ac:dyDescent="0.3">
      <c r="E17" s="79"/>
      <c r="F17" s="79"/>
      <c r="G17" s="10"/>
      <c r="H17" s="10"/>
      <c r="I17" s="79"/>
      <c r="J17" s="79"/>
      <c r="K17" s="10"/>
      <c r="L17" s="10"/>
      <c r="M17" s="79"/>
      <c r="N17" s="79"/>
      <c r="V17" t="s">
        <v>1215</v>
      </c>
      <c r="W17" s="309"/>
      <c r="X17" s="309"/>
      <c r="Y17" s="309"/>
      <c r="Z17" s="309"/>
      <c r="AA17" s="309"/>
      <c r="AB17" s="309"/>
      <c r="AC17" s="312"/>
      <c r="AD17" s="312"/>
      <c r="AE17" s="299"/>
      <c r="AF17" s="299"/>
      <c r="AG17" s="299"/>
      <c r="AH17" s="299"/>
      <c r="AI17" s="160"/>
      <c r="AJ17" s="160"/>
      <c r="AK17" s="160"/>
      <c r="AL17" s="160"/>
      <c r="AM17" s="160"/>
      <c r="AN17" s="160"/>
      <c r="AO17" s="160"/>
      <c r="AP17" s="160"/>
      <c r="AQ17" s="160"/>
      <c r="AR17" s="160"/>
      <c r="AS17" s="161"/>
      <c r="AT17" s="161"/>
      <c r="AU17" s="161"/>
      <c r="AV17" s="161"/>
      <c r="AW17" s="161"/>
    </row>
    <row r="18" spans="1:54" x14ac:dyDescent="0.3">
      <c r="E18" s="79"/>
      <c r="F18" s="79"/>
      <c r="G18" s="10"/>
      <c r="H18" s="10"/>
      <c r="I18" s="79"/>
      <c r="J18" s="79"/>
      <c r="K18" s="10"/>
      <c r="L18" s="10"/>
      <c r="M18" s="79"/>
      <c r="N18" s="79"/>
      <c r="V18" t="s">
        <v>1144</v>
      </c>
      <c r="W18" s="309"/>
      <c r="X18" s="309"/>
      <c r="Y18" s="309"/>
      <c r="Z18" s="309"/>
      <c r="AA18" s="309"/>
      <c r="AB18" s="309"/>
      <c r="AC18" s="312"/>
      <c r="AD18" s="312"/>
      <c r="AE18" s="299"/>
      <c r="AF18" s="299"/>
      <c r="AG18" s="299"/>
      <c r="AH18" s="299"/>
      <c r="AI18" s="160"/>
      <c r="AJ18" s="160"/>
      <c r="AK18" s="160"/>
      <c r="AL18" s="160"/>
      <c r="AM18" s="160"/>
      <c r="AN18" s="160"/>
      <c r="AO18" s="160"/>
      <c r="AP18" s="160"/>
      <c r="AQ18" s="160"/>
      <c r="AR18" s="160"/>
      <c r="AS18" s="161"/>
      <c r="AT18" s="161"/>
      <c r="AU18" s="161"/>
      <c r="AV18" s="161"/>
      <c r="AW18" s="161"/>
    </row>
    <row r="19" spans="1:54" x14ac:dyDescent="0.3">
      <c r="E19" s="79"/>
      <c r="F19" s="79"/>
      <c r="G19" s="10"/>
      <c r="H19" s="10"/>
      <c r="I19" s="79"/>
      <c r="J19" s="79"/>
      <c r="K19" s="10"/>
      <c r="L19" s="10"/>
      <c r="M19" s="79"/>
      <c r="N19" s="79"/>
      <c r="V19" t="s">
        <v>1145</v>
      </c>
      <c r="W19" s="309"/>
      <c r="X19" s="309"/>
      <c r="Y19" s="309"/>
      <c r="Z19" s="309"/>
      <c r="AA19" s="309"/>
      <c r="AB19" s="309"/>
      <c r="AC19" s="312"/>
      <c r="AD19" s="312"/>
      <c r="AE19" s="299"/>
      <c r="AF19" s="299"/>
      <c r="AG19" s="299"/>
      <c r="AH19" s="299"/>
      <c r="AI19" s="160"/>
      <c r="AJ19" s="160"/>
      <c r="AK19" s="160"/>
      <c r="AL19" s="160"/>
      <c r="AM19" s="160"/>
      <c r="AN19" s="160"/>
      <c r="AO19" s="160"/>
      <c r="AP19" s="160"/>
      <c r="AQ19" s="160"/>
      <c r="AR19" s="160"/>
      <c r="AS19" s="161"/>
      <c r="AT19" s="161"/>
      <c r="AU19" s="161"/>
      <c r="AV19" s="161"/>
      <c r="AW19" s="161"/>
    </row>
    <row r="20" spans="1:54" x14ac:dyDescent="0.3">
      <c r="E20" s="79"/>
      <c r="F20" s="79"/>
      <c r="G20" s="10"/>
      <c r="H20" s="10"/>
      <c r="I20" s="79"/>
      <c r="J20" s="79"/>
      <c r="K20" s="10"/>
      <c r="L20" s="10"/>
      <c r="M20" s="79"/>
      <c r="N20" s="79"/>
      <c r="V20" t="s">
        <v>1146</v>
      </c>
      <c r="W20" s="309"/>
      <c r="X20" s="309"/>
      <c r="Y20" s="309"/>
      <c r="Z20" s="309"/>
      <c r="AA20" s="309"/>
      <c r="AB20" s="309"/>
      <c r="AC20" s="312"/>
      <c r="AD20" s="312"/>
      <c r="AE20" s="299"/>
      <c r="AF20" s="299"/>
      <c r="AG20" s="299"/>
      <c r="AH20" s="299"/>
      <c r="AI20" s="160"/>
      <c r="AJ20" s="160"/>
      <c r="AK20" s="160"/>
      <c r="AL20" s="160"/>
      <c r="AM20" s="160"/>
      <c r="AN20" s="160"/>
      <c r="AO20" s="160"/>
      <c r="AP20" s="160"/>
      <c r="AQ20" s="160"/>
      <c r="AR20" s="160"/>
      <c r="AS20" s="161"/>
      <c r="AT20" s="161"/>
      <c r="AU20" s="161"/>
      <c r="AV20" s="161"/>
      <c r="AW20" s="161"/>
    </row>
    <row r="21" spans="1:54" x14ac:dyDescent="0.3">
      <c r="E21" s="79"/>
      <c r="F21" s="79"/>
      <c r="G21" s="10"/>
      <c r="H21" s="10"/>
      <c r="I21" s="79"/>
      <c r="J21" s="79"/>
      <c r="K21" s="10"/>
      <c r="L21" s="10"/>
      <c r="M21" s="79"/>
      <c r="N21" s="79"/>
      <c r="V21" t="s">
        <v>1147</v>
      </c>
      <c r="W21" s="309"/>
      <c r="X21" s="309"/>
      <c r="Y21" s="309"/>
      <c r="Z21" s="309"/>
      <c r="AA21" s="309"/>
      <c r="AB21" s="309"/>
      <c r="AC21" s="312"/>
      <c r="AD21" s="312"/>
      <c r="AE21" s="299"/>
      <c r="AF21" s="299"/>
      <c r="AG21" s="299"/>
      <c r="AH21" s="299"/>
      <c r="AI21" s="160"/>
      <c r="AJ21" s="160"/>
      <c r="AK21" s="160"/>
      <c r="AL21" s="160"/>
      <c r="AM21" s="160"/>
      <c r="AN21" s="160"/>
      <c r="AO21" s="160"/>
      <c r="AP21" s="160"/>
      <c r="AQ21" s="160"/>
      <c r="AR21" s="160"/>
      <c r="AS21" s="161"/>
      <c r="AT21" s="161"/>
      <c r="AU21" s="161"/>
      <c r="AV21" s="161"/>
      <c r="AW21" s="161"/>
    </row>
    <row r="22" spans="1:54" x14ac:dyDescent="0.3">
      <c r="A22" t="s">
        <v>94</v>
      </c>
      <c r="B22" t="s">
        <v>374</v>
      </c>
      <c r="C22">
        <v>564777511</v>
      </c>
      <c r="D22">
        <v>592867585</v>
      </c>
      <c r="E22" s="79">
        <v>95.262</v>
      </c>
      <c r="F22" s="79">
        <v>46.4313</v>
      </c>
      <c r="G22" s="10"/>
      <c r="H22" s="10"/>
      <c r="I22" s="79"/>
      <c r="J22" s="79"/>
      <c r="K22" s="10"/>
      <c r="L22" s="10"/>
      <c r="M22" s="79"/>
      <c r="N22" s="79"/>
      <c r="V22" s="75" t="s">
        <v>490</v>
      </c>
      <c r="AI22" s="64">
        <f>IF(AI4&lt;&gt;"",(AI4-MAX(AI$4:AI$12))^2,"")</f>
        <v>0</v>
      </c>
      <c r="AJ22" s="64">
        <f t="shared" ref="AJ22:AL22" si="13">IF(AJ4&lt;&gt;"",(AJ4-MAX(AJ$4:AJ$12))^2,"")</f>
        <v>0</v>
      </c>
      <c r="AK22" s="64">
        <f t="shared" si="13"/>
        <v>0</v>
      </c>
      <c r="AL22" s="64">
        <f t="shared" si="13"/>
        <v>0</v>
      </c>
      <c r="AM22" s="64">
        <f t="shared" ref="AM22:AR22" si="14">IF(AM4&lt;&gt;"",(AM4-MAX(AM$4:AM$12))^2,"")</f>
        <v>0</v>
      </c>
      <c r="AN22" s="64">
        <f t="shared" si="14"/>
        <v>0</v>
      </c>
      <c r="AO22" s="64">
        <f t="shared" si="14"/>
        <v>0</v>
      </c>
      <c r="AP22" s="64">
        <f t="shared" si="14"/>
        <v>0</v>
      </c>
      <c r="AQ22" s="64">
        <f t="shared" si="14"/>
        <v>0</v>
      </c>
      <c r="AR22" s="64">
        <f t="shared" si="14"/>
        <v>0</v>
      </c>
    </row>
    <row r="23" spans="1:54" x14ac:dyDescent="0.3">
      <c r="A23" t="s">
        <v>93</v>
      </c>
      <c r="B23" t="s">
        <v>373</v>
      </c>
      <c r="C23">
        <v>544194765</v>
      </c>
      <c r="D23">
        <v>592867585</v>
      </c>
      <c r="E23" s="79">
        <v>91.790300000000002</v>
      </c>
      <c r="F23" s="79">
        <v>42.749200000000002</v>
      </c>
      <c r="G23" s="10">
        <v>583050215</v>
      </c>
      <c r="H23" s="10">
        <v>633305329</v>
      </c>
      <c r="I23" s="79">
        <v>92.064599999999999</v>
      </c>
      <c r="J23" s="79">
        <v>44.066200000000002</v>
      </c>
      <c r="K23" s="10">
        <v>592931441</v>
      </c>
      <c r="L23" s="10">
        <v>642559833</v>
      </c>
      <c r="M23" s="79">
        <v>92.276499999999999</v>
      </c>
      <c r="N23" s="79">
        <v>45.502000000000002</v>
      </c>
      <c r="V23" s="139" t="s">
        <v>222</v>
      </c>
      <c r="Z23" t="s">
        <v>1128</v>
      </c>
      <c r="AA23" s="307">
        <v>98.260199999999998</v>
      </c>
      <c r="AB23" s="79">
        <v>58.789200000000001</v>
      </c>
      <c r="AI23" s="64" t="str">
        <f t="shared" ref="AI23:AL23" si="15">IF(AI5&lt;&gt;"",(AI5-MAX(AI$4:AI$12))^2,"")</f>
        <v/>
      </c>
      <c r="AJ23" s="64" t="str">
        <f t="shared" si="15"/>
        <v/>
      </c>
      <c r="AK23" s="64" t="str">
        <f t="shared" si="15"/>
        <v/>
      </c>
      <c r="AL23" s="64" t="str">
        <f t="shared" si="15"/>
        <v/>
      </c>
      <c r="AM23" s="64">
        <f t="shared" ref="AM23:AN30" si="16">IF(AM5&lt;&gt;"",(AM5-MAX(AM$4:AM$12))^2,"")</f>
        <v>3.688879049094472E-2</v>
      </c>
      <c r="AN23" s="64">
        <f t="shared" si="16"/>
        <v>0.27791762887615856</v>
      </c>
      <c r="AO23" s="64">
        <f t="shared" ref="AO23:AR23" si="17">IF(AO5&lt;&gt;"",(AO5-MAX(AO$4:AO$12))^2,"")</f>
        <v>2.1685865240565667E-2</v>
      </c>
      <c r="AP23" s="64">
        <f t="shared" si="17"/>
        <v>0.34662500862947121</v>
      </c>
      <c r="AQ23" s="64">
        <f t="shared" si="17"/>
        <v>4.1670932564696117E-2</v>
      </c>
      <c r="AR23" s="64">
        <f t="shared" si="17"/>
        <v>0.27685058136530138</v>
      </c>
    </row>
    <row r="24" spans="1:54" x14ac:dyDescent="0.3">
      <c r="A24" t="s">
        <v>92</v>
      </c>
      <c r="B24" t="s">
        <v>373</v>
      </c>
      <c r="C24">
        <v>393262291</v>
      </c>
      <c r="D24">
        <v>592867585</v>
      </c>
      <c r="E24" s="79">
        <v>66.3322</v>
      </c>
      <c r="F24" s="79">
        <v>25.450900000000001</v>
      </c>
      <c r="G24" s="10">
        <v>455374076</v>
      </c>
      <c r="H24" s="10">
        <v>633305329</v>
      </c>
      <c r="I24" s="79">
        <v>71.904300000000006</v>
      </c>
      <c r="J24" s="79">
        <v>26.2866</v>
      </c>
      <c r="K24" s="10">
        <v>470473098</v>
      </c>
      <c r="L24" s="10">
        <v>642559833</v>
      </c>
      <c r="M24" s="79">
        <v>73.218599999999995</v>
      </c>
      <c r="N24" s="79">
        <v>26.736599999999999</v>
      </c>
      <c r="V24" s="99" t="s">
        <v>90</v>
      </c>
      <c r="Z24" t="s">
        <v>1126</v>
      </c>
      <c r="AA24" s="79">
        <v>86.880799999999994</v>
      </c>
      <c r="AB24" s="79">
        <v>58.027700000000003</v>
      </c>
      <c r="AI24" s="64">
        <f t="shared" ref="AI24:AL24" si="18">IF(AI6&lt;&gt;"",(AI6-MAX(AI$4:AI$12))^2,"")</f>
        <v>6.6377515323907451E-3</v>
      </c>
      <c r="AJ24" s="64">
        <f t="shared" si="18"/>
        <v>0.27685702504618642</v>
      </c>
      <c r="AK24" s="64">
        <f t="shared" si="18"/>
        <v>5.8640096335658325E-4</v>
      </c>
      <c r="AL24" s="64">
        <f t="shared" si="18"/>
        <v>0.20599136289377273</v>
      </c>
      <c r="AM24" s="64">
        <f t="shared" si="16"/>
        <v>7.7330891382184795E-4</v>
      </c>
      <c r="AN24" s="64">
        <f t="shared" si="16"/>
        <v>0.19844743566160949</v>
      </c>
      <c r="AO24" s="64">
        <f t="shared" ref="AO24:AR24" si="19">IF(AO6&lt;&gt;"",(AO6-MAX(AO$4:AO$12))^2,"")</f>
        <v>4.5534066570092975E-4</v>
      </c>
      <c r="AP24" s="64">
        <f t="shared" si="19"/>
        <v>0.20044354670432751</v>
      </c>
      <c r="AQ24" s="64">
        <f t="shared" si="19"/>
        <v>6.2637528839491763E-4</v>
      </c>
      <c r="AR24" s="64">
        <f t="shared" si="19"/>
        <v>0.19832343747351572</v>
      </c>
      <c r="AS24" s="64"/>
      <c r="AT24" s="64"/>
      <c r="AU24" s="64"/>
      <c r="AV24" s="64"/>
      <c r="AW24" s="64"/>
    </row>
    <row r="25" spans="1:54" x14ac:dyDescent="0.3">
      <c r="V25" s="99" t="s">
        <v>89</v>
      </c>
      <c r="Z25" t="s">
        <v>1125</v>
      </c>
      <c r="AA25" s="92">
        <v>98.258600000000001</v>
      </c>
      <c r="AB25" s="93">
        <v>58.7241</v>
      </c>
      <c r="AI25" s="64">
        <f t="shared" ref="AI25:AL25" si="20">IF(AI7&lt;&gt;"",(AI7-MAX(AI$4:AI$12))^2,"")</f>
        <v>9.5561025020367914E-5</v>
      </c>
      <c r="AJ25" s="64">
        <f t="shared" si="20"/>
        <v>5.8430505575219449E-2</v>
      </c>
      <c r="AK25" s="64">
        <f t="shared" si="20"/>
        <v>3.2325480547205482E-5</v>
      </c>
      <c r="AL25" s="64">
        <f t="shared" si="20"/>
        <v>2.4916537718410119E-2</v>
      </c>
      <c r="AM25" s="64">
        <f t="shared" si="16"/>
        <v>4.3456702521313392E-5</v>
      </c>
      <c r="AN25" s="64">
        <f t="shared" si="16"/>
        <v>1.4070819424424431E-2</v>
      </c>
      <c r="AO25" s="64">
        <f t="shared" ref="AO25:AR25" si="21">IF(AO7&lt;&gt;"",(AO7-MAX(AO$4:AO$12))^2,"")</f>
        <v>6.9055070887250177E-3</v>
      </c>
      <c r="AP25" s="64">
        <f t="shared" si="21"/>
        <v>1.0945974693093793E-2</v>
      </c>
      <c r="AQ25" s="64">
        <f t="shared" si="21"/>
        <v>1.1138364483334232E-2</v>
      </c>
      <c r="AR25" s="64">
        <f t="shared" si="21"/>
        <v>1.0723068338759519E-2</v>
      </c>
      <c r="AS25" s="64"/>
      <c r="AT25" s="64"/>
      <c r="AU25" s="64"/>
      <c r="AV25" s="64"/>
      <c r="AW25" s="64"/>
    </row>
    <row r="26" spans="1:54" x14ac:dyDescent="0.3">
      <c r="V26" s="74" t="s">
        <v>461</v>
      </c>
      <c r="AB26" t="s">
        <v>1131</v>
      </c>
      <c r="AC26" s="79">
        <v>0.868807</v>
      </c>
      <c r="AD26" s="79">
        <v>0.580287</v>
      </c>
      <c r="AI26" s="64">
        <f t="shared" ref="AI26:AL26" si="22">IF(AI8&lt;&gt;"",(AI8-MAX(AI$4:AI$12))^2,"")</f>
        <v>0.79847935644087209</v>
      </c>
      <c r="AJ26" s="64">
        <f t="shared" si="22"/>
        <v>0.15221203048432183</v>
      </c>
      <c r="AK26" s="64">
        <f t="shared" si="22"/>
        <v>1.8809644868113276E-2</v>
      </c>
      <c r="AL26" s="64">
        <f t="shared" si="22"/>
        <v>0.53240257107030509</v>
      </c>
      <c r="AM26" s="64">
        <f t="shared" si="16"/>
        <v>7.5091941609500088E-3</v>
      </c>
      <c r="AN26" s="64">
        <f t="shared" si="16"/>
        <v>0.4687058709293736</v>
      </c>
      <c r="AO26" s="64">
        <f t="shared" ref="AO26:AR26" si="23">IF(AO8&lt;&gt;"",(AO8-MAX(AO$4:AO$12))^2,"")</f>
        <v>1.7494251723531112E-2</v>
      </c>
      <c r="AP26" s="64">
        <f t="shared" si="23"/>
        <v>0.488962085906119</v>
      </c>
      <c r="AQ26" s="64">
        <f t="shared" si="23"/>
        <v>2.8867108550148093E-2</v>
      </c>
      <c r="AR26" s="64">
        <f t="shared" si="23"/>
        <v>0.48394642567525581</v>
      </c>
      <c r="AS26" s="64"/>
      <c r="AT26" s="64"/>
      <c r="AU26" s="64"/>
      <c r="AV26" s="64"/>
      <c r="AW26" s="64"/>
    </row>
    <row r="27" spans="1:54" x14ac:dyDescent="0.3">
      <c r="V27" s="99" t="s">
        <v>384</v>
      </c>
      <c r="AB27" t="s">
        <v>1130</v>
      </c>
      <c r="AC27" s="298">
        <v>0.84118700000000002</v>
      </c>
      <c r="AD27" s="298">
        <v>0.58509699999999998</v>
      </c>
      <c r="AE27" s="298"/>
      <c r="AF27" s="298"/>
      <c r="AG27" s="298"/>
      <c r="AH27" s="298"/>
      <c r="AI27" s="64">
        <f t="shared" ref="AI27:AL27" si="24">IF(AI9&lt;&gt;"",(AI9-MAX(AI$4:AI$12))^2,"")</f>
        <v>0.65404460151583699</v>
      </c>
      <c r="AJ27" s="64">
        <f t="shared" si="24"/>
        <v>0.12253556072335647</v>
      </c>
      <c r="AK27" s="64">
        <f t="shared" si="24"/>
        <v>1</v>
      </c>
      <c r="AL27" s="64">
        <f t="shared" si="24"/>
        <v>0.15408645797563461</v>
      </c>
      <c r="AM27" s="64">
        <f t="shared" si="16"/>
        <v>1</v>
      </c>
      <c r="AN27" s="64">
        <f t="shared" si="16"/>
        <v>0.14390863728897832</v>
      </c>
      <c r="AO27" s="64">
        <f t="shared" ref="AO27:AR27" si="25">IF(AO9&lt;&gt;"",(AO9-MAX(AO$4:AO$12))^2,"")</f>
        <v>1</v>
      </c>
      <c r="AP27" s="64">
        <f t="shared" si="25"/>
        <v>0.1397232590580165</v>
      </c>
      <c r="AQ27" s="64">
        <f t="shared" si="25"/>
        <v>1</v>
      </c>
      <c r="AR27" s="64">
        <f t="shared" si="25"/>
        <v>0.14372452626872567</v>
      </c>
      <c r="AS27" s="64"/>
      <c r="AT27" s="64"/>
      <c r="AU27" s="64"/>
      <c r="AV27" s="64"/>
      <c r="AW27" s="64"/>
    </row>
    <row r="28" spans="1:54" x14ac:dyDescent="0.3">
      <c r="V28" s="99" t="s">
        <v>94</v>
      </c>
      <c r="AB28" t="s">
        <v>1129</v>
      </c>
      <c r="AD28" s="79"/>
      <c r="AI28" s="64">
        <f t="shared" ref="AI28:AL28" si="26">IF(AI10&lt;&gt;"",(AI10-MAX(AI$4:AI$12))^2,"")</f>
        <v>5.0766517081403924E-3</v>
      </c>
      <c r="AJ28" s="64">
        <f t="shared" si="26"/>
        <v>0.1610134372052664</v>
      </c>
      <c r="AK28" s="64" t="str">
        <f t="shared" si="26"/>
        <v/>
      </c>
      <c r="AL28" s="64" t="str">
        <f t="shared" si="26"/>
        <v/>
      </c>
      <c r="AM28" s="64" t="str">
        <f t="shared" si="16"/>
        <v/>
      </c>
      <c r="AN28" s="64" t="str">
        <f t="shared" si="16"/>
        <v/>
      </c>
      <c r="AO28" s="64" t="str">
        <f t="shared" ref="AO28:AR28" si="27">IF(AO10&lt;&gt;"",(AO10-MAX(AO$4:AO$12))^2,"")</f>
        <v/>
      </c>
      <c r="AP28" s="64" t="str">
        <f t="shared" si="27"/>
        <v/>
      </c>
      <c r="AQ28" s="64" t="str">
        <f t="shared" si="27"/>
        <v/>
      </c>
      <c r="AR28" s="64" t="str">
        <f t="shared" si="27"/>
        <v/>
      </c>
      <c r="AS28" s="64"/>
      <c r="AT28" s="64"/>
      <c r="AU28" s="64"/>
      <c r="AV28" s="64"/>
      <c r="AW28" s="64"/>
    </row>
    <row r="29" spans="1:54" x14ac:dyDescent="0.3">
      <c r="V29" s="99" t="s">
        <v>93</v>
      </c>
      <c r="AB29" t="s">
        <v>461</v>
      </c>
      <c r="AC29" s="304">
        <v>0.93719799999999998</v>
      </c>
      <c r="AD29" s="304">
        <v>0.35192600000000002</v>
      </c>
      <c r="AI29" s="64">
        <f t="shared" ref="AI29:AL29" si="28">IF(AI11&lt;&gt;"",(AI11-MAX(AI$4:AI$12))^2,"")</f>
        <v>3.3380945917445642E-2</v>
      </c>
      <c r="AJ29" s="64">
        <f t="shared" si="28"/>
        <v>0.25638420666218664</v>
      </c>
      <c r="AK29" s="64">
        <f t="shared" si="28"/>
        <v>5.0091451119853199E-2</v>
      </c>
      <c r="AL29" s="64">
        <f t="shared" si="28"/>
        <v>0.26447261497688307</v>
      </c>
      <c r="AM29" s="64">
        <f t="shared" si="16"/>
        <v>5.0736797835851534E-2</v>
      </c>
      <c r="AN29" s="64">
        <f t="shared" si="16"/>
        <v>0.23424701385713298</v>
      </c>
      <c r="AO29" s="64">
        <f t="shared" ref="AO29:AR29" si="29">IF(AO11&lt;&gt;"",(AO11-MAX(AO$4:AO$12))^2,"")</f>
        <v>0.15380523195460954</v>
      </c>
      <c r="AP29" s="64">
        <f t="shared" si="29"/>
        <v>0.21311470239645539</v>
      </c>
      <c r="AQ29" s="64">
        <f t="shared" si="29"/>
        <v>4.9696538617820113E-2</v>
      </c>
      <c r="AR29" s="64">
        <f t="shared" si="29"/>
        <v>0.23415962748588021</v>
      </c>
      <c r="AS29" s="64"/>
      <c r="AT29" s="64"/>
      <c r="AU29" s="64"/>
      <c r="AV29" s="64"/>
      <c r="AW29" s="64"/>
    </row>
    <row r="30" spans="1:54" x14ac:dyDescent="0.3">
      <c r="V30" s="100" t="s">
        <v>92</v>
      </c>
      <c r="AI30" s="64">
        <f t="shared" ref="AI30:AL30" si="30">IF(AI12&lt;&gt;"",(AI12-MAX(AI$4:AI$12))^2,"")</f>
        <v>1</v>
      </c>
      <c r="AJ30" s="64">
        <f t="shared" si="30"/>
        <v>1</v>
      </c>
      <c r="AK30" s="64">
        <f t="shared" si="30"/>
        <v>0.85458393763262053</v>
      </c>
      <c r="AL30" s="64">
        <f t="shared" si="30"/>
        <v>1</v>
      </c>
      <c r="AM30" s="64">
        <f t="shared" si="16"/>
        <v>0.84945963250959</v>
      </c>
      <c r="AN30" s="64">
        <f t="shared" si="16"/>
        <v>1</v>
      </c>
      <c r="AO30" s="64">
        <f t="shared" ref="AO30:AR30" si="31">IF(AO12&lt;&gt;"",(AO12-MAX(AO$4:AO$12))^2,"")</f>
        <v>0.64272402659011929</v>
      </c>
      <c r="AP30" s="64">
        <f t="shared" si="31"/>
        <v>1</v>
      </c>
      <c r="AQ30" s="64">
        <f t="shared" si="31"/>
        <v>0.84900262811262395</v>
      </c>
      <c r="AR30" s="64">
        <f t="shared" si="31"/>
        <v>1</v>
      </c>
      <c r="AS30" s="64"/>
      <c r="AT30" s="64"/>
      <c r="AU30" s="64"/>
      <c r="AV30" s="64"/>
      <c r="AW30" s="64"/>
    </row>
    <row r="31" spans="1:54" x14ac:dyDescent="0.3">
      <c r="V31" s="139" t="s">
        <v>290</v>
      </c>
      <c r="AB31" t="s">
        <v>559</v>
      </c>
      <c r="AI31" s="64">
        <f>SQRT(SUM(AI$22:AI$30)/COUNTIF(AI$22:AI$30,"&lt;&gt;"))</f>
        <v>0.5268053475789185</v>
      </c>
      <c r="AJ31" s="64">
        <f t="shared" ref="AJ31:AL31" si="32">SQRT(SUM(AJ$22:AJ$30)/COUNTIF(AJ$22:AJ$30,"&lt;&gt;"))</f>
        <v>0.47462649241231286</v>
      </c>
      <c r="AK31" s="64">
        <f t="shared" si="32"/>
        <v>0.46237355749851472</v>
      </c>
      <c r="AL31" s="64">
        <f t="shared" si="32"/>
        <v>0.49237175934845157</v>
      </c>
      <c r="AM31" s="64">
        <f>SQRT(SUM(AM$22:AM$30)/COUNTIF(AM$22:AM$30,"&lt;&gt;"))</f>
        <v>0.4649266585666651</v>
      </c>
      <c r="AN31" s="64">
        <f>SQRT(SUM(AN$22:AN$30)/COUNTIF(AN$22:AN$30,"&lt;&gt;"))</f>
        <v>0.50960740946532967</v>
      </c>
      <c r="AO31" s="64">
        <f t="shared" ref="AO31:AR31" si="33">SQRT(SUM(AO$22:AO$30)/COUNTIF(AO$22:AO$30,"&lt;&gt;"))</f>
        <v>0.45253240807988931</v>
      </c>
      <c r="AP31" s="64">
        <f t="shared" si="33"/>
        <v>0.51637783081205657</v>
      </c>
      <c r="AQ31" s="64">
        <f t="shared" si="33"/>
        <v>0.46916023650028349</v>
      </c>
      <c r="AR31" s="64">
        <f t="shared" si="33"/>
        <v>0.51074321299753822</v>
      </c>
      <c r="AS31" s="64"/>
      <c r="AT31" s="64"/>
      <c r="AU31" s="64"/>
      <c r="AV31" s="64"/>
      <c r="AW31" s="64"/>
    </row>
    <row r="32" spans="1:54" x14ac:dyDescent="0.3">
      <c r="V32" s="75" t="s">
        <v>490</v>
      </c>
      <c r="AI32" s="64">
        <f>IF(AI22&lt;&gt;"",(AI22-AVERAGE(AI$22:AI$30))/AI$31,"")</f>
        <v>-0.59265601602628326</v>
      </c>
      <c r="AJ32" s="64">
        <f t="shared" ref="AJ32:AL32" si="34">IF(AJ22&lt;&gt;"",(AJ22-AVERAGE(AJ$22:AJ$30))/AJ$31,"")</f>
        <v>-0.53395480396385198</v>
      </c>
      <c r="AK32" s="64">
        <f t="shared" si="34"/>
        <v>-0.59448028821237608</v>
      </c>
      <c r="AL32" s="64">
        <f t="shared" si="34"/>
        <v>-0.63304940487658046</v>
      </c>
      <c r="AM32" s="64">
        <f t="shared" ref="AM32:AN40" si="35">IF(AM22&lt;&gt;"",(AM22-AVERAGE(AM$22:AM$30))/AM$31,"")</f>
        <v>-0.52304249088749821</v>
      </c>
      <c r="AN32" s="64">
        <f t="shared" si="35"/>
        <v>-0.57330833564849593</v>
      </c>
      <c r="AO32" s="64">
        <f t="shared" ref="AO32:AR32" si="36">IF(AO22&lt;&gt;"",(AO22-AVERAGE(AO$22:AO$30))/AO$31,"")</f>
        <v>-0.50909895908987557</v>
      </c>
      <c r="AP32" s="64">
        <f t="shared" si="36"/>
        <v>-0.58092505966356356</v>
      </c>
      <c r="AQ32" s="64">
        <f t="shared" si="36"/>
        <v>-0.52780526606281886</v>
      </c>
      <c r="AR32" s="64">
        <f t="shared" si="36"/>
        <v>-0.57458611462223053</v>
      </c>
      <c r="AS32" s="64">
        <f t="shared" ref="AS32:AT40" si="37">IFERROR(AVERAGEIF($AI$1:$AN$1,"="&amp;AS$3,$AI32:$AN32),"")</f>
        <v>-0.56330540999506762</v>
      </c>
      <c r="AT32" s="64">
        <f t="shared" si="37"/>
        <v>-0.61376484654447827</v>
      </c>
      <c r="AU32" s="64">
        <f>IFERROR(AVERAGEIF($AI$1:$AP$1,"="&amp;AU$3,$AI32:$AP32),"")</f>
        <v>-0.54817541326799701</v>
      </c>
      <c r="AV32" s="64">
        <f>IFERROR(AVERAGEIF($AI$1:$AR$1,"="&amp;AV$3,$AI32:$AR32),"")</f>
        <v>-0.54501200937671956</v>
      </c>
      <c r="AW32" s="64">
        <f>IFERROR(AVERAGEIF($AI$1:$AR$1,"="&amp;AW$3,$AI32:$AR32),"")</f>
        <v>-0.55119569034252469</v>
      </c>
      <c r="AX32" s="79">
        <f>IF(AS32&lt;&gt;"",(MAX(AS$32:AS$40)-AS32)/(MAX(AS$32:AS$40)-MIN(AS$32:AS$40)),"")</f>
        <v>1</v>
      </c>
      <c r="AY32" s="79">
        <f>IF(AT32&lt;&gt;"",(MAX(AT$32:AT$40)-AT32)/(MAX(AT$32:AT$40)-MIN(AT$32:AT$40)),"")</f>
        <v>1</v>
      </c>
      <c r="AZ32" s="79">
        <f>IF(AU32&lt;&gt;"",(MAX(AU$32:AU$40)-AU32)/(MAX(AU$32:AU$40)-MIN(AU$32:AU$40)),"")</f>
        <v>1</v>
      </c>
      <c r="BA32" s="79">
        <f>IF(AV32&lt;&gt;"",(MAX(AV$32:AV$40)-AV32)/(MAX(AV$32:AV$40)-MIN(AV$32:AV$40)),"")</f>
        <v>1</v>
      </c>
      <c r="BB32" s="79">
        <f>IF(AW32&lt;&gt;"",(MAX(AW$32:AW$40)-AW32)/(MAX(AW$32:AW$40)-MIN(AW$32:AW$40)),"")</f>
        <v>1</v>
      </c>
    </row>
    <row r="33" spans="22:54" x14ac:dyDescent="0.3">
      <c r="V33" s="139" t="s">
        <v>222</v>
      </c>
      <c r="AI33" s="64" t="str">
        <f t="shared" ref="AI33:AL33" si="38">IF(AI23&lt;&gt;"",(AI23-AVERAGE(AI$22:AI$30))/AI$31,"")</f>
        <v/>
      </c>
      <c r="AJ33" s="64" t="str">
        <f t="shared" si="38"/>
        <v/>
      </c>
      <c r="AK33" s="64" t="str">
        <f t="shared" si="38"/>
        <v/>
      </c>
      <c r="AL33" s="64" t="str">
        <f t="shared" si="38"/>
        <v/>
      </c>
      <c r="AM33" s="64">
        <f t="shared" si="35"/>
        <v>-0.44369924435336711</v>
      </c>
      <c r="AN33" s="64">
        <f t="shared" si="35"/>
        <v>-2.7952001116891629E-2</v>
      </c>
      <c r="AO33" s="64">
        <f t="shared" ref="AO33:AR33" si="39">IF(AO23&lt;&gt;"",(AO23-AVERAGE(AO$22:AO$30))/AO$31,"")</f>
        <v>-0.46117782713696293</v>
      </c>
      <c r="AP33" s="64">
        <f t="shared" si="39"/>
        <v>9.0337314409250941E-2</v>
      </c>
      <c r="AQ33" s="64">
        <f t="shared" si="39"/>
        <v>-0.43898500952202202</v>
      </c>
      <c r="AR33" s="64">
        <f t="shared" si="39"/>
        <v>-3.2531762611417242E-2</v>
      </c>
      <c r="AS33" s="64" t="str">
        <f t="shared" si="37"/>
        <v/>
      </c>
      <c r="AT33" s="64" t="str">
        <f t="shared" si="37"/>
        <v/>
      </c>
      <c r="AU33" s="64">
        <f t="shared" ref="AU33:AU40" si="40">IFERROR(AVERAGEIF($AI$1:$AP$1,"="&amp;AU$3,$AI33:$AP33),"")</f>
        <v>-0.23582562273512936</v>
      </c>
      <c r="AV33" s="64">
        <f t="shared" ref="AV33:AW40" si="41">IFERROR(AVERAGEIF($AI$1:$AR$1,"="&amp;AV$3,$AI33:$AR33),"")</f>
        <v>-0.18542025636385601</v>
      </c>
      <c r="AW33" s="64">
        <f t="shared" si="41"/>
        <v>-0.23575838606671962</v>
      </c>
      <c r="AX33" s="79" t="str">
        <f t="shared" ref="AX33:AX40" si="42">IF(AS33&lt;&gt;"",(MAX(AS$32:AS$40)-AS33)/(MAX(AS$32:AS$40)-MIN(AS$32:AS$40)),"")</f>
        <v/>
      </c>
      <c r="AY33" s="79" t="str">
        <f t="shared" ref="AY33:AY40" si="43">IF(AT33&lt;&gt;"",(MAX(AT$32:AT$40)-AT33)/(MAX(AT$32:AT$40)-MIN(AT$32:AT$40)),"")</f>
        <v/>
      </c>
      <c r="AZ33" s="79">
        <f t="shared" ref="AZ33:BB40" si="44">IF(AU33&lt;&gt;"",(MAX(AU$32:AU$40)-AU33)/(MAX(AU$32:AU$40)-MIN(AU$32:AU$40)),"")</f>
        <v>0.83514455654740072</v>
      </c>
      <c r="BA33" s="79">
        <f t="shared" si="44"/>
        <v>0.78575639517209206</v>
      </c>
      <c r="BB33" s="79">
        <f t="shared" si="44"/>
        <v>0.83255056554727558</v>
      </c>
    </row>
    <row r="34" spans="22:54" x14ac:dyDescent="0.3">
      <c r="V34" s="99" t="s">
        <v>90</v>
      </c>
      <c r="AI34" s="64">
        <f t="shared" ref="AI34:AL34" si="45">IF(AI24&lt;&gt;"",(AI24-AVERAGE(AI$22:AI$30))/AI$31,"")</f>
        <v>-0.58005600814311276</v>
      </c>
      <c r="AJ34" s="64">
        <f t="shared" si="45"/>
        <v>4.9360770434548701E-2</v>
      </c>
      <c r="AK34" s="64">
        <f t="shared" si="45"/>
        <v>-0.59321204751425083</v>
      </c>
      <c r="AL34" s="64">
        <f t="shared" si="45"/>
        <v>-0.21468389348665406</v>
      </c>
      <c r="AM34" s="64">
        <f t="shared" si="35"/>
        <v>-0.52137919862500259</v>
      </c>
      <c r="AN34" s="64">
        <f t="shared" si="35"/>
        <v>-0.18389595275198986</v>
      </c>
      <c r="AO34" s="64">
        <f t="shared" ref="AO34:AR34" si="46">IF(AO24&lt;&gt;"",(AO24-AVERAGE(AO$22:AO$30))/AO$31,"")</f>
        <v>-0.50809275344013438</v>
      </c>
      <c r="AP34" s="64">
        <f t="shared" si="46"/>
        <v>-0.19275280527163952</v>
      </c>
      <c r="AQ34" s="64">
        <f t="shared" si="46"/>
        <v>-0.52647016722096607</v>
      </c>
      <c r="AR34" s="64">
        <f t="shared" si="46"/>
        <v>-0.18628249662687671</v>
      </c>
      <c r="AS34" s="64">
        <f t="shared" si="37"/>
        <v>-0.26534761885428204</v>
      </c>
      <c r="AT34" s="64">
        <f t="shared" si="37"/>
        <v>-0.40394797050045245</v>
      </c>
      <c r="AU34" s="64">
        <f t="shared" si="40"/>
        <v>-0.35263757568849624</v>
      </c>
      <c r="AV34" s="64">
        <f t="shared" si="41"/>
        <v>-0.35042277935588695</v>
      </c>
      <c r="AW34" s="64">
        <f t="shared" si="41"/>
        <v>-0.35637633192392137</v>
      </c>
      <c r="AX34" s="79">
        <f t="shared" si="42"/>
        <v>0.85121282539034371</v>
      </c>
      <c r="AY34" s="79">
        <f t="shared" si="43"/>
        <v>0.89182578352913811</v>
      </c>
      <c r="AZ34" s="79">
        <f t="shared" si="44"/>
        <v>0.89679686715673057</v>
      </c>
      <c r="BA34" s="79">
        <f t="shared" si="44"/>
        <v>0.88406436535028432</v>
      </c>
      <c r="BB34" s="79">
        <f t="shared" si="44"/>
        <v>0.89658042677439909</v>
      </c>
    </row>
    <row r="35" spans="22:54" x14ac:dyDescent="0.3">
      <c r="V35" s="99" t="s">
        <v>89</v>
      </c>
      <c r="AI35" s="64">
        <f t="shared" ref="AI35:AL35" si="47">IF(AI25&lt;&gt;"",(AI25-AVERAGE(AI$22:AI$30))/AI$31,"")</f>
        <v>-0.59247461880725449</v>
      </c>
      <c r="AJ35" s="64">
        <f t="shared" si="47"/>
        <v>-0.41084640923804666</v>
      </c>
      <c r="AK35" s="64">
        <f t="shared" si="47"/>
        <v>-0.59441037616826597</v>
      </c>
      <c r="AL35" s="64">
        <f t="shared" si="47"/>
        <v>-0.5824442731944105</v>
      </c>
      <c r="AM35" s="64">
        <f t="shared" si="35"/>
        <v>-0.5229490208708395</v>
      </c>
      <c r="AN35" s="64">
        <f t="shared" si="35"/>
        <v>-0.54569723902180578</v>
      </c>
      <c r="AO35" s="64">
        <f t="shared" ref="AO35:AR35" si="48">IF(AO25&lt;&gt;"",(AO25-AVERAGE(AO$22:AO$30))/AO$31,"")</f>
        <v>-0.493839262843975</v>
      </c>
      <c r="AP35" s="64">
        <f t="shared" si="48"/>
        <v>-0.55972745194310791</v>
      </c>
      <c r="AQ35" s="64">
        <f t="shared" si="48"/>
        <v>-0.50406419932958246</v>
      </c>
      <c r="AR35" s="64">
        <f t="shared" si="48"/>
        <v>-0.5535910860719222</v>
      </c>
      <c r="AS35" s="64">
        <f t="shared" si="37"/>
        <v>-0.50166051402265055</v>
      </c>
      <c r="AT35" s="64">
        <f t="shared" si="37"/>
        <v>-0.58842732468133829</v>
      </c>
      <c r="AU35" s="64">
        <f t="shared" si="40"/>
        <v>-0.53432312994632269</v>
      </c>
      <c r="AV35" s="64">
        <f t="shared" si="41"/>
        <v>-0.52678335739354143</v>
      </c>
      <c r="AW35" s="64">
        <f t="shared" si="41"/>
        <v>-0.52882764270075233</v>
      </c>
      <c r="AX35" s="79">
        <f t="shared" si="42"/>
        <v>0.96921721742624822</v>
      </c>
      <c r="AY35" s="79">
        <f t="shared" si="43"/>
        <v>0.98693686310397932</v>
      </c>
      <c r="AZ35" s="79">
        <f t="shared" si="44"/>
        <v>0.99268888797418497</v>
      </c>
      <c r="BA35" s="79">
        <f t="shared" si="44"/>
        <v>0.98913942803385202</v>
      </c>
      <c r="BB35" s="79">
        <f t="shared" si="44"/>
        <v>0.98812595442373086</v>
      </c>
    </row>
    <row r="36" spans="22:54" x14ac:dyDescent="0.3">
      <c r="V36" s="74" t="s">
        <v>461</v>
      </c>
      <c r="AI36" s="64">
        <f t="shared" ref="AI36:AL36" si="49">IF(AI26&lt;&gt;"",(AI26-AVERAGE(AI$22:AI$30))/AI$31,"")</f>
        <v>0.92304491622603257</v>
      </c>
      <c r="AJ36" s="64">
        <f t="shared" si="49"/>
        <v>-0.21325624853620065</v>
      </c>
      <c r="AK36" s="64">
        <f t="shared" si="49"/>
        <v>-0.55379966415187565</v>
      </c>
      <c r="AL36" s="64">
        <f t="shared" si="49"/>
        <v>0.44825260110123127</v>
      </c>
      <c r="AM36" s="64">
        <f t="shared" si="35"/>
        <v>-0.50689113879230907</v>
      </c>
      <c r="AN36" s="64">
        <f t="shared" si="35"/>
        <v>0.34643078553329937</v>
      </c>
      <c r="AO36" s="64">
        <f t="shared" ref="AO36:AR36" si="50">IF(AO26&lt;&gt;"",(AO26-AVERAGE(AO$22:AO$30))/AO$31,"")</f>
        <v>-0.4704403980428119</v>
      </c>
      <c r="AP36" s="64">
        <f t="shared" si="50"/>
        <v>0.36598252762998174</v>
      </c>
      <c r="AQ36" s="64">
        <f t="shared" si="50"/>
        <v>-0.46627594984138621</v>
      </c>
      <c r="AR36" s="64">
        <f t="shared" si="50"/>
        <v>0.37294762319287855</v>
      </c>
      <c r="AS36" s="64">
        <f t="shared" si="37"/>
        <v>0.35489433384491598</v>
      </c>
      <c r="AT36" s="64">
        <f t="shared" si="37"/>
        <v>-5.2773531525322187E-2</v>
      </c>
      <c r="AU36" s="64">
        <f t="shared" si="40"/>
        <v>-8.0230176629504851E-2</v>
      </c>
      <c r="AV36" s="64">
        <f t="shared" si="41"/>
        <v>-5.2228935206415084E-2</v>
      </c>
      <c r="AW36" s="64">
        <f t="shared" si="41"/>
        <v>-4.6664163324253827E-2</v>
      </c>
      <c r="AX36" s="79">
        <f t="shared" si="42"/>
        <v>0.5414909437668981</v>
      </c>
      <c r="AY36" s="79">
        <f t="shared" si="43"/>
        <v>0.71077256942657829</v>
      </c>
      <c r="AZ36" s="79">
        <f t="shared" si="44"/>
        <v>0.75302266293835529</v>
      </c>
      <c r="BA36" s="79">
        <f t="shared" si="44"/>
        <v>0.70640143628475371</v>
      </c>
      <c r="BB36" s="79">
        <f t="shared" si="44"/>
        <v>0.73217017227325132</v>
      </c>
    </row>
    <row r="37" spans="22:54" x14ac:dyDescent="0.3">
      <c r="V37" s="99" t="s">
        <v>384</v>
      </c>
      <c r="AI37" s="64">
        <f t="shared" ref="AI37:AL37" si="51">IF(AI27&lt;&gt;"",(AI27-AVERAGE(AI$22:AI$30))/AI$31,"")</f>
        <v>0.64887390488602736</v>
      </c>
      <c r="AJ37" s="64">
        <f t="shared" si="51"/>
        <v>-0.2757821931166079</v>
      </c>
      <c r="AK37" s="64">
        <f t="shared" si="51"/>
        <v>1.5682731473649001</v>
      </c>
      <c r="AL37" s="64">
        <f t="shared" si="51"/>
        <v>-0.32010201289062462</v>
      </c>
      <c r="AM37" s="64">
        <f t="shared" si="35"/>
        <v>1.6278343873774024</v>
      </c>
      <c r="AN37" s="64">
        <f t="shared" si="35"/>
        <v>-0.29091715644652061</v>
      </c>
      <c r="AO37" s="64">
        <f t="shared" ref="AO37:AR37" si="52">IF(AO27&lt;&gt;"",(AO27-AVERAGE(AO$22:AO$30))/AO$31,"")</f>
        <v>1.7006875272372246</v>
      </c>
      <c r="AP37" s="64">
        <f t="shared" si="52"/>
        <v>-0.31034167919913208</v>
      </c>
      <c r="AQ37" s="64">
        <f t="shared" si="52"/>
        <v>1.6036626679196806</v>
      </c>
      <c r="AR37" s="64">
        <f t="shared" si="52"/>
        <v>-0.29318340067286591</v>
      </c>
      <c r="AS37" s="64">
        <f t="shared" si="37"/>
        <v>0.18654585588470973</v>
      </c>
      <c r="AT37" s="64">
        <f t="shared" si="37"/>
        <v>0.62408556723713771</v>
      </c>
      <c r="AU37" s="64">
        <f t="shared" si="40"/>
        <v>0.66845861546544083</v>
      </c>
      <c r="AV37" s="64">
        <f t="shared" si="41"/>
        <v>0.69517292401904629</v>
      </c>
      <c r="AW37" s="64">
        <f t="shared" si="41"/>
        <v>0.65523963362340731</v>
      </c>
      <c r="AX37" s="79">
        <f t="shared" si="42"/>
        <v>0.62555685890754231</v>
      </c>
      <c r="AY37" s="79">
        <f t="shared" si="43"/>
        <v>0.36180777664966463</v>
      </c>
      <c r="AZ37" s="79">
        <f t="shared" si="44"/>
        <v>0.35787137239886152</v>
      </c>
      <c r="BA37" s="79">
        <f t="shared" si="44"/>
        <v>0.26110182294847328</v>
      </c>
      <c r="BB37" s="79">
        <f t="shared" si="44"/>
        <v>0.35956556195633238</v>
      </c>
    </row>
    <row r="38" spans="22:54" x14ac:dyDescent="0.3">
      <c r="V38" s="99" t="s">
        <v>94</v>
      </c>
      <c r="AI38" s="64">
        <f t="shared" ref="AI38:AL38" si="53">IF(AI28&lt;&gt;"",(AI28-AVERAGE(AI$22:AI$30))/AI$31,"")</f>
        <v>-0.58301934143390954</v>
      </c>
      <c r="AJ38" s="64">
        <f t="shared" si="53"/>
        <v>-0.19471238960365145</v>
      </c>
      <c r="AK38" s="64" t="str">
        <f t="shared" si="53"/>
        <v/>
      </c>
      <c r="AL38" s="64" t="str">
        <f t="shared" si="53"/>
        <v/>
      </c>
      <c r="AM38" s="64" t="str">
        <f t="shared" si="35"/>
        <v/>
      </c>
      <c r="AN38" s="64" t="str">
        <f t="shared" si="35"/>
        <v/>
      </c>
      <c r="AO38" s="64" t="str">
        <f t="shared" ref="AO38:AR38" si="54">IF(AO28&lt;&gt;"",(AO28-AVERAGE(AO$22:AO$30))/AO$31,"")</f>
        <v/>
      </c>
      <c r="AP38" s="64" t="str">
        <f t="shared" si="54"/>
        <v/>
      </c>
      <c r="AQ38" s="64" t="str">
        <f t="shared" si="54"/>
        <v/>
      </c>
      <c r="AR38" s="64" t="str">
        <f t="shared" si="54"/>
        <v/>
      </c>
      <c r="AS38" s="64">
        <f t="shared" si="37"/>
        <v>-0.3888658655187805</v>
      </c>
      <c r="AT38" s="64" t="str">
        <f t="shared" si="37"/>
        <v/>
      </c>
      <c r="AU38" s="64" t="str">
        <f t="shared" si="40"/>
        <v/>
      </c>
      <c r="AV38" s="64" t="str">
        <f t="shared" si="41"/>
        <v/>
      </c>
      <c r="AW38" s="64" t="str">
        <f t="shared" si="41"/>
        <v/>
      </c>
      <c r="AX38" s="79">
        <f t="shared" si="42"/>
        <v>0.91289247089847436</v>
      </c>
      <c r="AY38" s="79" t="str">
        <f t="shared" si="43"/>
        <v/>
      </c>
      <c r="AZ38" s="79" t="str">
        <f t="shared" si="44"/>
        <v/>
      </c>
      <c r="BA38" s="79" t="str">
        <f t="shared" si="44"/>
        <v/>
      </c>
      <c r="BB38" s="79" t="str">
        <f t="shared" si="44"/>
        <v/>
      </c>
    </row>
    <row r="39" spans="22:54" x14ac:dyDescent="0.3">
      <c r="V39" s="99" t="s">
        <v>93</v>
      </c>
      <c r="AI39" s="64">
        <f t="shared" ref="AI39:AL39" si="55">IF(AI29&lt;&gt;"",(AI29-AVERAGE(AI$22:AI$30))/AI$31,"")</f>
        <v>-0.52929115826457462</v>
      </c>
      <c r="AJ39" s="64">
        <f t="shared" si="55"/>
        <v>6.2261820554937149E-3</v>
      </c>
      <c r="AK39" s="64">
        <f t="shared" si="55"/>
        <v>-0.48614483020986243</v>
      </c>
      <c r="AL39" s="64">
        <f t="shared" si="55"/>
        <v>-9.5909307063383714E-2</v>
      </c>
      <c r="AM39" s="64">
        <f t="shared" si="35"/>
        <v>-0.41391388554516451</v>
      </c>
      <c r="AN39" s="64">
        <f t="shared" si="35"/>
        <v>-0.11364662448362006</v>
      </c>
      <c r="AO39" s="64">
        <f t="shared" ref="AO39:AR39" si="56">IF(AO29&lt;&gt;"",(AO29-AVERAGE(AO$22:AO$30))/AO$31,"")</f>
        <v>-0.1692222359901743</v>
      </c>
      <c r="AP39" s="64">
        <f t="shared" si="56"/>
        <v>-0.16821426985039342</v>
      </c>
      <c r="AQ39" s="64">
        <f t="shared" si="56"/>
        <v>-0.42187868756901237</v>
      </c>
      <c r="AR39" s="64">
        <f t="shared" si="56"/>
        <v>-0.11611770715851971</v>
      </c>
      <c r="AS39" s="64">
        <f t="shared" si="37"/>
        <v>-0.26153248810454044</v>
      </c>
      <c r="AT39" s="64">
        <f t="shared" si="37"/>
        <v>-0.29102706863662309</v>
      </c>
      <c r="AU39" s="64">
        <f t="shared" si="40"/>
        <v>-0.26378025501439228</v>
      </c>
      <c r="AV39" s="64">
        <f t="shared" si="41"/>
        <v>-0.16871825292028386</v>
      </c>
      <c r="AW39" s="64">
        <f t="shared" si="41"/>
        <v>-0.26899819736376607</v>
      </c>
      <c r="AX39" s="79">
        <f t="shared" si="42"/>
        <v>0.84930771486161027</v>
      </c>
      <c r="AY39" s="79">
        <f t="shared" si="43"/>
        <v>0.83360773018370682</v>
      </c>
      <c r="AZ39" s="79">
        <f t="shared" si="44"/>
        <v>0.84989876301922263</v>
      </c>
      <c r="BA39" s="79">
        <f t="shared" si="44"/>
        <v>0.77580539547419025</v>
      </c>
      <c r="BB39" s="79">
        <f t="shared" si="44"/>
        <v>0.85019587105666783</v>
      </c>
    </row>
    <row r="40" spans="22:54" x14ac:dyDescent="0.3">
      <c r="V40" s="100" t="s">
        <v>92</v>
      </c>
      <c r="AI40" s="64">
        <f t="shared" ref="AI40:AL40" si="57">IF(AI30&lt;&gt;"",(AI30-AVERAGE(AI$22:AI$30))/AI$31,"")</f>
        <v>1.305578321563075</v>
      </c>
      <c r="AJ40" s="64">
        <f t="shared" si="57"/>
        <v>1.5729650919683158</v>
      </c>
      <c r="AK40" s="64">
        <f t="shared" si="57"/>
        <v>1.2537740588917308</v>
      </c>
      <c r="AL40" s="64">
        <f t="shared" si="57"/>
        <v>1.3979362904104229</v>
      </c>
      <c r="AM40" s="64">
        <f t="shared" si="35"/>
        <v>1.3040405916967786</v>
      </c>
      <c r="AN40" s="64">
        <f t="shared" si="35"/>
        <v>1.388986523936024</v>
      </c>
      <c r="AO40" s="64">
        <f t="shared" ref="AO40:AR40" si="58">IF(AO30&lt;&gt;"",(AO30-AVERAGE(AO$22:AO$30))/AO$31,"")</f>
        <v>0.91118390930670978</v>
      </c>
      <c r="AP40" s="64">
        <f t="shared" si="58"/>
        <v>1.355641423888603</v>
      </c>
      <c r="AQ40" s="64">
        <f t="shared" si="58"/>
        <v>1.281816611626108</v>
      </c>
      <c r="AR40" s="64">
        <f t="shared" si="58"/>
        <v>1.3833449445709534</v>
      </c>
      <c r="AS40" s="64">
        <f t="shared" si="37"/>
        <v>1.4392717067656955</v>
      </c>
      <c r="AT40" s="64">
        <f t="shared" si="37"/>
        <v>1.3258551746510769</v>
      </c>
      <c r="AU40" s="64">
        <f t="shared" si="40"/>
        <v>1.3465135578164014</v>
      </c>
      <c r="AV40" s="64">
        <f t="shared" si="41"/>
        <v>1.1334126665976565</v>
      </c>
      <c r="AW40" s="64">
        <f t="shared" si="41"/>
        <v>1.3325807780985306</v>
      </c>
      <c r="AX40" s="79">
        <f t="shared" si="42"/>
        <v>0</v>
      </c>
      <c r="AY40" s="79">
        <f t="shared" si="43"/>
        <v>0</v>
      </c>
      <c r="AZ40" s="79">
        <f t="shared" si="44"/>
        <v>0</v>
      </c>
      <c r="BA40" s="79">
        <f t="shared" si="44"/>
        <v>0</v>
      </c>
      <c r="BB40" s="79">
        <f t="shared" si="44"/>
        <v>0</v>
      </c>
    </row>
    <row r="41" spans="22:54" x14ac:dyDescent="0.3">
      <c r="AI41" s="64"/>
    </row>
  </sheetData>
  <sortState ref="V4:AV12">
    <sortCondition ref="V4:V12"/>
  </sortState>
  <mergeCells count="6">
    <mergeCell ref="AX3:AX4"/>
    <mergeCell ref="AX5:AX6"/>
    <mergeCell ref="AX7:AX8"/>
    <mergeCell ref="E1:F1"/>
    <mergeCell ref="I1:J1"/>
    <mergeCell ref="M1:N1"/>
  </mergeCells>
  <conditionalFormatting sqref="E4:E24">
    <cfRule type="colorScale" priority="53">
      <colorScale>
        <cfvo type="min"/>
        <cfvo type="max"/>
        <color rgb="FFFF0000"/>
        <color rgb="FF00B050"/>
      </colorScale>
    </cfRule>
  </conditionalFormatting>
  <conditionalFormatting sqref="I4:I24">
    <cfRule type="colorScale" priority="51">
      <colorScale>
        <cfvo type="min"/>
        <cfvo type="max"/>
        <color rgb="FFFF0000"/>
        <color rgb="FF00B050"/>
      </colorScale>
    </cfRule>
  </conditionalFormatting>
  <conditionalFormatting sqref="J4:J24">
    <cfRule type="colorScale" priority="50">
      <colorScale>
        <cfvo type="min"/>
        <cfvo type="max"/>
        <color rgb="FFFF0000"/>
        <color rgb="FF00B050"/>
      </colorScale>
    </cfRule>
  </conditionalFormatting>
  <conditionalFormatting sqref="N4:N24">
    <cfRule type="colorScale" priority="48">
      <colorScale>
        <cfvo type="min"/>
        <cfvo type="max"/>
        <color rgb="FFFF0000"/>
        <color rgb="FF00B050"/>
      </colorScale>
    </cfRule>
  </conditionalFormatting>
  <conditionalFormatting sqref="F4:F24">
    <cfRule type="colorScale" priority="47">
      <colorScale>
        <cfvo type="min"/>
        <cfvo type="max"/>
        <color rgb="FFFF0000"/>
        <color rgb="FF00B050"/>
      </colorScale>
    </cfRule>
  </conditionalFormatting>
  <conditionalFormatting sqref="M4:M24">
    <cfRule type="colorScale" priority="290">
      <colorScale>
        <cfvo type="min"/>
        <cfvo type="max"/>
        <color rgb="FFFF0000"/>
        <color rgb="FF00B050"/>
      </colorScale>
    </cfRule>
  </conditionalFormatting>
  <conditionalFormatting sqref="AZ3:BG3 AZ5:BG5 AZ7:BH7">
    <cfRule type="colorScale" priority="1378">
      <colorScale>
        <cfvo type="min"/>
        <cfvo type="max"/>
        <color rgb="FFFF0000"/>
        <color rgb="FF00B050"/>
      </colorScale>
    </cfRule>
  </conditionalFormatting>
  <conditionalFormatting sqref="AZ4:BG4 AZ6:BG6 AZ8:BH8">
    <cfRule type="colorScale" priority="1393">
      <colorScale>
        <cfvo type="min"/>
        <cfvo type="max"/>
        <color rgb="FFFF0000"/>
        <color rgb="FF00B050"/>
      </colorScale>
    </cfRule>
  </conditionalFormatting>
  <conditionalFormatting sqref="AA8">
    <cfRule type="colorScale" priority="32">
      <colorScale>
        <cfvo type="min"/>
        <cfvo type="max"/>
        <color rgb="FFFF0000"/>
        <color rgb="FF00B050"/>
      </colorScale>
    </cfRule>
  </conditionalFormatting>
  <conditionalFormatting sqref="W4:W7 W9:W21 Y4:Y7 Y9:Y21 AA4:AA6 AA9:AA21 AA23">
    <cfRule type="colorScale" priority="3329">
      <colorScale>
        <cfvo type="min"/>
        <cfvo type="max"/>
        <color rgb="FFFF0000"/>
        <color rgb="FF00B050"/>
      </colorScale>
    </cfRule>
  </conditionalFormatting>
  <conditionalFormatting sqref="AX32:BB4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:X21 Z4:Z21 AB4:AH6 AC7:AH7 AB9:AH21 AB8 AC29:AD29 AD8:AH8 AS4:AW21">
    <cfRule type="colorScale" priority="6928">
      <colorScale>
        <cfvo type="min"/>
        <cfvo type="max"/>
        <color rgb="FFFF0000"/>
        <color rgb="FF00B050"/>
      </colorScale>
    </cfRule>
  </conditionalFormatting>
  <conditionalFormatting sqref="AA25">
    <cfRule type="colorScale" priority="28">
      <colorScale>
        <cfvo type="min"/>
        <cfvo type="max"/>
        <color rgb="FFFF0000"/>
        <color rgb="FF00B050"/>
      </colorScale>
    </cfRule>
  </conditionalFormatting>
  <conditionalFormatting sqref="AB25">
    <cfRule type="colorScale" priority="29">
      <colorScale>
        <cfvo type="min"/>
        <cfvo type="max"/>
        <color rgb="FFFF0000"/>
        <color rgb="FF00B050"/>
      </colorScale>
    </cfRule>
  </conditionalFormatting>
  <conditionalFormatting sqref="AA4:AA6 AA8:AA21 AA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6 AB8:AB2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:X2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:Z2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C7 AC9:AC21 AC2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H21 AD2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:AS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:AT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:AU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:AW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AX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2:AY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2:AZ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2:BB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7">
    <cfRule type="colorScale" priority="9">
      <colorScale>
        <cfvo type="min"/>
        <cfvo type="max"/>
        <color rgb="FFFF0000"/>
        <color rgb="FF00B050"/>
      </colorScale>
    </cfRule>
  </conditionalFormatting>
  <conditionalFormatting sqref="AB7">
    <cfRule type="colorScale" priority="8">
      <colorScale>
        <cfvo type="min"/>
        <cfvo type="max"/>
        <color rgb="FFFF0000"/>
        <color rgb="FF00B050"/>
      </colorScale>
    </cfRule>
  </conditionalFormatting>
  <conditionalFormatting sqref="AC27:AH27">
    <cfRule type="colorScale" priority="7">
      <colorScale>
        <cfvo type="min"/>
        <cfvo type="max"/>
        <color rgb="FFFF0000"/>
        <color rgb="FF00B050"/>
      </colorScale>
    </cfRule>
  </conditionalFormatting>
  <conditionalFormatting sqref="AC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7:AH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C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H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:AE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37DCE-E114-497C-91FF-0238F23AF307}">
  <dimension ref="A1:DE56"/>
  <sheetViews>
    <sheetView topLeftCell="AR1" zoomScaleNormal="100" workbookViewId="0">
      <pane xSplit="1" ySplit="1" topLeftCell="AZ2" activePane="bottomRight" state="frozen"/>
      <selection activeCell="AR1" sqref="AR1"/>
      <selection pane="topRight" activeCell="AS1" sqref="AS1"/>
      <selection pane="bottomLeft" activeCell="AR2" sqref="AR2"/>
      <selection pane="bottomRight" activeCell="BR8" sqref="BR8"/>
    </sheetView>
  </sheetViews>
  <sheetFormatPr defaultRowHeight="14.4" x14ac:dyDescent="0.3"/>
  <cols>
    <col min="1" max="1" width="10.6640625" bestFit="1" customWidth="1"/>
    <col min="2" max="2" width="9.88671875" bestFit="1" customWidth="1"/>
    <col min="3" max="3" width="5" bestFit="1" customWidth="1"/>
    <col min="4" max="4" width="4.44140625" bestFit="1" customWidth="1"/>
    <col min="5" max="5" width="5" bestFit="1" customWidth="1"/>
    <col min="6" max="6" width="4.44140625" bestFit="1" customWidth="1"/>
    <col min="7" max="7" width="5" bestFit="1" customWidth="1"/>
    <col min="8" max="8" width="4.44140625" bestFit="1" customWidth="1"/>
    <col min="9" max="9" width="4" bestFit="1" customWidth="1"/>
    <col min="10" max="10" width="3.44140625" bestFit="1" customWidth="1"/>
    <col min="11" max="11" width="5" bestFit="1" customWidth="1"/>
    <col min="12" max="12" width="4.44140625" bestFit="1" customWidth="1"/>
    <col min="13" max="13" width="5.21875" hidden="1" customWidth="1"/>
    <col min="14" max="14" width="5.21875" customWidth="1"/>
    <col min="15" max="15" width="5" bestFit="1" customWidth="1"/>
    <col min="16" max="16" width="5.21875" customWidth="1"/>
    <col min="17" max="17" width="5" bestFit="1" customWidth="1"/>
    <col min="18" max="18" width="5.21875" customWidth="1"/>
    <col min="19" max="19" width="4" bestFit="1" customWidth="1"/>
    <col min="20" max="20" width="5.21875" customWidth="1"/>
    <col min="21" max="21" width="4" bestFit="1" customWidth="1"/>
    <col min="22" max="22" width="5.21875" customWidth="1"/>
    <col min="23" max="23" width="5" bestFit="1" customWidth="1"/>
    <col min="24" max="24" width="5.21875" customWidth="1"/>
    <col min="25" max="25" width="5" bestFit="1" customWidth="1"/>
    <col min="26" max="26" width="5.21875" customWidth="1"/>
    <col min="27" max="27" width="5" bestFit="1" customWidth="1"/>
    <col min="28" max="28" width="4.44140625" bestFit="1" customWidth="1"/>
    <col min="29" max="29" width="4" bestFit="1" customWidth="1"/>
    <col min="30" max="30" width="3.44140625" bestFit="1" customWidth="1"/>
    <col min="31" max="31" width="4" bestFit="1" customWidth="1"/>
    <col min="32" max="32" width="4.5546875" customWidth="1"/>
    <col min="44" max="44" width="14.77734375" bestFit="1" customWidth="1"/>
    <col min="45" max="47" width="4.44140625" bestFit="1" customWidth="1"/>
    <col min="48" max="48" width="3.44140625" bestFit="1" customWidth="1"/>
    <col min="49" max="52" width="4.44140625" bestFit="1" customWidth="1"/>
    <col min="53" max="53" width="3.44140625" bestFit="1" customWidth="1"/>
    <col min="54" max="54" width="4.44140625" bestFit="1" customWidth="1"/>
    <col min="55" max="55" width="6.44140625" bestFit="1" customWidth="1"/>
    <col min="56" max="57" width="4.44140625" bestFit="1" customWidth="1"/>
    <col min="58" max="58" width="3.44140625" bestFit="1" customWidth="1"/>
    <col min="59" max="59" width="4.44140625" bestFit="1" customWidth="1"/>
    <col min="60" max="61" width="6" bestFit="1" customWidth="1"/>
    <col min="62" max="64" width="5" bestFit="1" customWidth="1"/>
    <col min="65" max="66" width="8" bestFit="1" customWidth="1"/>
    <col min="67" max="67" width="7" bestFit="1" customWidth="1"/>
    <col min="68" max="68" width="6" bestFit="1" customWidth="1"/>
    <col min="69" max="69" width="7" bestFit="1" customWidth="1"/>
    <col min="70" max="71" width="6" bestFit="1" customWidth="1"/>
    <col min="72" max="74" width="5" bestFit="1" customWidth="1"/>
    <col min="75" max="84" width="5.88671875" bestFit="1" customWidth="1"/>
    <col min="85" max="89" width="5.88671875" customWidth="1"/>
    <col min="90" max="94" width="5.88671875" bestFit="1" customWidth="1"/>
    <col min="95" max="99" width="5.88671875" customWidth="1"/>
    <col min="100" max="103" width="5.88671875" bestFit="1" customWidth="1"/>
    <col min="104" max="104" width="5.88671875" customWidth="1"/>
    <col min="105" max="109" width="5.88671875" bestFit="1" customWidth="1"/>
  </cols>
  <sheetData>
    <row r="1" spans="1:104" x14ac:dyDescent="0.3">
      <c r="A1" t="s">
        <v>378</v>
      </c>
      <c r="B1">
        <v>5295</v>
      </c>
      <c r="C1" s="349" t="s">
        <v>477</v>
      </c>
      <c r="D1" s="350"/>
      <c r="E1" s="350"/>
      <c r="F1" s="350"/>
      <c r="G1" s="350"/>
      <c r="H1" s="350"/>
      <c r="I1" s="350"/>
      <c r="J1" s="350"/>
      <c r="K1" s="350"/>
      <c r="L1" s="351"/>
      <c r="M1" s="349" t="s">
        <v>478</v>
      </c>
      <c r="N1" s="350"/>
      <c r="O1" s="350"/>
      <c r="P1" s="350"/>
      <c r="Q1" s="350"/>
      <c r="R1" s="350"/>
      <c r="S1" s="350"/>
      <c r="T1" s="350"/>
      <c r="U1" s="350"/>
      <c r="V1" s="351"/>
      <c r="W1" s="349" t="s">
        <v>479</v>
      </c>
      <c r="X1" s="350"/>
      <c r="Y1" s="350"/>
      <c r="Z1" s="350"/>
      <c r="AA1" s="350"/>
      <c r="AB1" s="350"/>
      <c r="AC1" s="350"/>
      <c r="AD1" s="350"/>
      <c r="AE1" s="350"/>
      <c r="AF1" s="351"/>
      <c r="AR1" s="73" t="s">
        <v>331</v>
      </c>
      <c r="AS1" s="280">
        <v>1</v>
      </c>
      <c r="AT1" s="280">
        <v>1</v>
      </c>
      <c r="AU1" s="280">
        <v>1</v>
      </c>
      <c r="AV1" s="280">
        <v>1</v>
      </c>
      <c r="AW1" s="280">
        <v>1</v>
      </c>
      <c r="AX1" s="280">
        <v>2</v>
      </c>
      <c r="AY1" s="280">
        <v>2</v>
      </c>
      <c r="AZ1" s="280">
        <v>2</v>
      </c>
      <c r="BA1" s="280">
        <v>2</v>
      </c>
      <c r="BB1" s="280">
        <v>2</v>
      </c>
      <c r="BC1" s="280">
        <v>3</v>
      </c>
      <c r="BD1" s="280">
        <v>3</v>
      </c>
      <c r="BE1" s="280">
        <v>3</v>
      </c>
      <c r="BF1" s="280">
        <v>3</v>
      </c>
      <c r="BG1" s="280">
        <v>3</v>
      </c>
      <c r="BH1" s="281" t="s">
        <v>1083</v>
      </c>
      <c r="BI1" s="281" t="s">
        <v>1083</v>
      </c>
      <c r="BJ1" s="281" t="s">
        <v>1083</v>
      </c>
      <c r="BK1" s="281" t="s">
        <v>1083</v>
      </c>
      <c r="BL1" s="281" t="s">
        <v>1083</v>
      </c>
      <c r="BM1" s="281" t="s">
        <v>1127</v>
      </c>
      <c r="BN1" s="281" t="s">
        <v>1127</v>
      </c>
      <c r="BO1" s="281" t="s">
        <v>1127</v>
      </c>
      <c r="BP1" s="281" t="s">
        <v>1127</v>
      </c>
      <c r="BQ1" s="281" t="s">
        <v>1127</v>
      </c>
      <c r="BR1" s="281" t="s">
        <v>1199</v>
      </c>
      <c r="BS1" s="281" t="s">
        <v>1199</v>
      </c>
      <c r="BT1" s="281" t="s">
        <v>1199</v>
      </c>
      <c r="BU1" s="281" t="s">
        <v>1199</v>
      </c>
      <c r="BV1" s="281" t="s">
        <v>1199</v>
      </c>
      <c r="BW1" s="280">
        <v>1</v>
      </c>
      <c r="BX1" s="280">
        <v>1</v>
      </c>
      <c r="BY1" s="280">
        <v>1</v>
      </c>
      <c r="BZ1" s="280">
        <v>1</v>
      </c>
      <c r="CA1" s="280">
        <v>1</v>
      </c>
      <c r="CB1" s="280">
        <v>2</v>
      </c>
      <c r="CC1" s="280">
        <v>2</v>
      </c>
      <c r="CD1" s="280">
        <v>2</v>
      </c>
      <c r="CE1" s="280">
        <v>2</v>
      </c>
      <c r="CF1" s="280">
        <v>2</v>
      </c>
      <c r="CG1" s="280">
        <v>3</v>
      </c>
      <c r="CH1" s="280">
        <v>3</v>
      </c>
      <c r="CI1" s="280">
        <v>3</v>
      </c>
      <c r="CJ1" s="280">
        <v>3</v>
      </c>
      <c r="CK1" s="280">
        <v>3</v>
      </c>
      <c r="CL1" s="281" t="s">
        <v>1083</v>
      </c>
      <c r="CM1" s="281" t="s">
        <v>1083</v>
      </c>
      <c r="CN1" s="281" t="s">
        <v>1083</v>
      </c>
      <c r="CO1" s="281" t="s">
        <v>1083</v>
      </c>
      <c r="CP1" s="281" t="s">
        <v>1083</v>
      </c>
      <c r="CQ1" s="330" t="s">
        <v>1127</v>
      </c>
      <c r="CR1" s="330" t="s">
        <v>1127</v>
      </c>
      <c r="CS1" s="330" t="s">
        <v>1127</v>
      </c>
      <c r="CT1" s="330" t="s">
        <v>1127</v>
      </c>
      <c r="CU1" s="330" t="s">
        <v>1127</v>
      </c>
      <c r="CV1" s="347" t="s">
        <v>1082</v>
      </c>
      <c r="CW1" s="345"/>
      <c r="CX1" s="345"/>
      <c r="CY1" s="345"/>
      <c r="CZ1" s="284"/>
    </row>
    <row r="2" spans="1:104" x14ac:dyDescent="0.3">
      <c r="C2" s="236"/>
      <c r="D2" s="237"/>
      <c r="E2" s="237"/>
      <c r="F2" s="237"/>
      <c r="G2" s="237"/>
      <c r="H2" s="237"/>
      <c r="I2" s="237"/>
      <c r="J2" s="237"/>
      <c r="K2" s="237"/>
      <c r="L2" s="238"/>
      <c r="M2" s="236"/>
      <c r="N2" s="237"/>
      <c r="O2" s="237"/>
      <c r="P2" s="237"/>
      <c r="Q2" s="237"/>
      <c r="R2" s="237"/>
      <c r="S2" s="237"/>
      <c r="T2" s="237"/>
      <c r="U2" s="237"/>
      <c r="V2" s="238"/>
      <c r="W2" s="236"/>
      <c r="X2" s="237"/>
      <c r="Y2" s="237"/>
      <c r="Z2" s="237"/>
      <c r="AA2" s="237"/>
      <c r="AB2" s="237"/>
      <c r="AC2" s="237"/>
      <c r="AD2" s="237"/>
      <c r="AE2" s="237"/>
      <c r="AF2" s="238"/>
      <c r="AR2" s="73"/>
      <c r="AS2" s="234">
        <v>11</v>
      </c>
      <c r="AT2" s="285">
        <v>11</v>
      </c>
      <c r="AU2" s="285">
        <v>11</v>
      </c>
      <c r="AV2" s="285">
        <v>11</v>
      </c>
      <c r="AW2" s="285">
        <v>11</v>
      </c>
      <c r="AX2">
        <v>19</v>
      </c>
      <c r="AY2">
        <v>19</v>
      </c>
      <c r="AZ2">
        <v>19</v>
      </c>
      <c r="BA2">
        <v>19</v>
      </c>
      <c r="BB2">
        <v>19</v>
      </c>
      <c r="BC2" s="234">
        <v>28</v>
      </c>
      <c r="BD2" s="285">
        <v>28</v>
      </c>
      <c r="BE2" s="285">
        <v>28</v>
      </c>
      <c r="BF2" s="285">
        <v>28</v>
      </c>
      <c r="BG2" s="285">
        <v>28</v>
      </c>
      <c r="BH2" s="281" t="s">
        <v>1083</v>
      </c>
      <c r="BI2" s="281" t="s">
        <v>1083</v>
      </c>
      <c r="BJ2" s="281" t="s">
        <v>1083</v>
      </c>
      <c r="BK2" s="281" t="s">
        <v>1083</v>
      </c>
      <c r="BL2" s="281" t="s">
        <v>1083</v>
      </c>
      <c r="BM2" s="281" t="s">
        <v>1127</v>
      </c>
      <c r="BN2" s="281" t="s">
        <v>1127</v>
      </c>
      <c r="BO2" s="281" t="s">
        <v>1127</v>
      </c>
      <c r="BP2" s="281" t="s">
        <v>1127</v>
      </c>
      <c r="BQ2" s="281" t="s">
        <v>1127</v>
      </c>
      <c r="BR2" s="281" t="s">
        <v>1199</v>
      </c>
      <c r="BS2" s="281" t="s">
        <v>1199</v>
      </c>
      <c r="BT2" s="281" t="s">
        <v>1199</v>
      </c>
      <c r="BU2" s="281" t="s">
        <v>1199</v>
      </c>
      <c r="BV2" s="281" t="s">
        <v>1199</v>
      </c>
      <c r="BW2" s="280" t="s">
        <v>1085</v>
      </c>
      <c r="BX2" s="280" t="s">
        <v>1085</v>
      </c>
      <c r="BY2" s="280" t="s">
        <v>1086</v>
      </c>
      <c r="BZ2" s="280" t="s">
        <v>1086</v>
      </c>
      <c r="CA2" s="280" t="s">
        <v>1086</v>
      </c>
      <c r="CB2" s="280" t="s">
        <v>1085</v>
      </c>
      <c r="CC2" s="280" t="s">
        <v>1085</v>
      </c>
      <c r="CD2" s="280" t="s">
        <v>1086</v>
      </c>
      <c r="CE2" s="280" t="s">
        <v>1086</v>
      </c>
      <c r="CF2" s="280" t="s">
        <v>1086</v>
      </c>
      <c r="CG2" s="280" t="s">
        <v>1085</v>
      </c>
      <c r="CH2" s="280" t="s">
        <v>1085</v>
      </c>
      <c r="CI2" s="280" t="s">
        <v>1086</v>
      </c>
      <c r="CJ2" s="280" t="s">
        <v>1086</v>
      </c>
      <c r="CK2" s="280" t="s">
        <v>1086</v>
      </c>
      <c r="CL2" s="280" t="s">
        <v>1085</v>
      </c>
      <c r="CM2" s="280" t="s">
        <v>1085</v>
      </c>
      <c r="CN2" s="280" t="s">
        <v>1086</v>
      </c>
      <c r="CO2" s="280" t="s">
        <v>1086</v>
      </c>
      <c r="CP2" s="280" t="s">
        <v>1086</v>
      </c>
      <c r="CQ2" s="280" t="s">
        <v>1085</v>
      </c>
      <c r="CR2" s="280" t="s">
        <v>1085</v>
      </c>
      <c r="CS2" s="280" t="s">
        <v>1086</v>
      </c>
      <c r="CT2" s="280" t="s">
        <v>1086</v>
      </c>
      <c r="CU2" s="280" t="s">
        <v>1086</v>
      </c>
      <c r="CV2" s="237"/>
      <c r="CW2" s="232"/>
      <c r="CX2" s="232"/>
      <c r="CY2" s="232"/>
      <c r="CZ2" s="284"/>
    </row>
    <row r="3" spans="1:104" x14ac:dyDescent="0.3">
      <c r="A3" t="s">
        <v>377</v>
      </c>
      <c r="B3" t="s">
        <v>302</v>
      </c>
      <c r="C3" s="347" t="s">
        <v>475</v>
      </c>
      <c r="D3" s="352"/>
      <c r="E3" s="352" t="s">
        <v>462</v>
      </c>
      <c r="F3" s="352"/>
      <c r="G3" s="352" t="s">
        <v>79</v>
      </c>
      <c r="H3" s="352"/>
      <c r="I3" s="352" t="s">
        <v>480</v>
      </c>
      <c r="J3" s="352"/>
      <c r="K3" s="352" t="s">
        <v>481</v>
      </c>
      <c r="L3" s="353"/>
      <c r="M3" s="347" t="s">
        <v>475</v>
      </c>
      <c r="N3" s="352"/>
      <c r="O3" s="352" t="s">
        <v>462</v>
      </c>
      <c r="P3" s="352"/>
      <c r="Q3" s="352" t="s">
        <v>79</v>
      </c>
      <c r="R3" s="352"/>
      <c r="S3" s="352" t="s">
        <v>480</v>
      </c>
      <c r="T3" s="352"/>
      <c r="U3" s="352" t="s">
        <v>481</v>
      </c>
      <c r="V3" s="353"/>
      <c r="W3" s="347" t="s">
        <v>475</v>
      </c>
      <c r="X3" s="352"/>
      <c r="Y3" s="352" t="s">
        <v>462</v>
      </c>
      <c r="Z3" s="352"/>
      <c r="AA3" s="352" t="s">
        <v>79</v>
      </c>
      <c r="AB3" s="352"/>
      <c r="AC3" s="352" t="s">
        <v>480</v>
      </c>
      <c r="AD3" s="352"/>
      <c r="AE3" s="352" t="s">
        <v>481</v>
      </c>
      <c r="AF3" s="353"/>
      <c r="AG3" t="s">
        <v>148</v>
      </c>
      <c r="AH3" t="s">
        <v>452</v>
      </c>
      <c r="AI3" t="s">
        <v>453</v>
      </c>
      <c r="AJ3" t="s">
        <v>454</v>
      </c>
      <c r="AR3" s="73" t="s">
        <v>398</v>
      </c>
      <c r="AS3" s="87" t="s">
        <v>475</v>
      </c>
      <c r="AT3" s="87" t="s">
        <v>462</v>
      </c>
      <c r="AU3" s="87" t="s">
        <v>79</v>
      </c>
      <c r="AV3" s="87" t="s">
        <v>480</v>
      </c>
      <c r="AW3" s="87" t="s">
        <v>481</v>
      </c>
      <c r="AX3" s="87" t="s">
        <v>475</v>
      </c>
      <c r="AY3" s="87" t="s">
        <v>462</v>
      </c>
      <c r="AZ3" s="87" t="s">
        <v>79</v>
      </c>
      <c r="BA3" s="87" t="s">
        <v>480</v>
      </c>
      <c r="BB3" s="87" t="s">
        <v>481</v>
      </c>
      <c r="BC3" s="87" t="s">
        <v>475</v>
      </c>
      <c r="BD3" s="87" t="s">
        <v>462</v>
      </c>
      <c r="BE3" s="87" t="s">
        <v>79</v>
      </c>
      <c r="BF3" s="87" t="s">
        <v>480</v>
      </c>
      <c r="BG3" s="87" t="s">
        <v>481</v>
      </c>
      <c r="BH3" s="226" t="s">
        <v>475</v>
      </c>
      <c r="BI3" s="226" t="s">
        <v>462</v>
      </c>
      <c r="BJ3" s="226" t="s">
        <v>79</v>
      </c>
      <c r="BK3" s="226" t="s">
        <v>480</v>
      </c>
      <c r="BL3" s="226" t="s">
        <v>481</v>
      </c>
      <c r="BM3" s="285" t="s">
        <v>475</v>
      </c>
      <c r="BN3" s="285" t="s">
        <v>462</v>
      </c>
      <c r="BO3" s="285" t="s">
        <v>79</v>
      </c>
      <c r="BP3" s="285" t="s">
        <v>480</v>
      </c>
      <c r="BQ3" s="285" t="s">
        <v>481</v>
      </c>
      <c r="BR3" s="295" t="s">
        <v>475</v>
      </c>
      <c r="BS3" s="295" t="s">
        <v>462</v>
      </c>
      <c r="BT3" s="295" t="s">
        <v>79</v>
      </c>
      <c r="BU3" s="295" t="s">
        <v>480</v>
      </c>
      <c r="BV3" s="295" t="s">
        <v>481</v>
      </c>
      <c r="BW3" s="167" t="s">
        <v>475</v>
      </c>
      <c r="BX3" s="167" t="s">
        <v>462</v>
      </c>
      <c r="BY3" s="167" t="s">
        <v>79</v>
      </c>
      <c r="BZ3" s="167" t="s">
        <v>480</v>
      </c>
      <c r="CA3" s="167" t="s">
        <v>481</v>
      </c>
      <c r="CB3" s="167" t="s">
        <v>475</v>
      </c>
      <c r="CC3" s="167" t="s">
        <v>462</v>
      </c>
      <c r="CD3" s="167" t="s">
        <v>79</v>
      </c>
      <c r="CE3" s="167" t="s">
        <v>480</v>
      </c>
      <c r="CF3" s="167" t="s">
        <v>481</v>
      </c>
      <c r="CG3" s="167" t="s">
        <v>475</v>
      </c>
      <c r="CH3" s="167" t="s">
        <v>462</v>
      </c>
      <c r="CI3" s="167" t="s">
        <v>79</v>
      </c>
      <c r="CJ3" s="167" t="s">
        <v>480</v>
      </c>
      <c r="CK3" s="167" t="s">
        <v>481</v>
      </c>
      <c r="CL3" s="234" t="s">
        <v>475</v>
      </c>
      <c r="CM3" s="234" t="s">
        <v>462</v>
      </c>
      <c r="CN3" s="234" t="s">
        <v>79</v>
      </c>
      <c r="CO3" s="234" t="s">
        <v>480</v>
      </c>
      <c r="CP3" s="234" t="s">
        <v>481</v>
      </c>
      <c r="CQ3" s="285" t="s">
        <v>475</v>
      </c>
      <c r="CR3" s="285" t="s">
        <v>462</v>
      </c>
      <c r="CS3" s="285" t="s">
        <v>79</v>
      </c>
      <c r="CT3" s="285" t="s">
        <v>480</v>
      </c>
      <c r="CU3" s="285" t="s">
        <v>481</v>
      </c>
      <c r="CV3">
        <v>1</v>
      </c>
      <c r="CW3">
        <v>2</v>
      </c>
      <c r="CX3">
        <v>3</v>
      </c>
      <c r="CY3" t="s">
        <v>1083</v>
      </c>
      <c r="CZ3" t="s">
        <v>1127</v>
      </c>
    </row>
    <row r="4" spans="1:104" x14ac:dyDescent="0.3">
      <c r="A4" t="s">
        <v>372</v>
      </c>
      <c r="C4" s="28">
        <v>4802</v>
      </c>
      <c r="D4" s="83">
        <v>0.90689329556185083</v>
      </c>
      <c r="E4" s="76">
        <v>2014</v>
      </c>
      <c r="F4" s="83">
        <v>0.38035882908404156</v>
      </c>
      <c r="G4" s="76">
        <v>2788</v>
      </c>
      <c r="H4" s="83">
        <v>0.52653446647780922</v>
      </c>
      <c r="I4" s="76">
        <v>115</v>
      </c>
      <c r="J4" s="83">
        <v>2.1718602455146365E-2</v>
      </c>
      <c r="K4" s="76">
        <v>378</v>
      </c>
      <c r="L4" s="84">
        <v>7.1388101983002827E-2</v>
      </c>
      <c r="M4" s="28">
        <v>5146</v>
      </c>
      <c r="N4" s="83">
        <f>M4/$B$1</f>
        <v>0.97186024551463646</v>
      </c>
      <c r="O4" s="76">
        <v>1120</v>
      </c>
      <c r="P4" s="83">
        <f>O4/$B$1</f>
        <v>0.21152030217186024</v>
      </c>
      <c r="Q4" s="76">
        <v>4026</v>
      </c>
      <c r="R4" s="83">
        <f>Q4/$B$1</f>
        <v>0.76033994334277621</v>
      </c>
      <c r="S4" s="76">
        <v>45</v>
      </c>
      <c r="T4" s="83">
        <f>S4/$B$1</f>
        <v>8.4985835694051E-3</v>
      </c>
      <c r="U4" s="76">
        <v>104</v>
      </c>
      <c r="V4" s="84">
        <f>U4/$B$1</f>
        <v>1.9641170915958451E-2</v>
      </c>
      <c r="W4" s="28">
        <v>5177</v>
      </c>
      <c r="X4" s="83">
        <f>W4/$B$1</f>
        <v>0.97771482530689324</v>
      </c>
      <c r="Y4" s="76">
        <v>910</v>
      </c>
      <c r="Z4" s="83">
        <f>Y4/$B$1</f>
        <v>0.17186024551463644</v>
      </c>
      <c r="AA4" s="76">
        <v>4267</v>
      </c>
      <c r="AB4" s="83">
        <f>AA4/$B$1</f>
        <v>0.80585457979225683</v>
      </c>
      <c r="AC4" s="76">
        <v>41</v>
      </c>
      <c r="AD4" s="83">
        <f>AC4/$B$1</f>
        <v>7.7431539187913121E-3</v>
      </c>
      <c r="AE4" s="76">
        <v>77</v>
      </c>
      <c r="AF4" s="84">
        <f>AE4/$B$1</f>
        <v>1.4542020774315392E-2</v>
      </c>
      <c r="AG4">
        <v>775746</v>
      </c>
      <c r="AH4">
        <f>63.06%*48</f>
        <v>30.268800000000002</v>
      </c>
      <c r="AI4">
        <v>8.58</v>
      </c>
      <c r="AJ4" s="72">
        <v>1.8877314814814816E-2</v>
      </c>
      <c r="AR4" s="28" t="s">
        <v>372</v>
      </c>
      <c r="AS4" s="88">
        <v>0.90689329556185083</v>
      </c>
      <c r="AT4" s="83">
        <v>0.38035882908404156</v>
      </c>
      <c r="AU4" s="83">
        <v>0.52653446647780922</v>
      </c>
      <c r="AV4" s="83">
        <v>2.1718602455146365E-2</v>
      </c>
      <c r="AW4" s="84">
        <v>7.1388101983002827E-2</v>
      </c>
      <c r="AX4" s="88">
        <v>0.97186024551463646</v>
      </c>
      <c r="AY4" s="83">
        <v>0.21152030217186024</v>
      </c>
      <c r="AZ4" s="83">
        <v>0.76033994334277621</v>
      </c>
      <c r="BA4" s="83">
        <v>8.4985835694051E-3</v>
      </c>
      <c r="BB4" s="84">
        <v>1.9641170915958451E-2</v>
      </c>
      <c r="BC4" s="83">
        <v>0.97771482530689324</v>
      </c>
      <c r="BD4" s="83">
        <v>0.17186024551463644</v>
      </c>
      <c r="BE4" s="83">
        <v>0.80585457979225683</v>
      </c>
      <c r="BF4" s="83">
        <v>7.7431539187913121E-3</v>
      </c>
      <c r="BG4" s="84">
        <v>1.4542020774315392E-2</v>
      </c>
      <c r="BH4" s="83">
        <v>0.96699999999999997</v>
      </c>
      <c r="BI4" s="83">
        <v>0.83599999999999997</v>
      </c>
      <c r="BJ4" s="83">
        <v>0.13100000000000001</v>
      </c>
      <c r="BK4" s="83">
        <v>8.0000000000000002E-3</v>
      </c>
      <c r="BL4" s="83">
        <v>2.5000000000000001E-2</v>
      </c>
      <c r="BM4" s="320">
        <v>0.96699999999999997</v>
      </c>
      <c r="BN4" s="320">
        <v>0.85699999999999998</v>
      </c>
      <c r="BO4" s="320">
        <v>0.11</v>
      </c>
      <c r="BP4" s="320">
        <v>8.0000000000000002E-3</v>
      </c>
      <c r="BQ4" s="320">
        <v>2.5000000000000001E-2</v>
      </c>
      <c r="BR4" s="320"/>
      <c r="BS4" s="320"/>
      <c r="BT4" s="320"/>
      <c r="BU4" s="320"/>
      <c r="BV4" s="320"/>
      <c r="BW4" s="155">
        <f>IF(ISNUMBER(AS4),IF(BW$2="x",(AS4-MIN(AS$4:AS$14))/(MAX(AS$4:AS$14)-MIN(AS$4:AS$14)),(MAX(AS$4:AS$14)-AS4)/(MAX(AS$4:AS$14)-MIN(AS$4:AS$14))),"")</f>
        <v>0.82108389012620786</v>
      </c>
      <c r="BX4" s="155">
        <f>IF(ISNUMBER(AT4),IF(BX$2="x",(AT4-MIN(AT$4:AT$14))/(MAX(AT$4:AT$14)-MIN(AT$4:AT$14)),(MAX(AT$4:AT$14)-AT4)/(MAX(AT$4:AT$14)-MIN(AT$4:AT$14))),"")</f>
        <v>0</v>
      </c>
      <c r="BY4" s="155">
        <f>IF(ISNUMBER(AU4),IF(BY$2="x",(AU4-MIN(AU$4:AU$14))/(MAX(AU$4:AU$14)-MIN(AU$4:AU$14)),(MAX(AU$4:AU$14)-AU4)/(MAX(AU$4:AU$14)-MIN(AU$4:AU$14))),"")</f>
        <v>0</v>
      </c>
      <c r="BZ4" s="155">
        <f>IF(ISNUMBER(AV4),IF(BZ$2="x",(AV4-MIN(AV$4:AV$14))/(MAX(AV$4:AV$14)-MIN(AV$4:AV$14)),(MAX(AV$4:AV$14)-AV4)/(MAX(AV$4:AV$14)-MIN(AV$4:AV$14))),"")</f>
        <v>0.74468085106382964</v>
      </c>
      <c r="CA4" s="155">
        <f>IF(ISNUMBER(AW4),IF(CA$2="x",(AW4-MIN(AW$4:AW$14))/(MAX(AW$4:AW$14)-MIN(AW$4:AW$14)),(MAX(AW$4:AW$14)-AW4)/(MAX(AW$4:AW$14)-MIN(AW$4:AW$14))),"")</f>
        <v>0.86055469953775043</v>
      </c>
      <c r="CB4" s="155">
        <f>IF(ISNUMBER(AX4),IF(CB$2="x",(AX4-MIN(AX$4:AX$14))/(MAX(AX$4:AX$14)-MIN(AX$4:AX$14)),(MAX(AX$4:AX$14)-AX4)/(MAX(AX$4:AX$14)-MIN(AX$4:AX$14))),"")</f>
        <v>0.98678095344112671</v>
      </c>
      <c r="CC4" s="155">
        <f>IF(ISNUMBER(AY4),IF(CC$2="x",(AY4-MIN(AY$4:AY$14))/(MAX(AY$4:AY$14)-MIN(AY$4:AY$14)),(MAX(AY$4:AY$14)-AY4)/(MAX(AY$4:AY$14)-MIN(AY$4:AY$14))),"")</f>
        <v>0</v>
      </c>
      <c r="CD4" s="155">
        <f>IF(ISNUMBER(AZ4),IF(CD$2="x",(AZ4-MIN(AZ$4:AZ$14))/(MAX(AZ$4:AZ$14)-MIN(AZ$4:AZ$14)),(MAX(AZ$4:AZ$14)-AZ4)/(MAX(AZ$4:AZ$14)-MIN(AZ$4:AZ$14))),"")</f>
        <v>0</v>
      </c>
      <c r="CE4" s="155">
        <f>IF(ISNUMBER(BA4),IF(CE$2="x",(BA4-MIN(BA$4:BA$14))/(MAX(BA$4:BA$14)-MIN(BA$4:BA$14)),(MAX(BA$4:BA$14)-BA4)/(MAX(BA$4:BA$14)-MIN(BA$4:BA$14))),"")</f>
        <v>0.95862068965517244</v>
      </c>
      <c r="CF4" s="155">
        <f>IF(ISNUMBER(BB4),IF(CF$2="x",(BB4-MIN(BB$4:BB$14))/(MAX(BB$4:BB$14)-MIN(BB$4:BB$14)),(MAX(BB$4:BB$14)-BB4)/(MAX(BB$4:BB$14)-MIN(BB$4:BB$14))),"")</f>
        <v>0.99055036835391042</v>
      </c>
      <c r="CG4" s="155">
        <f>IF(ISNUMBER(BC4),IF(CG$2="x",(BC4-MIN(BC$4:BC$14))/(MAX(BC$4:BC$14)-MIN(BC$4:BC$14)),(MAX(BC$4:BC$14)-BC4)/(MAX(BC$4:BC$14)-MIN(BC$4:BC$14))),"")</f>
        <v>0.9910735363550518</v>
      </c>
      <c r="CH4" s="155">
        <f>IF(ISNUMBER(BD4),IF(CH$2="x",(BD4-MIN(BD$4:BD$14))/(MAX(BD$4:BD$14)-MIN(BD$4:BD$14)),(MAX(BD$4:BD$14)-BD4)/(MAX(BD$4:BD$14)-MIN(BD$4:BD$14))),"")</f>
        <v>0</v>
      </c>
      <c r="CI4" s="155">
        <f>IF(ISNUMBER(BE4),IF(CI$2="x",(BE4-MIN(BE$4:BE$14))/(MAX(BE$4:BE$14)-MIN(BE$4:BE$14)),(MAX(BE$4:BE$14)-BE4)/(MAX(BE$4:BE$14)-MIN(BE$4:BE$14))),"")</f>
        <v>0</v>
      </c>
      <c r="CJ4" s="155">
        <f>IF(ISNUMBER(BF4),IF(CJ$2="x",(BF4-MIN(BF$4:BF$14))/(MAX(BF$4:BF$14)-MIN(BF$4:BF$14)),(MAX(BF$4:BF$14)-BF4)/(MAX(BF$4:BF$14)-MIN(BF$4:BF$14))),"")</f>
        <v>0.93274065437586529</v>
      </c>
      <c r="CK4" s="155">
        <f>IF(ISNUMBER(BG4),IF(CK$2="x",(BG4-MIN(BG$4:BG$14))/(MAX(BG$4:BG$14)-MIN(BG$4:BG$14)),(MAX(BG$4:BG$14)-BG4)/(MAX(BG$4:BG$14)-MIN(BG$4:BG$14))),"")</f>
        <v>0.99776024473423397</v>
      </c>
      <c r="CL4" s="155">
        <f>IF(ISNUMBER(BH4),IF(CL$2="x",(BH4-MIN(BH$4:BH$14))/(MAX(BH$4:BH$14)-MIN(BH$4:BH$14)),(MAX(BH$4:BH$14)-BH4)/(MAX(BH$4:BH$14)-MIN(BH$4:BH$14))),"")</f>
        <v>0.96774193548387089</v>
      </c>
      <c r="CM4" s="155">
        <f>IF(ISNUMBER(BI4),IF(CM$2="x",(BI4-MIN(BI$4:BI$14))/(MAX(BI$4:BI$14)-MIN(BI$4:BI$14)),(MAX(BI$4:BI$14)-BI4)/(MAX(BI$4:BI$14)-MIN(BI$4:BI$14))),"")</f>
        <v>0.58666666666666656</v>
      </c>
      <c r="CN4" s="155">
        <f>IF(ISNUMBER(BJ4),IF(CN$2="x",(BJ4-MIN(BJ$4:BJ$14))/(MAX(BJ$4:BJ$14)-MIN(BJ$4:BJ$14)),(MAX(BJ$4:BJ$14)-BJ4)/(MAX(BJ$4:BJ$14)-MIN(BJ$4:BJ$14))),"")</f>
        <v>6.7669172932330879E-2</v>
      </c>
      <c r="CO4" s="155">
        <f>IF(ISNUMBER(BK4),IF(CO$2="x",(BK4-MIN(BK$4:BK$14))/(MAX(BK$4:BK$14)-MIN(BK$4:BK$14)),(MAX(BK$4:BK$14)-BK4)/(MAX(BK$4:BK$14)-MIN(BK$4:BK$14))),"")</f>
        <v>0.91999999999999993</v>
      </c>
      <c r="CP4" s="155">
        <f>IF(ISNUMBER(BL4),IF(CP$2="x",(BL4-MIN(BL$4:BL$14))/(MAX(BL$4:BL$14)-MIN(BL$4:BL$14)),(MAX(BL$4:BL$14)-BL4)/(MAX(BL$4:BL$14)-MIN(BL$4:BL$14))),"")</f>
        <v>0.96677740863787376</v>
      </c>
      <c r="CQ4" s="155">
        <f>IF(ISNUMBER(BM4),IF(CQ$2="x",(BM4-MIN(BM$4:BM$14))/(MAX(BM$4:BM$14)-MIN(BM$4:BM$14)),(MAX(BM$4:BM$14)-BM4)/(MAX(BM$4:BM$14)-MIN(BM$4:BM$14))),"")</f>
        <v>0.970873786407767</v>
      </c>
      <c r="CR4" s="155">
        <f>IF(ISNUMBER(BN4),IF(CR$2="x",(BN4-MIN(BN$4:BN$14))/(MAX(BN$4:BN$14)-MIN(BN$4:BN$14)),(MAX(BN$4:BN$14)-BN4)/(MAX(BN$4:BN$14)-MIN(BN$4:BN$14))),"")</f>
        <v>0.65666666666666662</v>
      </c>
      <c r="CS4" s="155">
        <f>IF(ISNUMBER(BO4),IF(CS$2="x",(BO4-MIN(BO$4:BO$14))/(MAX(BO$4:BO$14)-MIN(BO$4:BO$14)),(MAX(BO$4:BO$14)-BO4)/(MAX(BO$4:BO$14)-MIN(BO$4:BO$14))),"")</f>
        <v>6.3636363636363699E-2</v>
      </c>
      <c r="CT4" s="155">
        <f>IF(ISNUMBER(BP4),IF(CT$2="x",(BP4-MIN(BP$4:BP$14))/(MAX(BP$4:BP$14)-MIN(BP$4:BP$14)),(MAX(BP$4:BP$14)-BP4)/(MAX(BP$4:BP$14)-MIN(BP$4:BP$14))),"")</f>
        <v>0.91999999999999993</v>
      </c>
      <c r="CU4" s="155">
        <f>IF(ISNUMBER(BQ4),IF(CU$2="x",(BQ4-MIN(BQ$4:BQ$14))/(MAX(BQ$4:BQ$14)-MIN(BQ$4:BQ$14)),(MAX(BQ$4:BQ$14)-BQ4)/(MAX(BQ$4:BQ$14)-MIN(BQ$4:BQ$14))),"")</f>
        <v>0.97</v>
      </c>
      <c r="CV4" s="155">
        <f>IFERROR(AVERAGEIF($BW$1:$CU$1,"="&amp;CV$3,$BW4:$CU4),"")</f>
        <v>0.4852638881455576</v>
      </c>
      <c r="CW4" s="155">
        <f t="shared" ref="CW4:CZ4" si="0">IFERROR(AVERAGEIF($BW$1:$CU$1,"="&amp;CW$3,$BW4:$CU4),"")</f>
        <v>0.58719040229004194</v>
      </c>
      <c r="CX4" s="155">
        <f t="shared" si="0"/>
        <v>0.58431488709303014</v>
      </c>
      <c r="CY4" s="155">
        <f t="shared" si="0"/>
        <v>0.70177103674414831</v>
      </c>
      <c r="CZ4" s="155">
        <f t="shared" si="0"/>
        <v>0.71623536334215943</v>
      </c>
    </row>
    <row r="5" spans="1:104" x14ac:dyDescent="0.3">
      <c r="A5" t="s">
        <v>90</v>
      </c>
      <c r="B5" t="s">
        <v>259</v>
      </c>
      <c r="C5" s="28">
        <v>4373</v>
      </c>
      <c r="D5" s="83">
        <v>0.82587346553352214</v>
      </c>
      <c r="E5" s="76">
        <v>3730</v>
      </c>
      <c r="F5" s="83">
        <v>0.70443814919735603</v>
      </c>
      <c r="G5" s="76">
        <v>643</v>
      </c>
      <c r="H5" s="83">
        <v>0.12143531633616619</v>
      </c>
      <c r="I5" s="76">
        <v>290</v>
      </c>
      <c r="J5" s="83">
        <v>5.4768649669499528E-2</v>
      </c>
      <c r="K5" s="76">
        <v>632</v>
      </c>
      <c r="L5" s="84">
        <v>0.11935788479697829</v>
      </c>
      <c r="M5" s="28">
        <v>4900</v>
      </c>
      <c r="N5" s="83">
        <f>M5/$B$1</f>
        <v>0.92540132200188863</v>
      </c>
      <c r="O5" s="76">
        <v>2092</v>
      </c>
      <c r="P5" s="83">
        <f>O5/$B$1</f>
        <v>0.39508970727101039</v>
      </c>
      <c r="Q5" s="76">
        <v>2808</v>
      </c>
      <c r="R5" s="83">
        <f>Q5/$B$1</f>
        <v>0.53031161473087818</v>
      </c>
      <c r="S5" s="76">
        <v>128</v>
      </c>
      <c r="T5" s="83">
        <f>S5/$B$1</f>
        <v>2.4173748819641169E-2</v>
      </c>
      <c r="U5" s="76">
        <v>267</v>
      </c>
      <c r="V5" s="84">
        <f>U5/$B$1</f>
        <v>5.0424929178470253E-2</v>
      </c>
      <c r="W5" s="28">
        <v>4921</v>
      </c>
      <c r="X5" s="83">
        <f>W5/$B$1</f>
        <v>0.92936732766761099</v>
      </c>
      <c r="Y5" s="76">
        <v>1942</v>
      </c>
      <c r="Z5" s="83">
        <f>Y5/$B$1</f>
        <v>0.3667610953729934</v>
      </c>
      <c r="AA5" s="76">
        <v>2979</v>
      </c>
      <c r="AB5" s="83">
        <f>AA5/$B$1</f>
        <v>0.56260623229461759</v>
      </c>
      <c r="AC5" s="76">
        <v>127</v>
      </c>
      <c r="AD5" s="83">
        <f>AC5/$B$1</f>
        <v>2.3984891406987723E-2</v>
      </c>
      <c r="AE5" s="76">
        <v>247</v>
      </c>
      <c r="AF5" s="84">
        <f>AE5/$B$1</f>
        <v>4.6647780925401325E-2</v>
      </c>
      <c r="AG5">
        <v>775745</v>
      </c>
      <c r="AH5">
        <f>63.26%*48</f>
        <v>30.364799999999995</v>
      </c>
      <c r="AI5">
        <v>13.15</v>
      </c>
      <c r="AJ5" s="68">
        <v>3.3159722222222222E-2</v>
      </c>
      <c r="AR5" s="142" t="s">
        <v>222</v>
      </c>
      <c r="AS5" s="25"/>
      <c r="AT5" s="13"/>
      <c r="AU5" s="163"/>
      <c r="AV5" s="163"/>
      <c r="AW5" s="26"/>
      <c r="AX5" s="25"/>
      <c r="AY5" s="13"/>
      <c r="AZ5" s="13"/>
      <c r="BA5" s="13"/>
      <c r="BB5" s="26"/>
      <c r="BC5" s="321">
        <v>0.97499999999999998</v>
      </c>
      <c r="BD5" s="321">
        <v>0.83599999999999997</v>
      </c>
      <c r="BE5" s="321">
        <v>0.13900000000000001</v>
      </c>
      <c r="BF5" s="321">
        <v>8.0000000000000002E-3</v>
      </c>
      <c r="BG5" s="332">
        <v>1.7000000000000001E-2</v>
      </c>
      <c r="BH5" s="83">
        <v>0.97699999999999998</v>
      </c>
      <c r="BI5" s="83">
        <v>0.83699999999999997</v>
      </c>
      <c r="BJ5" s="83">
        <v>0.14000000000000001</v>
      </c>
      <c r="BK5" s="83">
        <v>8.0000000000000002E-3</v>
      </c>
      <c r="BL5" s="83">
        <v>1.4999999999999999E-2</v>
      </c>
      <c r="BM5" s="320">
        <v>0.97599999999999998</v>
      </c>
      <c r="BN5" s="320">
        <v>0.85899999999999999</v>
      </c>
      <c r="BO5" s="320">
        <v>0.11700000000000001</v>
      </c>
      <c r="BP5" s="320">
        <v>8.0000000000000002E-3</v>
      </c>
      <c r="BQ5" s="320">
        <v>1.6E-2</v>
      </c>
      <c r="BR5" s="320"/>
      <c r="BS5" s="320"/>
      <c r="BT5" s="320"/>
      <c r="BU5" s="320"/>
      <c r="BV5" s="320"/>
      <c r="BW5" s="155" t="str">
        <f>IF(ISNUMBER(AS5),IF(BW$2="x",(AS5-MIN(AS$4:AS$14))/(MAX(AS$4:AS$14)-MIN(AS$4:AS$14)),(MAX(AS$4:AS$14)-AS5)/(MAX(AS$4:AS$14)-MIN(AS$4:AS$14))),"")</f>
        <v/>
      </c>
      <c r="BX5" s="155" t="str">
        <f>IF(ISNUMBER(AT5),IF(BX$2="x",(AT5-MIN(AT$4:AT$14))/(MAX(AT$4:AT$14)-MIN(AT$4:AT$14)),(MAX(AT$4:AT$14)-AT5)/(MAX(AT$4:AT$14)-MIN(AT$4:AT$14))),"")</f>
        <v/>
      </c>
      <c r="BY5" s="155" t="str">
        <f>IF(ISNUMBER(AU5),IF(BY$2="x",(AU5-MIN(AU$4:AU$14))/(MAX(AU$4:AU$14)-MIN(AU$4:AU$14)),(MAX(AU$4:AU$14)-AU5)/(MAX(AU$4:AU$14)-MIN(AU$4:AU$14))),"")</f>
        <v/>
      </c>
      <c r="BZ5" s="155" t="str">
        <f>IF(ISNUMBER(AV5),IF(BZ$2="x",(AV5-MIN(AV$4:AV$14))/(MAX(AV$4:AV$14)-MIN(AV$4:AV$14)),(MAX(AV$4:AV$14)-AV5)/(MAX(AV$4:AV$14)-MIN(AV$4:AV$14))),"")</f>
        <v/>
      </c>
      <c r="CA5" s="155" t="str">
        <f>IF(ISNUMBER(AW5),IF(CA$2="x",(AW5-MIN(AW$4:AW$14))/(MAX(AW$4:AW$14)-MIN(AW$4:AW$14)),(MAX(AW$4:AW$14)-AW5)/(MAX(AW$4:AW$14)-MIN(AW$4:AW$14))),"")</f>
        <v/>
      </c>
      <c r="CB5" s="155" t="str">
        <f>IF(ISNUMBER(AX5),IF(CB$2="x",(AX5-MIN(AX$4:AX$14))/(MAX(AX$4:AX$14)-MIN(AX$4:AX$14)),(MAX(AX$4:AX$14)-AX5)/(MAX(AX$4:AX$14)-MIN(AX$4:AX$14))),"")</f>
        <v/>
      </c>
      <c r="CC5" s="155" t="str">
        <f>IF(ISNUMBER(AY5),IF(CC$2="x",(AY5-MIN(AY$4:AY$14))/(MAX(AY$4:AY$14)-MIN(AY$4:AY$14)),(MAX(AY$4:AY$14)-AY5)/(MAX(AY$4:AY$14)-MIN(AY$4:AY$14))),"")</f>
        <v/>
      </c>
      <c r="CD5" s="155" t="str">
        <f>IF(ISNUMBER(AZ5),IF(CD$2="x",(AZ5-MIN(AZ$4:AZ$14))/(MAX(AZ$4:AZ$14)-MIN(AZ$4:AZ$14)),(MAX(AZ$4:AZ$14)-AZ5)/(MAX(AZ$4:AZ$14)-MIN(AZ$4:AZ$14))),"")</f>
        <v/>
      </c>
      <c r="CE5" s="155" t="str">
        <f>IF(ISNUMBER(BA5),IF(CE$2="x",(BA5-MIN(BA$4:BA$14))/(MAX(BA$4:BA$14)-MIN(BA$4:BA$14)),(MAX(BA$4:BA$14)-BA5)/(MAX(BA$4:BA$14)-MIN(BA$4:BA$14))),"")</f>
        <v/>
      </c>
      <c r="CF5" s="155" t="str">
        <f>IF(ISNUMBER(BB5),IF(CF$2="x",(BB5-MIN(BB$4:BB$14))/(MAX(BB$4:BB$14)-MIN(BB$4:BB$14)),(MAX(BB$4:BB$14)-BB5)/(MAX(BB$4:BB$14)-MIN(BB$4:BB$14))),"")</f>
        <v/>
      </c>
      <c r="CG5" s="155">
        <f>IF(ISNUMBER(BC5),IF(CG$2="x",(BC5-MIN(BC$4:BC$14))/(MAX(BC$4:BC$14)-MIN(BC$4:BC$14)),(MAX(BC$4:BC$14)-BC5)/(MAX(BC$4:BC$14)-MIN(BC$4:BC$14))),"")</f>
        <v>0.98046875</v>
      </c>
      <c r="CH5" s="155">
        <f>IF(ISNUMBER(BD5),IF(CH$2="x",(BD5-MIN(BD$4:BD$14))/(MAX(BD$4:BD$14)-MIN(BD$4:BD$14)),(MAX(BD$4:BD$14)-BD5)/(MAX(BD$4:BD$14)-MIN(BD$4:BD$14))),"")</f>
        <v>0.86124434724363463</v>
      </c>
      <c r="CI5" s="155">
        <f>IF(ISNUMBER(BE5),IF(CI$2="x",(BE5-MIN(BE$4:BE$14))/(MAX(BE$4:BE$14)-MIN(BE$4:BE$14)),(MAX(BE$4:BE$14)-BE5)/(MAX(BE$4:BE$14)-MIN(BE$4:BE$14))),"")</f>
        <v>0.83792002847650682</v>
      </c>
      <c r="CJ5" s="155">
        <f>IF(ISNUMBER(BF5),IF(CJ$2="x",(BF5-MIN(BF$4:BF$14))/(MAX(BF$4:BF$14)-MIN(BF$4:BF$14)),(MAX(BF$4:BF$14)-BF5)/(MAX(BF$4:BF$14)-MIN(BF$4:BF$14))),"")</f>
        <v>0.92283028492312169</v>
      </c>
      <c r="CK5" s="155">
        <f>IF(ISNUMBER(BG5),IF(CK$2="x",(BG5-MIN(BG$4:BG$14))/(MAX(BG$4:BG$14)-MIN(BG$4:BG$14)),(MAX(BG$4:BG$14)-BG5)/(MAX(BG$4:BG$14)-MIN(BG$4:BG$14))),"")</f>
        <v>0.98760330578512401</v>
      </c>
      <c r="CL5" s="155">
        <f>IF(ISNUMBER(BH5),IF(CL$2="x",(BH5-MIN(BH$4:BH$14))/(MAX(BH$4:BH$14)-MIN(BH$4:BH$14)),(MAX(BH$4:BH$14)-BH5)/(MAX(BH$4:BH$14)-MIN(BH$4:BH$14))),"")</f>
        <v>1</v>
      </c>
      <c r="CM5" s="155">
        <f>IF(ISNUMBER(BI5),IF(CM$2="x",(BI5-MIN(BI$4:BI$14))/(MAX(BI$4:BI$14)-MIN(BI$4:BI$14)),(MAX(BI$4:BI$14)-BI5)/(MAX(BI$4:BI$14)-MIN(BI$4:BI$14))),"")</f>
        <v>0.59</v>
      </c>
      <c r="CN5" s="155">
        <f>IF(ISNUMBER(BJ5),IF(CN$2="x",(BJ5-MIN(BJ$4:BJ$14))/(MAX(BJ$4:BJ$14)-MIN(BJ$4:BJ$14)),(MAX(BJ$4:BJ$14)-BJ5)/(MAX(BJ$4:BJ$14)-MIN(BJ$4:BJ$14))),"")</f>
        <v>0</v>
      </c>
      <c r="CO5" s="155">
        <f>IF(ISNUMBER(BK5),IF(CO$2="x",(BK5-MIN(BK$4:BK$14))/(MAX(BK$4:BK$14)-MIN(BK$4:BK$14)),(MAX(BK$4:BK$14)-BK5)/(MAX(BK$4:BK$14)-MIN(BK$4:BK$14))),"")</f>
        <v>0.91999999999999993</v>
      </c>
      <c r="CP5" s="155">
        <f>IF(ISNUMBER(BL5),IF(CP$2="x",(BL5-MIN(BL$4:BL$14))/(MAX(BL$4:BL$14)-MIN(BL$4:BL$14)),(MAX(BL$4:BL$14)-BL5)/(MAX(BL$4:BL$14)-MIN(BL$4:BL$14))),"")</f>
        <v>1</v>
      </c>
      <c r="CQ5" s="155">
        <f>IF(ISNUMBER(BM5),IF(CQ$2="x",(BM5-MIN(BM$4:BM$14))/(MAX(BM$4:BM$14)-MIN(BM$4:BM$14)),(MAX(BM$4:BM$14)-BM5)/(MAX(BM$4:BM$14)-MIN(BM$4:BM$14))),"")</f>
        <v>1</v>
      </c>
      <c r="CR5" s="155">
        <f>IF(ISNUMBER(BN5),IF(CR$2="x",(BN5-MIN(BN$4:BN$14))/(MAX(BN$4:BN$14)-MIN(BN$4:BN$14)),(MAX(BN$4:BN$14)-BN5)/(MAX(BN$4:BN$14)-MIN(BN$4:BN$14))),"")</f>
        <v>0.66333333333333333</v>
      </c>
      <c r="CS5" s="155">
        <f>IF(ISNUMBER(BO5),IF(CS$2="x",(BO5-MIN(BO$4:BO$14))/(MAX(BO$4:BO$14)-MIN(BO$4:BO$14)),(MAX(BO$4:BO$14)-BO5)/(MAX(BO$4:BO$14)-MIN(BO$4:BO$14))),"")</f>
        <v>0</v>
      </c>
      <c r="CT5" s="155">
        <f>IF(ISNUMBER(BP5),IF(CT$2="x",(BP5-MIN(BP$4:BP$14))/(MAX(BP$4:BP$14)-MIN(BP$4:BP$14)),(MAX(BP$4:BP$14)-BP5)/(MAX(BP$4:BP$14)-MIN(BP$4:BP$14))),"")</f>
        <v>0.91999999999999993</v>
      </c>
      <c r="CU5" s="155">
        <f>IF(ISNUMBER(BQ5),IF(CU$2="x",(BQ5-MIN(BQ$4:BQ$14))/(MAX(BQ$4:BQ$14)-MIN(BQ$4:BQ$14)),(MAX(BQ$4:BQ$14)-BQ5)/(MAX(BQ$4:BQ$14)-MIN(BQ$4:BQ$14))),"")</f>
        <v>1</v>
      </c>
      <c r="CV5" s="155" t="str">
        <f t="shared" ref="CV5:CZ14" si="1">IFERROR(AVERAGEIF($BW$1:$CU$1,"="&amp;CV$3,$BW5:$CU5),"")</f>
        <v/>
      </c>
      <c r="CW5" s="155" t="str">
        <f t="shared" si="1"/>
        <v/>
      </c>
      <c r="CX5" s="155">
        <f t="shared" si="1"/>
        <v>0.91801334328567741</v>
      </c>
      <c r="CY5" s="155">
        <f t="shared" si="1"/>
        <v>0.70199999999999996</v>
      </c>
      <c r="CZ5" s="155">
        <f t="shared" si="1"/>
        <v>0.71666666666666656</v>
      </c>
    </row>
    <row r="6" spans="1:104" x14ac:dyDescent="0.3">
      <c r="A6" t="s">
        <v>90</v>
      </c>
      <c r="B6" t="s">
        <v>379</v>
      </c>
      <c r="C6" s="28">
        <v>4989</v>
      </c>
      <c r="D6" s="83">
        <v>0.94220963172804528</v>
      </c>
      <c r="E6" s="76">
        <v>4438</v>
      </c>
      <c r="F6" s="83">
        <v>0.83814919735599624</v>
      </c>
      <c r="G6" s="76">
        <v>551</v>
      </c>
      <c r="H6" s="83">
        <v>0.10406043437204911</v>
      </c>
      <c r="I6" s="76">
        <v>90</v>
      </c>
      <c r="J6" s="83">
        <v>1.69971671388102E-2</v>
      </c>
      <c r="K6" s="76">
        <v>216</v>
      </c>
      <c r="L6" s="84">
        <v>4.0793201133144476E-2</v>
      </c>
      <c r="M6" s="28"/>
      <c r="N6" s="76"/>
      <c r="O6" s="76"/>
      <c r="P6" s="76"/>
      <c r="Q6" s="76"/>
      <c r="R6" s="76"/>
      <c r="S6" s="76"/>
      <c r="T6" s="76"/>
      <c r="U6" s="76"/>
      <c r="V6" s="30"/>
      <c r="W6" s="28"/>
      <c r="X6" s="83"/>
      <c r="Y6" s="76"/>
      <c r="Z6" s="83"/>
      <c r="AA6" s="76"/>
      <c r="AB6" s="83"/>
      <c r="AC6" s="76"/>
      <c r="AD6" s="83"/>
      <c r="AE6" s="76"/>
      <c r="AF6" s="84"/>
      <c r="AG6">
        <v>775744</v>
      </c>
      <c r="AH6">
        <f>63.43%*48</f>
        <v>30.446399999999997</v>
      </c>
      <c r="AI6">
        <v>9.84</v>
      </c>
      <c r="AJ6" s="68">
        <v>2.3541666666666666E-2</v>
      </c>
      <c r="AR6" s="28" t="s">
        <v>90</v>
      </c>
      <c r="AS6" s="88">
        <v>0.82587346553352214</v>
      </c>
      <c r="AT6" s="83">
        <v>0.70443814919735603</v>
      </c>
      <c r="AU6" s="83">
        <v>0.12143531633616619</v>
      </c>
      <c r="AV6" s="83">
        <v>5.4768649669499528E-2</v>
      </c>
      <c r="AW6" s="84">
        <v>0.11935788479697829</v>
      </c>
      <c r="AX6" s="88">
        <v>0.92540132200188863</v>
      </c>
      <c r="AY6" s="83">
        <v>0.39508970727101039</v>
      </c>
      <c r="AZ6" s="83">
        <v>0.53031161473087818</v>
      </c>
      <c r="BA6" s="83">
        <v>2.4173748819641169E-2</v>
      </c>
      <c r="BB6" s="84">
        <v>5.0424929178470253E-2</v>
      </c>
      <c r="BC6" s="83">
        <v>0.92936732766761099</v>
      </c>
      <c r="BD6" s="83">
        <v>0.3667610953729934</v>
      </c>
      <c r="BE6" s="83">
        <v>0.56260623229461759</v>
      </c>
      <c r="BF6" s="83">
        <v>2.3984891406987723E-2</v>
      </c>
      <c r="BG6" s="84">
        <v>4.6647780925401325E-2</v>
      </c>
      <c r="BH6" s="83">
        <v>0.9</v>
      </c>
      <c r="BI6" s="83">
        <v>0.878</v>
      </c>
      <c r="BJ6" s="83">
        <v>2.1999999999999999E-2</v>
      </c>
      <c r="BK6" s="83">
        <v>2.5000000000000001E-2</v>
      </c>
      <c r="BL6" s="83">
        <v>7.4999999999999997E-2</v>
      </c>
      <c r="BM6" s="320">
        <v>0.90100000000000002</v>
      </c>
      <c r="BN6" s="320">
        <v>0.88</v>
      </c>
      <c r="BO6" s="320">
        <v>2.1000000000000001E-2</v>
      </c>
      <c r="BP6" s="320">
        <v>2.5000000000000001E-2</v>
      </c>
      <c r="BQ6" s="320">
        <v>7.3999999999999996E-2</v>
      </c>
      <c r="BR6" s="320"/>
      <c r="BS6" s="320"/>
      <c r="BT6" s="320"/>
      <c r="BU6" s="320"/>
      <c r="BV6" s="320"/>
      <c r="BW6" s="155">
        <f>IF(ISNUMBER(AS6),IF(BW$2="x",(AS6-MIN(AS$4:AS$14))/(MAX(AS$4:AS$14)-MIN(AS$4:AS$14)),(MAX(AS$4:AS$14)-AS6)/(MAX(AS$4:AS$14)-MIN(AS$4:AS$14))),"")</f>
        <v>0.50259836674090641</v>
      </c>
      <c r="BX6" s="155">
        <f>IF(ISNUMBER(AT6),IF(BX$2="x",(AT6-MIN(AT$4:AT$14))/(MAX(AT$4:AT$14)-MIN(AT$4:AT$14)),(MAX(AT$4:AT$14)-AT6)/(MAX(AT$4:AT$14)-MIN(AT$4:AT$14))),"")</f>
        <v>0.69671132764920829</v>
      </c>
      <c r="BY6" s="155">
        <f>IF(ISNUMBER(AU6),IF(BY$2="x",(AU6-MIN(AU$4:AU$14))/(MAX(AU$4:AU$14)-MIN(AU$4:AU$14)),(MAX(AU$4:AU$14)-AU6)/(MAX(AU$4:AU$14)-MIN(AU$4:AU$14))),"")</f>
        <v>0.77380952380952372</v>
      </c>
      <c r="BZ6" s="155">
        <f>IF(ISNUMBER(AV6),IF(BZ$2="x",(AV6-MIN(AV$4:AV$14))/(MAX(AV$4:AV$14)-MIN(AV$4:AV$14)),(MAX(AV$4:AV$14)-AV6)/(MAX(AV$4:AV$14)-MIN(AV$4:AV$14))),"")</f>
        <v>0</v>
      </c>
      <c r="CA6" s="155">
        <f>IF(ISNUMBER(AW6),IF(CA$2="x",(AW6-MIN(AW$4:AW$14))/(MAX(AW$4:AW$14)-MIN(AW$4:AW$14)),(MAX(AW$4:AW$14)-AW6)/(MAX(AW$4:AW$14)-MIN(AW$4:AW$14))),"")</f>
        <v>0.66486902927580893</v>
      </c>
      <c r="CB6" s="155">
        <f>IF(ISNUMBER(AX6),IF(CB$2="x",(AX6-MIN(AX$4:AX$14))/(MAX(AX$4:AX$14)-MIN(AX$4:AX$14)),(MAX(AX$4:AX$14)-AX6)/(MAX(AX$4:AX$14)-MIN(AX$4:AX$14))),"")</f>
        <v>0.81562908746834417</v>
      </c>
      <c r="CC6" s="155">
        <f>IF(ISNUMBER(AY6),IF(CC$2="x",(AY6-MIN(AY$4:AY$14))/(MAX(AY$4:AY$14)-MIN(AY$4:AY$14)),(MAX(AY$4:AY$14)-AY6)/(MAX(AY$4:AY$14)-MIN(AY$4:AY$14))),"")</f>
        <v>0.256059009483667</v>
      </c>
      <c r="CD6" s="155">
        <f>IF(ISNUMBER(AZ6),IF(CD$2="x",(AZ6-MIN(AZ$4:AZ$14))/(MAX(AZ$4:AZ$14)-MIN(AZ$4:AZ$14)),(MAX(AZ$4:AZ$14)-AZ6)/(MAX(AZ$4:AZ$14)-MIN(AZ$4:AZ$14))),"")</f>
        <v>0.30603015075376888</v>
      </c>
      <c r="CE6" s="155">
        <f>IF(ISNUMBER(BA6),IF(CE$2="x",(BA6-MIN(BA$4:BA$14))/(MAX(BA$4:BA$14)-MIN(BA$4:BA$14)),(MAX(BA$4:BA$14)-BA6)/(MAX(BA$4:BA$14)-MIN(BA$4:BA$14))),"")</f>
        <v>0.38620689655172413</v>
      </c>
      <c r="CF6" s="155">
        <f>IF(ISNUMBER(BB6),IF(CF$2="x",(BB6-MIN(BB$4:BB$14))/(MAX(BB$4:BB$14)-MIN(BB$4:BB$14)),(MAX(BB$4:BB$14)-BB6)/(MAX(BB$4:BB$14)-MIN(BB$4:BB$14))),"")</f>
        <v>0.87206652540678842</v>
      </c>
      <c r="CG6" s="155">
        <f>IF(ISNUMBER(BC6),IF(CG$2="x",(BC6-MIN(BC$4:BC$14))/(MAX(BC$4:BC$14)-MIN(BC$4:BC$14)),(MAX(BC$4:BC$14)-BC6)/(MAX(BC$4:BC$14)-MIN(BC$4:BC$14))),"")</f>
        <v>0.80221612370160544</v>
      </c>
      <c r="CH6" s="155">
        <f>IF(ISNUMBER(BD6),IF(CH$2="x",(BD6-MIN(BD$4:BD$14))/(MAX(BD$4:BD$14)-MIN(BD$4:BD$14)),(MAX(BD$4:BD$14)-BD6)/(MAX(BD$4:BD$14)-MIN(BD$4:BD$14))),"")</f>
        <v>0.25274387518567004</v>
      </c>
      <c r="CI6" s="155">
        <f>IF(ISNUMBER(BE6),IF(CI$2="x",(BE6-MIN(BE$4:BE$14))/(MAX(BE$4:BE$14)-MIN(BE$4:BE$14)),(MAX(BE$4:BE$14)-BE6)/(MAX(BE$4:BE$14)-MIN(BE$4:BE$14))),"")</f>
        <v>0.30564784053156141</v>
      </c>
      <c r="CJ6" s="155">
        <f>IF(ISNUMBER(BF6),IF(CJ$2="x",(BF6-MIN(BF$4:BF$14))/(MAX(BF$4:BF$14)-MIN(BF$4:BF$14)),(MAX(BF$4:BF$14)-BF6)/(MAX(BF$4:BF$14)-MIN(BF$4:BF$14))),"")</f>
        <v>0.3060555272170809</v>
      </c>
      <c r="CK6" s="155">
        <f>IF(ISNUMBER(BG6),IF(CK$2="x",(BG6-MIN(BG$4:BG$14))/(MAX(BG$4:BG$14)-MIN(BG$4:BG$14)),(MAX(BG$4:BG$14)-BG6)/(MAX(BG$4:BG$14)-MIN(BG$4:BG$14))),"")</f>
        <v>0.86509181435784577</v>
      </c>
      <c r="CL6" s="155">
        <f>IF(ISNUMBER(BH6),IF(CL$2="x",(BH6-MIN(BH$4:BH$14))/(MAX(BH$4:BH$14)-MIN(BH$4:BH$14)),(MAX(BH$4:BH$14)-BH6)/(MAX(BH$4:BH$14)-MIN(BH$4:BH$14))),"")</f>
        <v>0.75161290322580654</v>
      </c>
      <c r="CM6" s="155">
        <f>IF(ISNUMBER(BI6),IF(CM$2="x",(BI6-MIN(BI$4:BI$14))/(MAX(BI$4:BI$14)-MIN(BI$4:BI$14)),(MAX(BI$4:BI$14)-BI6)/(MAX(BI$4:BI$14)-MIN(BI$4:BI$14))),"")</f>
        <v>0.72666666666666668</v>
      </c>
      <c r="CN6" s="155">
        <f>IF(ISNUMBER(BJ6),IF(CN$2="x",(BJ6-MIN(BJ$4:BJ$14))/(MAX(BJ$4:BJ$14)-MIN(BJ$4:BJ$14)),(MAX(BJ$4:BJ$14)-BJ6)/(MAX(BJ$4:BJ$14)-MIN(BJ$4:BJ$14))),"")</f>
        <v>0.88721804511278202</v>
      </c>
      <c r="CO6" s="155">
        <f>IF(ISNUMBER(BK6),IF(CO$2="x",(BK6-MIN(BK$4:BK$14))/(MAX(BK$4:BK$14)-MIN(BK$4:BK$14)),(MAX(BK$4:BK$14)-BK6)/(MAX(BK$4:BK$14)-MIN(BK$4:BK$14))),"")</f>
        <v>0.23999999999999994</v>
      </c>
      <c r="CP6" s="155">
        <f>IF(ISNUMBER(BL6),IF(CP$2="x",(BL6-MIN(BL$4:BL$14))/(MAX(BL$4:BL$14)-MIN(BL$4:BL$14)),(MAX(BL$4:BL$14)-BL6)/(MAX(BL$4:BL$14)-MIN(BL$4:BL$14))),"")</f>
        <v>0.80066445182724255</v>
      </c>
      <c r="CQ6" s="155">
        <f>IF(ISNUMBER(BM6),IF(CQ$2="x",(BM6-MIN(BM$4:BM$14))/(MAX(BM$4:BM$14)-MIN(BM$4:BM$14)),(MAX(BM$4:BM$14)-BM6)/(MAX(BM$4:BM$14)-MIN(BM$4:BM$14))),"")</f>
        <v>0.75728155339805836</v>
      </c>
      <c r="CR6" s="155">
        <f>IF(ISNUMBER(BN6),IF(CR$2="x",(BN6-MIN(BN$4:BN$14))/(MAX(BN$4:BN$14)-MIN(BN$4:BN$14)),(MAX(BN$4:BN$14)-BN6)/(MAX(BN$4:BN$14)-MIN(BN$4:BN$14))),"")</f>
        <v>0.73333333333333339</v>
      </c>
      <c r="CS6" s="155">
        <f>IF(ISNUMBER(BO6),IF(CS$2="x",(BO6-MIN(BO$4:BO$14))/(MAX(BO$4:BO$14)-MIN(BO$4:BO$14)),(MAX(BO$4:BO$14)-BO6)/(MAX(BO$4:BO$14)-MIN(BO$4:BO$14))),"")</f>
        <v>0.8727272727272728</v>
      </c>
      <c r="CT6" s="155">
        <f>IF(ISNUMBER(BP6),IF(CT$2="x",(BP6-MIN(BP$4:BP$14))/(MAX(BP$4:BP$14)-MIN(BP$4:BP$14)),(MAX(BP$4:BP$14)-BP6)/(MAX(BP$4:BP$14)-MIN(BP$4:BP$14))),"")</f>
        <v>0.23999999999999994</v>
      </c>
      <c r="CU6" s="155">
        <f>IF(ISNUMBER(BQ6),IF(CU$2="x",(BQ6-MIN(BQ$4:BQ$14))/(MAX(BQ$4:BQ$14)-MIN(BQ$4:BQ$14)),(MAX(BQ$4:BQ$14)-BQ6)/(MAX(BQ$4:BQ$14)-MIN(BQ$4:BQ$14))),"")</f>
        <v>0.80666666666666664</v>
      </c>
      <c r="CV6" s="155">
        <f t="shared" si="1"/>
        <v>0.52759764949508947</v>
      </c>
      <c r="CW6" s="155">
        <f t="shared" si="1"/>
        <v>0.52719833393285853</v>
      </c>
      <c r="CX6" s="155">
        <f t="shared" si="1"/>
        <v>0.50635103619875266</v>
      </c>
      <c r="CY6" s="155">
        <f t="shared" si="1"/>
        <v>0.68123241336649953</v>
      </c>
      <c r="CZ6" s="155">
        <f t="shared" si="1"/>
        <v>0.68200176522506617</v>
      </c>
    </row>
    <row r="7" spans="1:104" x14ac:dyDescent="0.3">
      <c r="A7" t="s">
        <v>89</v>
      </c>
      <c r="B7" t="s">
        <v>380</v>
      </c>
      <c r="C7" s="28">
        <v>4792</v>
      </c>
      <c r="D7" s="83">
        <v>0.90500472143531629</v>
      </c>
      <c r="E7" s="76">
        <v>4178</v>
      </c>
      <c r="F7" s="83">
        <v>0.78904627006610006</v>
      </c>
      <c r="G7" s="76">
        <v>614</v>
      </c>
      <c r="H7" s="83">
        <v>0.11595845136921624</v>
      </c>
      <c r="I7" s="76">
        <v>95</v>
      </c>
      <c r="J7" s="83">
        <v>1.794145420207743E-2</v>
      </c>
      <c r="K7" s="76">
        <v>408</v>
      </c>
      <c r="L7" s="84">
        <v>7.705382436260623E-2</v>
      </c>
      <c r="M7" s="28"/>
      <c r="N7" s="76"/>
      <c r="O7" s="76"/>
      <c r="P7" s="76"/>
      <c r="Q7" s="76"/>
      <c r="R7" s="76"/>
      <c r="S7" s="76"/>
      <c r="T7" s="76"/>
      <c r="U7" s="76"/>
      <c r="V7" s="30"/>
      <c r="W7" s="28"/>
      <c r="X7" s="83"/>
      <c r="Y7" s="76"/>
      <c r="Z7" s="83"/>
      <c r="AA7" s="76"/>
      <c r="AB7" s="83"/>
      <c r="AC7" s="76"/>
      <c r="AD7" s="83"/>
      <c r="AE7" s="76"/>
      <c r="AF7" s="84"/>
      <c r="AG7">
        <v>775743</v>
      </c>
      <c r="AH7">
        <f>64.06%*48</f>
        <v>30.748800000000003</v>
      </c>
      <c r="AI7">
        <v>10.3</v>
      </c>
      <c r="AJ7" s="68">
        <v>2.5613425925925925E-2</v>
      </c>
      <c r="AR7" s="28" t="s">
        <v>89</v>
      </c>
      <c r="AS7" s="83">
        <v>0.92181303116147306</v>
      </c>
      <c r="AT7" s="83">
        <v>0.80245514636449478</v>
      </c>
      <c r="AU7" s="83">
        <v>0.11935788479697829</v>
      </c>
      <c r="AV7" s="83">
        <v>1.4919735599622286E-2</v>
      </c>
      <c r="AW7" s="83">
        <v>6.3267233238904624E-2</v>
      </c>
      <c r="AX7" s="83">
        <v>0.97167138810198306</v>
      </c>
      <c r="AY7" s="83">
        <v>0.92842304060434377</v>
      </c>
      <c r="AZ7" s="83">
        <v>4.3248347497639283E-2</v>
      </c>
      <c r="BA7" s="83">
        <v>7.7431539187913121E-3</v>
      </c>
      <c r="BB7" s="83">
        <v>2.0585457979225685E-2</v>
      </c>
      <c r="BC7" s="321">
        <v>0.98</v>
      </c>
      <c r="BD7" s="321">
        <v>0.94299999999999995</v>
      </c>
      <c r="BE7" s="321">
        <v>3.6999999999999998E-2</v>
      </c>
      <c r="BF7" s="321">
        <v>6.0000000000000001E-3</v>
      </c>
      <c r="BG7" s="321">
        <v>1.4E-2</v>
      </c>
      <c r="BH7" s="320">
        <v>0.97199999999999998</v>
      </c>
      <c r="BI7" s="320">
        <v>0.96</v>
      </c>
      <c r="BJ7" s="320">
        <v>1.2E-2</v>
      </c>
      <c r="BK7" s="320">
        <v>6.0000000000000001E-3</v>
      </c>
      <c r="BL7" s="320">
        <v>2.1999999999999999E-2</v>
      </c>
      <c r="BM7" s="322">
        <v>0.97199999999999998</v>
      </c>
      <c r="BN7" s="322">
        <v>0.96</v>
      </c>
      <c r="BO7" s="322">
        <v>1.2E-2</v>
      </c>
      <c r="BP7" s="322">
        <v>6.0000000000000001E-3</v>
      </c>
      <c r="BQ7" s="322">
        <v>2.1999999999999999E-2</v>
      </c>
      <c r="BR7" s="322">
        <v>0.97299999999999998</v>
      </c>
      <c r="BS7" s="322">
        <v>0.96099999999999997</v>
      </c>
      <c r="BT7" s="322">
        <v>1.2E-2</v>
      </c>
      <c r="BU7" s="322">
        <v>6.0000000000000001E-3</v>
      </c>
      <c r="BV7" s="322">
        <v>2.1000000000000001E-2</v>
      </c>
      <c r="BW7" s="155">
        <f>IF(ISNUMBER(AS7),IF(BW$2="x",(AS7-MIN(AS$4:AS$14))/(MAX(AS$4:AS$14)-MIN(AS$4:AS$14)),(MAX(AS$4:AS$14)-AS7)/(MAX(AS$4:AS$14)-MIN(AS$4:AS$14))),"")</f>
        <v>0.87973273942093677</v>
      </c>
      <c r="BX7" s="155">
        <f>IF(ISNUMBER(AT7),IF(BX$2="x",(AT7-MIN(AT$4:AT$14))/(MAX(AT$4:AT$14)-MIN(AT$4:AT$14)),(MAX(AT$4:AT$14)-AT7)/(MAX(AT$4:AT$14)-MIN(AT$4:AT$14))),"")</f>
        <v>0.90742996345919602</v>
      </c>
      <c r="BY7" s="155">
        <f>IF(ISNUMBER(AU7),IF(BY$2="x",(AU7-MIN(AU$4:AU$14))/(MAX(AU$4:AU$14)-MIN(AU$4:AU$14)),(MAX(AU$4:AU$14)-AU7)/(MAX(AU$4:AU$14)-MIN(AU$4:AU$14))),"")</f>
        <v>0.77777777777777779</v>
      </c>
      <c r="BZ7" s="155">
        <f>IF(ISNUMBER(AV7),IF(BZ$2="x",(AV7-MIN(AV$4:AV$14))/(MAX(AV$4:AV$14)-MIN(AV$4:AV$14)),(MAX(AV$4:AV$14)-AV7)/(MAX(AV$4:AV$14)-MIN(AV$4:AV$14))),"")</f>
        <v>0.89787234042553188</v>
      </c>
      <c r="CA7" s="155">
        <f>IF(ISNUMBER(AW7),IF(CA$2="x",(AW7-MIN(AW$4:AW$14))/(MAX(AW$4:AW$14)-MIN(AW$4:AW$14)),(MAX(AW$4:AW$14)-AW7)/(MAX(AW$4:AW$14)-MIN(AW$4:AW$14))),"")</f>
        <v>0.89368258859784289</v>
      </c>
      <c r="CB7" s="155">
        <f>IF(ISNUMBER(AX7),IF(CB$2="x",(AX7-MIN(AX$4:AX$14))/(MAX(AX$4:AX$14)-MIN(AX$4:AX$14)),(MAX(AX$4:AX$14)-AX7)/(MAX(AX$4:AX$14)-MIN(AX$4:AX$14))),"")</f>
        <v>0.98608521414855455</v>
      </c>
      <c r="CC7" s="155">
        <f>IF(ISNUMBER(AY7),IF(CC$2="x",(AY7-MIN(AY$4:AY$14))/(MAX(AY$4:AY$14)-MIN(AY$4:AY$14)),(MAX(AY$4:AY$14)-AY7)/(MAX(AY$4:AY$14)-MIN(AY$4:AY$14))),"")</f>
        <v>1</v>
      </c>
      <c r="CD7" s="155">
        <f>IF(ISNUMBER(AZ7),IF(CD$2="x",(AZ7-MIN(AZ$4:AZ$14))/(MAX(AZ$4:AZ$14)-MIN(AZ$4:AZ$14)),(MAX(AZ$4:AZ$14)-AZ7)/(MAX(AZ$4:AZ$14)-MIN(AZ$4:AZ$14))),"")</f>
        <v>0.95402010050251251</v>
      </c>
      <c r="CE7" s="155">
        <f>IF(ISNUMBER(BA7),IF(CE$2="x",(BA7-MIN(BA$4:BA$14))/(MAX(BA$4:BA$14)-MIN(BA$4:BA$14)),(MAX(BA$4:BA$14)-BA7)/(MAX(BA$4:BA$14)-MIN(BA$4:BA$14))),"")</f>
        <v>0.98620689655172411</v>
      </c>
      <c r="CF7" s="155">
        <f>IF(ISNUMBER(BB7),IF(CF$2="x",(BB7-MIN(BB$4:BB$14))/(MAX(BB$4:BB$14)-MIN(BB$4:BB$14)),(MAX(BB$4:BB$14)-BB7)/(MAX(BB$4:BB$14)-MIN(BB$4:BB$14))),"")</f>
        <v>0.98691589464387608</v>
      </c>
      <c r="CG7" s="155">
        <f>IF(ISNUMBER(BC7),IF(CG$2="x",(BC7-MIN(BC$4:BC$14))/(MAX(BC$4:BC$14)-MIN(BC$4:BC$14)),(MAX(BC$4:BC$14)-BC7)/(MAX(BC$4:BC$14)-MIN(BC$4:BC$14))),"")</f>
        <v>1</v>
      </c>
      <c r="CH7" s="155">
        <f>IF(ISNUMBER(BD7),IF(CH$2="x",(BD7-MIN(BD$4:BD$14))/(MAX(BD$4:BD$14)-MIN(BD$4:BD$14)),(MAX(BD$4:BD$14)-BD7)/(MAX(BD$4:BD$14)-MIN(BD$4:BD$14))),"")</f>
        <v>1</v>
      </c>
      <c r="CI7" s="155">
        <f>IF(ISNUMBER(BE7),IF(CI$2="x",(BE7-MIN(BE$4:BE$14))/(MAX(BE$4:BE$14)-MIN(BE$4:BE$14)),(MAX(BE$4:BE$14)-BE7)/(MAX(BE$4:BE$14)-MIN(BE$4:BE$14))),"")</f>
        <v>0.9660856668248694</v>
      </c>
      <c r="CJ7" s="155">
        <f>IF(ISNUMBER(BF7),IF(CJ$2="x",(BF7-MIN(BF$4:BF$14))/(MAX(BF$4:BF$14)-MIN(BF$4:BF$14)),(MAX(BF$4:BF$14)-BF7)/(MAX(BF$4:BF$14)-MIN(BF$4:BF$14))),"")</f>
        <v>1</v>
      </c>
      <c r="CK7" s="155">
        <f>IF(ISNUMBER(BG7),IF(CK$2="x",(BG7-MIN(BG$4:BG$14))/(MAX(BG$4:BG$14)-MIN(BG$4:BG$14)),(MAX(BG$4:BG$14)-BG7)/(MAX(BG$4:BG$14)-MIN(BG$4:BG$14))),"")</f>
        <v>1</v>
      </c>
      <c r="CL7" s="155">
        <f>IF(ISNUMBER(BH7),IF(CL$2="x",(BH7-MIN(BH$4:BH$14))/(MAX(BH$4:BH$14)-MIN(BH$4:BH$14)),(MAX(BH$4:BH$14)-BH7)/(MAX(BH$4:BH$14)-MIN(BH$4:BH$14))),"")</f>
        <v>0.9838709677419355</v>
      </c>
      <c r="CM7" s="155">
        <f>IF(ISNUMBER(BI7),IF(CM$2="x",(BI7-MIN(BI$4:BI$14))/(MAX(BI$4:BI$14)-MIN(BI$4:BI$14)),(MAX(BI$4:BI$14)-BI7)/(MAX(BI$4:BI$14)-MIN(BI$4:BI$14))),"")</f>
        <v>1</v>
      </c>
      <c r="CN7" s="155">
        <f>IF(ISNUMBER(BJ7),IF(CN$2="x",(BJ7-MIN(BJ$4:BJ$14))/(MAX(BJ$4:BJ$14)-MIN(BJ$4:BJ$14)),(MAX(BJ$4:BJ$14)-BJ7)/(MAX(BJ$4:BJ$14)-MIN(BJ$4:BJ$14))),"")</f>
        <v>0.96240601503759393</v>
      </c>
      <c r="CO7" s="155">
        <f>IF(ISNUMBER(BK7),IF(CO$2="x",(BK7-MIN(BK$4:BK$14))/(MAX(BK$4:BK$14)-MIN(BK$4:BK$14)),(MAX(BK$4:BK$14)-BK7)/(MAX(BK$4:BK$14)-MIN(BK$4:BK$14))),"")</f>
        <v>1</v>
      </c>
      <c r="CP7" s="155">
        <f>IF(ISNUMBER(BL7),IF(CP$2="x",(BL7-MIN(BL$4:BL$14))/(MAX(BL$4:BL$14)-MIN(BL$4:BL$14)),(MAX(BL$4:BL$14)-BL7)/(MAX(BL$4:BL$14)-MIN(BL$4:BL$14))),"")</f>
        <v>0.97674418604651159</v>
      </c>
      <c r="CQ7" s="155">
        <f>IF(ISNUMBER(BM7),IF(CQ$2="x",(BM7-MIN(BM$4:BM$14))/(MAX(BM$4:BM$14)-MIN(BM$4:BM$14)),(MAX(BM$4:BM$14)-BM7)/(MAX(BM$4:BM$14)-MIN(BM$4:BM$14))),"")</f>
        <v>0.98705501618122971</v>
      </c>
      <c r="CR7" s="155">
        <f>IF(ISNUMBER(BN7),IF(CR$2="x",(BN7-MIN(BN$4:BN$14))/(MAX(BN$4:BN$14)-MIN(BN$4:BN$14)),(MAX(BN$4:BN$14)-BN7)/(MAX(BN$4:BN$14)-MIN(BN$4:BN$14))),"")</f>
        <v>1</v>
      </c>
      <c r="CS7" s="155">
        <f>IF(ISNUMBER(BO7),IF(CS$2="x",(BO7-MIN(BO$4:BO$14))/(MAX(BO$4:BO$14)-MIN(BO$4:BO$14)),(MAX(BO$4:BO$14)-BO7)/(MAX(BO$4:BO$14)-MIN(BO$4:BO$14))),"")</f>
        <v>0.95454545454545459</v>
      </c>
      <c r="CT7" s="155">
        <f>IF(ISNUMBER(BP7),IF(CT$2="x",(BP7-MIN(BP$4:BP$14))/(MAX(BP$4:BP$14)-MIN(BP$4:BP$14)),(MAX(BP$4:BP$14)-BP7)/(MAX(BP$4:BP$14)-MIN(BP$4:BP$14))),"")</f>
        <v>1</v>
      </c>
      <c r="CU7" s="155">
        <f>IF(ISNUMBER(BQ7),IF(CU$2="x",(BQ7-MIN(BQ$4:BQ$14))/(MAX(BQ$4:BQ$14)-MIN(BQ$4:BQ$14)),(MAX(BQ$4:BQ$14)-BQ7)/(MAX(BQ$4:BQ$14)-MIN(BQ$4:BQ$14))),"")</f>
        <v>0.98</v>
      </c>
      <c r="CV7" s="155">
        <f t="shared" si="1"/>
        <v>0.87129908193625705</v>
      </c>
      <c r="CW7" s="155">
        <f t="shared" si="1"/>
        <v>0.98264562116933329</v>
      </c>
      <c r="CX7" s="155">
        <f t="shared" si="1"/>
        <v>0.99321713336497397</v>
      </c>
      <c r="CY7" s="155">
        <f t="shared" si="1"/>
        <v>0.98460423376520834</v>
      </c>
      <c r="CZ7" s="155">
        <f t="shared" si="1"/>
        <v>0.98432009414533683</v>
      </c>
    </row>
    <row r="8" spans="1:104" x14ac:dyDescent="0.3">
      <c r="C8" s="28"/>
      <c r="D8" s="83"/>
      <c r="E8" s="76"/>
      <c r="F8" s="83"/>
      <c r="G8" s="76"/>
      <c r="H8" s="83"/>
      <c r="I8" s="76"/>
      <c r="J8" s="83"/>
      <c r="K8" s="76"/>
      <c r="L8" s="84"/>
      <c r="M8" s="28"/>
      <c r="N8" s="76"/>
      <c r="O8" s="76"/>
      <c r="P8" s="76"/>
      <c r="Q8" s="76"/>
      <c r="R8" s="76"/>
      <c r="S8" s="76"/>
      <c r="T8" s="76"/>
      <c r="U8" s="76"/>
      <c r="V8" s="30"/>
      <c r="W8" s="28"/>
      <c r="X8" s="83"/>
      <c r="Y8" s="76"/>
      <c r="Z8" s="83"/>
      <c r="AA8" s="76"/>
      <c r="AB8" s="83"/>
      <c r="AC8" s="76"/>
      <c r="AD8" s="83"/>
      <c r="AE8" s="76"/>
      <c r="AF8" s="84"/>
      <c r="AJ8" s="68"/>
      <c r="AR8" s="28" t="s">
        <v>1197</v>
      </c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321"/>
      <c r="BD8" s="321"/>
      <c r="BE8" s="321"/>
      <c r="BF8" s="321"/>
      <c r="BG8" s="321"/>
      <c r="BH8" s="322">
        <v>0.92200000000000004</v>
      </c>
      <c r="BI8" s="322">
        <v>0.91400000000000003</v>
      </c>
      <c r="BJ8" s="322">
        <v>8.0000000000000002E-3</v>
      </c>
      <c r="BK8" s="322">
        <v>8.0000000000000002E-3</v>
      </c>
      <c r="BL8" s="322">
        <v>7.0000000000000007E-2</v>
      </c>
      <c r="BM8" s="370">
        <v>0.92200000000000004</v>
      </c>
      <c r="BN8" s="370">
        <v>0.91400000000000003</v>
      </c>
      <c r="BO8" s="370">
        <v>8.0000000000000002E-3</v>
      </c>
      <c r="BP8" s="67">
        <v>8.0000000000000002E-3</v>
      </c>
      <c r="BQ8" s="370">
        <v>7.0000000000000007E-2</v>
      </c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5"/>
      <c r="CM8" s="155"/>
      <c r="CN8" s="155"/>
      <c r="CO8" s="155"/>
      <c r="CP8" s="155"/>
      <c r="CQ8" s="155">
        <f>IF(ISNUMBER(BH8),IF(CQ$2="x",(BH8-MIN(BM$4:BM$14))/(MAX(BM$4:BM$14)-MIN(BM$4:BM$14)),(MAX(BM$4:BM$14)-BH8)/(MAX(BM$4:BM$14)-MIN(BM$4:BM$14))),"")</f>
        <v>0.82524271844660213</v>
      </c>
      <c r="CR8" s="155">
        <f>IF(ISNUMBER(BI8),IF(CR$2="x",(BI8-MIN(BN$4:BN$14))/(MAX(BN$4:BN$14)-MIN(BN$4:BN$14)),(MAX(BN$4:BN$14)-BI8)/(MAX(BN$4:BN$14)-MIN(BN$4:BN$14))),"")</f>
        <v>0.8466666666666669</v>
      </c>
      <c r="CS8" s="155">
        <f>IF(ISNUMBER(BJ8),IF(CS$2="x",(BJ8-MIN(BO$4:BO$14))/(MAX(BO$4:BO$14)-MIN(BO$4:BO$14)),(MAX(BO$4:BO$14)-BJ8)/(MAX(BO$4:BO$14)-MIN(BO$4:BO$14))),"")</f>
        <v>0.99090909090909107</v>
      </c>
      <c r="CT8" s="155">
        <f>IF(ISNUMBER(BK8),IF(CT$2="x",(BK8-MIN(BP$4:BP$14))/(MAX(BP$4:BP$14)-MIN(BP$4:BP$14)),(MAX(BP$4:BP$14)-BK8)/(MAX(BP$4:BP$14)-MIN(BP$4:BP$14))),"")</f>
        <v>0.91999999999999993</v>
      </c>
      <c r="CU8" s="155">
        <f>IF(ISNUMBER(BL8),IF(CU$2="x",(BL8-MIN(BQ$4:BQ$14))/(MAX(BQ$4:BQ$14)-MIN(BQ$4:BQ$14)),(MAX(BQ$4:BQ$14)-BL8)/(MAX(BQ$4:BQ$14)-MIN(BQ$4:BQ$14))),"")</f>
        <v>0.82000000000000006</v>
      </c>
      <c r="CV8" s="155"/>
      <c r="CW8" s="155"/>
      <c r="CX8" s="155"/>
      <c r="CY8" s="155"/>
      <c r="CZ8" s="155"/>
    </row>
    <row r="9" spans="1:104" x14ac:dyDescent="0.3">
      <c r="C9" s="28"/>
      <c r="D9" s="83"/>
      <c r="E9" s="76"/>
      <c r="F9" s="83"/>
      <c r="G9" s="76"/>
      <c r="H9" s="83"/>
      <c r="I9" s="76"/>
      <c r="J9" s="83"/>
      <c r="K9" s="76"/>
      <c r="L9" s="84"/>
      <c r="M9" s="28"/>
      <c r="N9" s="76"/>
      <c r="O9" s="76"/>
      <c r="P9" s="76"/>
      <c r="Q9" s="76"/>
      <c r="R9" s="76"/>
      <c r="S9" s="76"/>
      <c r="T9" s="76"/>
      <c r="U9" s="76"/>
      <c r="V9" s="30"/>
      <c r="W9" s="28"/>
      <c r="X9" s="83"/>
      <c r="Y9" s="76"/>
      <c r="Z9" s="83"/>
      <c r="AA9" s="76"/>
      <c r="AB9" s="83"/>
      <c r="AC9" s="76"/>
      <c r="AD9" s="83"/>
      <c r="AE9" s="76"/>
      <c r="AF9" s="84"/>
      <c r="AJ9" s="68"/>
      <c r="AR9" s="28" t="s">
        <v>1198</v>
      </c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321"/>
      <c r="BD9" s="321"/>
      <c r="BE9" s="321"/>
      <c r="BF9" s="321"/>
      <c r="BG9" s="321"/>
      <c r="BH9" s="322">
        <v>0.95599999999999996</v>
      </c>
      <c r="BI9" s="322">
        <v>0.94599999999999995</v>
      </c>
      <c r="BJ9" s="322">
        <v>0.01</v>
      </c>
      <c r="BK9" s="322">
        <v>7.0000000000000001E-3</v>
      </c>
      <c r="BL9" s="322">
        <v>3.6999999999999998E-2</v>
      </c>
      <c r="BM9" s="370">
        <v>0.95599999999999996</v>
      </c>
      <c r="BN9" s="370">
        <v>0.94599999999999995</v>
      </c>
      <c r="BO9" s="370">
        <v>0.01</v>
      </c>
      <c r="BP9" s="370">
        <v>7.0000000000000001E-3</v>
      </c>
      <c r="BQ9" s="67">
        <v>3.6999999999999998E-2</v>
      </c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5"/>
      <c r="CJ9" s="155"/>
      <c r="CK9" s="155"/>
      <c r="CL9" s="155"/>
      <c r="CM9" s="155"/>
      <c r="CN9" s="155"/>
      <c r="CO9" s="155"/>
      <c r="CP9" s="155"/>
      <c r="CQ9" s="155">
        <f>IF(ISNUMBER(BH9),IF(CQ$2="x",(BH9-MIN(BM$4:BM$14))/(MAX(BM$4:BM$14)-MIN(BM$4:BM$14)),(MAX(BM$4:BM$14)-BH9)/(MAX(BM$4:BM$14)-MIN(BM$4:BM$14))),"")</f>
        <v>0.93527508090614875</v>
      </c>
      <c r="CR9" s="155">
        <f>IF(ISNUMBER(BI9),IF(CR$2="x",(BI9-MIN(BN$4:BN$14))/(MAX(BN$4:BN$14)-MIN(BN$4:BN$14)),(MAX(BN$4:BN$14)-BI9)/(MAX(BN$4:BN$14)-MIN(BN$4:BN$14))),"")</f>
        <v>0.95333333333333325</v>
      </c>
      <c r="CS9" s="155">
        <f>IF(ISNUMBER(BJ9),IF(CS$2="x",(BJ9-MIN(BO$4:BO$14))/(MAX(BO$4:BO$14)-MIN(BO$4:BO$14)),(MAX(BO$4:BO$14)-BJ9)/(MAX(BO$4:BO$14)-MIN(BO$4:BO$14))),"")</f>
        <v>0.97272727272727288</v>
      </c>
      <c r="CT9" s="155">
        <f>IF(ISNUMBER(BK9),IF(CT$2="x",(BK9-MIN(BP$4:BP$14))/(MAX(BP$4:BP$14)-MIN(BP$4:BP$14)),(MAX(BP$4:BP$14)-BK9)/(MAX(BP$4:BP$14)-MIN(BP$4:BP$14))),"")</f>
        <v>0.96</v>
      </c>
      <c r="CU9" s="155">
        <f>IF(ISNUMBER(BL9),IF(CU$2="x",(BL9-MIN(BQ$4:BQ$14))/(MAX(BQ$4:BQ$14)-MIN(BQ$4:BQ$14)),(MAX(BQ$4:BQ$14)-BL9)/(MAX(BQ$4:BQ$14)-MIN(BQ$4:BQ$14))),"")</f>
        <v>0.93000000000000016</v>
      </c>
      <c r="CV9" s="155"/>
      <c r="CW9" s="155"/>
      <c r="CX9" s="155"/>
      <c r="CY9" s="155"/>
      <c r="CZ9" s="155"/>
    </row>
    <row r="10" spans="1:104" x14ac:dyDescent="0.3">
      <c r="A10" t="s">
        <v>89</v>
      </c>
      <c r="B10" t="s">
        <v>381</v>
      </c>
      <c r="C10" s="28">
        <v>3545</v>
      </c>
      <c r="D10" s="83">
        <v>0.66949952785646838</v>
      </c>
      <c r="E10" s="76">
        <v>3512</v>
      </c>
      <c r="F10" s="83">
        <v>0.66326723323890457</v>
      </c>
      <c r="G10" s="76">
        <v>33</v>
      </c>
      <c r="H10" s="83">
        <v>6.2322946175637391E-3</v>
      </c>
      <c r="I10" s="76">
        <v>89</v>
      </c>
      <c r="J10" s="83">
        <v>1.6808309726156753E-2</v>
      </c>
      <c r="K10" s="76">
        <v>1661</v>
      </c>
      <c r="L10" s="84">
        <v>0.31369216241737491</v>
      </c>
      <c r="M10" s="28"/>
      <c r="N10" s="76"/>
      <c r="O10" s="76"/>
      <c r="P10" s="76"/>
      <c r="Q10" s="76"/>
      <c r="R10" s="76"/>
      <c r="S10" s="76"/>
      <c r="T10" s="76"/>
      <c r="U10" s="76"/>
      <c r="V10" s="30"/>
      <c r="W10" s="28"/>
      <c r="X10" s="83"/>
      <c r="Y10" s="76"/>
      <c r="Z10" s="83"/>
      <c r="AA10" s="76"/>
      <c r="AB10" s="83"/>
      <c r="AC10" s="76"/>
      <c r="AD10" s="83"/>
      <c r="AE10" s="76"/>
      <c r="AF10" s="84"/>
      <c r="AG10">
        <v>775742</v>
      </c>
      <c r="AH10">
        <f>64.26%*48</f>
        <v>30.844800000000003</v>
      </c>
      <c r="AI10">
        <v>11.64</v>
      </c>
      <c r="AJ10" s="68">
        <v>3.15625E-2</v>
      </c>
      <c r="AR10" s="28" t="s">
        <v>461</v>
      </c>
      <c r="AS10" s="88">
        <v>0.82228517469310669</v>
      </c>
      <c r="AT10" s="83">
        <v>0.75410764872521241</v>
      </c>
      <c r="AU10" s="83">
        <v>6.817752596789424E-2</v>
      </c>
      <c r="AV10" s="83">
        <v>1.8885741265344664E-2</v>
      </c>
      <c r="AW10" s="84">
        <v>0.15882908404154863</v>
      </c>
      <c r="AX10" s="88">
        <v>0.91822474032105761</v>
      </c>
      <c r="AY10" s="83">
        <v>0.89518413597733715</v>
      </c>
      <c r="AZ10" s="83">
        <v>2.3040604343720492E-2</v>
      </c>
      <c r="BA10" s="83">
        <v>1.69971671388102E-2</v>
      </c>
      <c r="BB10" s="84">
        <v>6.4778092540132198E-2</v>
      </c>
      <c r="BC10" s="83">
        <v>0.95014164305949012</v>
      </c>
      <c r="BD10" s="83">
        <v>0.93711048158640231</v>
      </c>
      <c r="BE10" s="83">
        <v>1.3031161473087818E-2</v>
      </c>
      <c r="BF10" s="83">
        <v>1.3220018885741265E-2</v>
      </c>
      <c r="BG10" s="84">
        <v>3.6638338054768647E-2</v>
      </c>
      <c r="BH10" s="83">
        <v>0.92900000000000005</v>
      </c>
      <c r="BI10" s="83">
        <v>0.92100000000000004</v>
      </c>
      <c r="BJ10" s="83">
        <v>8.0000000000000002E-3</v>
      </c>
      <c r="BK10" s="83">
        <v>1.2999999999999999E-2</v>
      </c>
      <c r="BL10" s="83">
        <v>5.8000000000000003E-2</v>
      </c>
      <c r="BM10" s="320">
        <v>0.92900000000000005</v>
      </c>
      <c r="BN10" s="320">
        <v>0.92100000000000004</v>
      </c>
      <c r="BO10" s="320">
        <v>8.0000000000000002E-3</v>
      </c>
      <c r="BP10" s="320">
        <v>1.2999999999999999E-2</v>
      </c>
      <c r="BQ10" s="320">
        <v>5.8000000000000003E-2</v>
      </c>
      <c r="BR10" s="320"/>
      <c r="BS10" s="320"/>
      <c r="BT10" s="320"/>
      <c r="BU10" s="320"/>
      <c r="BV10" s="320"/>
      <c r="BW10" s="155">
        <f>IF(ISNUMBER(AS10),IF(BW$2="x",(AS10-MIN(AS$4:AS$14))/(MAX(AS$4:AS$14)-MIN(AS$4:AS$14)),(MAX(AS$4:AS$14)-AS10)/(MAX(AS$4:AS$14)-MIN(AS$4:AS$14))),"")</f>
        <v>0.48849294729027543</v>
      </c>
      <c r="BX10" s="155">
        <f>IF(ISNUMBER(AT10),IF(BX$2="x",(AT10-MIN(AT$4:AT$14))/(MAX(AT$4:AT$14)-MIN(AT$4:AT$14)),(MAX(AT$4:AT$14)-AT10)/(MAX(AT$4:AT$14)-MIN(AT$4:AT$14))),"")</f>
        <v>0.80349167681688982</v>
      </c>
      <c r="BY10" s="155">
        <f>IF(ISNUMBER(AU10),IF(BY$2="x",(AU10-MIN(AU$4:AU$14))/(MAX(AU$4:AU$14)-MIN(AU$4:AU$14)),(MAX(AU$4:AU$14)-AU10)/(MAX(AU$4:AU$14)-MIN(AU$4:AU$14))),"")</f>
        <v>0.87554112554112551</v>
      </c>
      <c r="BZ10" s="155">
        <f>IF(ISNUMBER(AV10),IF(BZ$2="x",(AV10-MIN(AV$4:AV$14))/(MAX(AV$4:AV$14)-MIN(AV$4:AV$14)),(MAX(AV$4:AV$14)-AV10)/(MAX(AV$4:AV$14)-MIN(AV$4:AV$14))),"")</f>
        <v>0.8085106382978724</v>
      </c>
      <c r="CA10" s="155">
        <f>IF(ISNUMBER(AW10),IF(CA$2="x",(AW10-MIN(AW$4:AW$14))/(MAX(AW$4:AW$14)-MIN(AW$4:AW$14)),(MAX(AW$4:AW$14)-AW10)/(MAX(AW$4:AW$14)-MIN(AW$4:AW$14))),"")</f>
        <v>0.50385208012326654</v>
      </c>
      <c r="CB10" s="155">
        <f>IF(ISNUMBER(AX10),IF(CB$2="x",(AX10-MIN(AX$4:AX$14))/(MAX(AX$4:AX$14)-MIN(AX$4:AX$14)),(MAX(AX$4:AX$14)-AX10)/(MAX(AX$4:AX$14)-MIN(AX$4:AX$14))),"")</f>
        <v>0.78919099435059703</v>
      </c>
      <c r="CC10" s="155">
        <f>IF(ISNUMBER(AY10),IF(CC$2="x",(AY10-MIN(AY$4:AY$14))/(MAX(AY$4:AY$14)-MIN(AY$4:AY$14)),(MAX(AY$4:AY$14)-AY10)/(MAX(AY$4:AY$14)-MIN(AY$4:AY$14))),"")</f>
        <v>0.95363540569020022</v>
      </c>
      <c r="CD10" s="155">
        <f>IF(ISNUMBER(AZ10),IF(CD$2="x",(AZ10-MIN(AZ$4:AZ$14))/(MAX(AZ$4:AZ$14)-MIN(AZ$4:AZ$14)),(MAX(AZ$4:AZ$14)-AZ10)/(MAX(AZ$4:AZ$14)-MIN(AZ$4:AZ$14))),"")</f>
        <v>0.98090452261306538</v>
      </c>
      <c r="CE10" s="155">
        <f>IF(ISNUMBER(BA10),IF(CE$2="x",(BA10-MIN(BA$4:BA$14))/(MAX(BA$4:BA$14)-MIN(BA$4:BA$14)),(MAX(BA$4:BA$14)-BA10)/(MAX(BA$4:BA$14)-MIN(BA$4:BA$14))),"")</f>
        <v>0.64827586206896537</v>
      </c>
      <c r="CF10" s="155">
        <f>IF(ISNUMBER(BB10),IF(CF$2="x",(BB10-MIN(BB$4:BB$14))/(MAX(BB$4:BB$14)-MIN(BB$4:BB$14)),(MAX(BB$4:BB$14)-BB10)/(MAX(BB$4:BB$14)-MIN(BB$4:BB$14))),"")</f>
        <v>0.81682252501426522</v>
      </c>
      <c r="CG10" s="155">
        <f>IF(ISNUMBER(BC10),IF(CG$2="x",(BC10-MIN(BC$4:BC$14))/(MAX(BC$4:BC$14)-MIN(BC$4:BC$14)),(MAX(BC$4:BC$14)-BC10)/(MAX(BC$4:BC$14)-MIN(BC$4:BC$14))),"")</f>
        <v>0.88336579320113329</v>
      </c>
      <c r="CH10" s="155">
        <f>IF(ISNUMBER(BD10),IF(CH$2="x",(BD10-MIN(BD$4:BD$14))/(MAX(BD$4:BD$14)-MIN(BD$4:BD$14)),(MAX(BD$4:BD$14)-BD10)/(MAX(BD$4:BD$14)-MIN(BD$4:BD$14))),"")</f>
        <v>0.99236257970187502</v>
      </c>
      <c r="CI10" s="155">
        <f>IF(ISNUMBER(BE10),IF(CI$2="x",(BE10-MIN(BE$4:BE$14))/(MAX(BE$4:BE$14)-MIN(BE$4:BE$14)),(MAX(BE$4:BE$14)-BE10)/(MAX(BE$4:BE$14)-MIN(BE$4:BE$14))),"")</f>
        <v>0.99620313241575698</v>
      </c>
      <c r="CJ10" s="155">
        <f>IF(ISNUMBER(BF10),IF(CJ$2="x",(BF10-MIN(BF$4:BF$14))/(MAX(BF$4:BF$14)-MIN(BF$4:BF$14)),(MAX(BF$4:BF$14)-BF10)/(MAX(BF$4:BF$14)-MIN(BF$4:BF$14))),"")</f>
        <v>0.72141659986883333</v>
      </c>
      <c r="CK10" s="155">
        <f>IF(ISNUMBER(BG10),IF(CK$2="x",(BG10-MIN(BG$4:BG$14))/(MAX(BG$4:BG$14)-MIN(BG$4:BG$14)),(MAX(BG$4:BG$14)-BG10)/(MAX(BG$4:BG$14)-MIN(BG$4:BG$14))),"")</f>
        <v>0.90645314853401382</v>
      </c>
      <c r="CL10" s="155">
        <f>IF(ISNUMBER(BH10),IF(CL$2="x",(BH10-MIN(BH$4:BH$14))/(MAX(BH$4:BH$14)-MIN(BH$4:BH$14)),(MAX(BH$4:BH$14)-BH10)/(MAX(BH$4:BH$14)-MIN(BH$4:BH$14))),"")</f>
        <v>0.8451612903225808</v>
      </c>
      <c r="CM10" s="155">
        <f>IF(ISNUMBER(BI10),IF(CM$2="x",(BI10-MIN(BI$4:BI$14))/(MAX(BI$4:BI$14)-MIN(BI$4:BI$14)),(MAX(BI$4:BI$14)-BI10)/(MAX(BI$4:BI$14)-MIN(BI$4:BI$14))),"")</f>
        <v>0.87000000000000022</v>
      </c>
      <c r="CN10" s="155">
        <f>IF(ISNUMBER(BJ10),IF(CN$2="x",(BJ10-MIN(BJ$4:BJ$14))/(MAX(BJ$4:BJ$14)-MIN(BJ$4:BJ$14)),(MAX(BJ$4:BJ$14)-BJ10)/(MAX(BJ$4:BJ$14)-MIN(BJ$4:BJ$14))),"")</f>
        <v>0.99248120300751874</v>
      </c>
      <c r="CO10" s="155">
        <f>IF(ISNUMBER(BK10),IF(CO$2="x",(BK10-MIN(BK$4:BK$14))/(MAX(BK$4:BK$14)-MIN(BK$4:BK$14)),(MAX(BK$4:BK$14)-BK10)/(MAX(BK$4:BK$14)-MIN(BK$4:BK$14))),"")</f>
        <v>0.72000000000000008</v>
      </c>
      <c r="CP10" s="155">
        <f>IF(ISNUMBER(BL10),IF(CP$2="x",(BL10-MIN(BL$4:BL$14))/(MAX(BL$4:BL$14)-MIN(BL$4:BL$14)),(MAX(BL$4:BL$14)-BL10)/(MAX(BL$4:BL$14)-MIN(BL$4:BL$14))),"")</f>
        <v>0.85714285714285721</v>
      </c>
      <c r="CQ10" s="155">
        <f>IF(ISNUMBER(BM10),IF(CQ$2="x",(BM10-MIN(BM$4:BM$14))/(MAX(BM$4:BM$14)-MIN(BM$4:BM$14)),(MAX(BM$4:BM$14)-BM10)/(MAX(BM$4:BM$14)-MIN(BM$4:BM$14))),"")</f>
        <v>0.84789644012944998</v>
      </c>
      <c r="CR10" s="155">
        <f>IF(ISNUMBER(BN10),IF(CR$2="x",(BN10-MIN(BN$4:BN$14))/(MAX(BN$4:BN$14)-MIN(BN$4:BN$14)),(MAX(BN$4:BN$14)-BN10)/(MAX(BN$4:BN$14)-MIN(BN$4:BN$14))),"")</f>
        <v>0.87000000000000022</v>
      </c>
      <c r="CS10" s="155">
        <f>IF(ISNUMBER(BO10),IF(CS$2="x",(BO10-MIN(BO$4:BO$14))/(MAX(BO$4:BO$14)-MIN(BO$4:BO$14)),(MAX(BO$4:BO$14)-BO10)/(MAX(BO$4:BO$14)-MIN(BO$4:BO$14))),"")</f>
        <v>0.99090909090909107</v>
      </c>
      <c r="CT10" s="155">
        <f>IF(ISNUMBER(BP10),IF(CT$2="x",(BP10-MIN(BP$4:BP$14))/(MAX(BP$4:BP$14)-MIN(BP$4:BP$14)),(MAX(BP$4:BP$14)-BP10)/(MAX(BP$4:BP$14)-MIN(BP$4:BP$14))),"")</f>
        <v>0.72000000000000008</v>
      </c>
      <c r="CU10" s="155">
        <f>IF(ISNUMBER(BQ10),IF(CU$2="x",(BQ10-MIN(BQ$4:BQ$14))/(MAX(BQ$4:BQ$14)-MIN(BQ$4:BQ$14)),(MAX(BQ$4:BQ$14)-BQ10)/(MAX(BQ$4:BQ$14)-MIN(BQ$4:BQ$14))),"")</f>
        <v>0.8600000000000001</v>
      </c>
      <c r="CV10" s="155">
        <f t="shared" si="1"/>
        <v>0.69597769361388595</v>
      </c>
      <c r="CW10" s="155">
        <f t="shared" si="1"/>
        <v>0.83776586194741876</v>
      </c>
      <c r="CX10" s="155">
        <f t="shared" si="1"/>
        <v>0.89996025074432251</v>
      </c>
      <c r="CY10" s="155">
        <f t="shared" si="1"/>
        <v>0.85695707009459132</v>
      </c>
      <c r="CZ10" s="155">
        <f t="shared" si="1"/>
        <v>0.8577611062077084</v>
      </c>
    </row>
    <row r="11" spans="1:104" x14ac:dyDescent="0.3">
      <c r="A11" t="s">
        <v>89</v>
      </c>
      <c r="B11" t="s">
        <v>382</v>
      </c>
      <c r="C11" s="28">
        <v>4881</v>
      </c>
      <c r="D11" s="83">
        <v>0.92181303116147306</v>
      </c>
      <c r="E11" s="76">
        <v>4249</v>
      </c>
      <c r="F11" s="83">
        <v>0.80245514636449478</v>
      </c>
      <c r="G11" s="76">
        <v>632</v>
      </c>
      <c r="H11" s="83">
        <v>0.11935788479697829</v>
      </c>
      <c r="I11" s="76">
        <v>79</v>
      </c>
      <c r="J11" s="83">
        <v>1.4919735599622286E-2</v>
      </c>
      <c r="K11" s="76">
        <v>335</v>
      </c>
      <c r="L11" s="84">
        <v>6.3267233238904624E-2</v>
      </c>
      <c r="M11" s="28">
        <v>5145</v>
      </c>
      <c r="N11" s="83">
        <f>M11/$B$1</f>
        <v>0.97167138810198306</v>
      </c>
      <c r="O11" s="76">
        <v>4916</v>
      </c>
      <c r="P11" s="83">
        <f>O11/$B$1</f>
        <v>0.92842304060434377</v>
      </c>
      <c r="Q11" s="76">
        <v>229</v>
      </c>
      <c r="R11" s="83">
        <f>Q11/$B$1</f>
        <v>4.3248347497639283E-2</v>
      </c>
      <c r="S11" s="76">
        <v>41</v>
      </c>
      <c r="T11" s="83">
        <f>S11/$B$1</f>
        <v>7.7431539187913121E-3</v>
      </c>
      <c r="U11" s="76">
        <v>109</v>
      </c>
      <c r="V11" s="84">
        <f>U11/$B$1</f>
        <v>2.0585457979225685E-2</v>
      </c>
      <c r="W11" s="28">
        <v>5185</v>
      </c>
      <c r="X11" s="83">
        <f>W11/$B$1</f>
        <v>0.97922568460812087</v>
      </c>
      <c r="Y11" s="76">
        <v>4964</v>
      </c>
      <c r="Z11" s="83">
        <f>Y11/$B$1</f>
        <v>0.93748819641170911</v>
      </c>
      <c r="AA11" s="76">
        <v>221</v>
      </c>
      <c r="AB11" s="83">
        <f>AA11/$B$1</f>
        <v>4.1737488196411709E-2</v>
      </c>
      <c r="AC11" s="76">
        <v>34</v>
      </c>
      <c r="AD11" s="83">
        <f>AC11/$B$1</f>
        <v>6.4211520302171858E-3</v>
      </c>
      <c r="AE11" s="76">
        <v>76</v>
      </c>
      <c r="AF11" s="84">
        <f>AE11/$B$1</f>
        <v>1.4353163361661946E-2</v>
      </c>
      <c r="AG11">
        <v>775741</v>
      </c>
      <c r="AH11">
        <f>62.38%*48</f>
        <v>29.942399999999999</v>
      </c>
      <c r="AI11">
        <v>10.66</v>
      </c>
      <c r="AJ11" s="68">
        <v>2.7685185185185188E-2</v>
      </c>
      <c r="AR11" s="28" t="s">
        <v>384</v>
      </c>
      <c r="AS11" s="88">
        <v>0.69801699716713883</v>
      </c>
      <c r="AT11" s="83">
        <v>0.67592067988668558</v>
      </c>
      <c r="AU11" s="83">
        <v>2.2096317280453259E-2</v>
      </c>
      <c r="AV11" s="83">
        <v>1.9641170915958451E-2</v>
      </c>
      <c r="AW11" s="84">
        <v>0.28234183191690276</v>
      </c>
      <c r="AX11" s="151">
        <v>0.70399999999999996</v>
      </c>
      <c r="AY11" s="152">
        <v>0.68200000000000005</v>
      </c>
      <c r="AZ11" s="152">
        <v>2.1999999999999999E-2</v>
      </c>
      <c r="BA11" s="152">
        <v>1.9E-2</v>
      </c>
      <c r="BB11" s="153">
        <v>0.27700000000000002</v>
      </c>
      <c r="BC11" s="83">
        <v>0.72399999999999998</v>
      </c>
      <c r="BD11" s="83">
        <v>0.69599999999999995</v>
      </c>
      <c r="BE11" s="83">
        <v>2.8000000000000001E-2</v>
      </c>
      <c r="BF11" s="83">
        <v>0.02</v>
      </c>
      <c r="BG11" s="84">
        <v>0.25600000000000001</v>
      </c>
      <c r="BH11" s="83">
        <v>0.66700000000000004</v>
      </c>
      <c r="BI11" s="83">
        <v>0.66</v>
      </c>
      <c r="BJ11" s="83">
        <v>7.0000000000000001E-3</v>
      </c>
      <c r="BK11" s="83">
        <v>1.7000000000000001E-2</v>
      </c>
      <c r="BL11" s="83">
        <v>0.316</v>
      </c>
      <c r="BM11" s="320">
        <v>0.66700000000000004</v>
      </c>
      <c r="BN11" s="320">
        <v>0.66</v>
      </c>
      <c r="BO11" s="320">
        <v>7.0000000000000001E-3</v>
      </c>
      <c r="BP11" s="320">
        <v>1.7000000000000001E-2</v>
      </c>
      <c r="BQ11" s="320">
        <v>0.316</v>
      </c>
      <c r="BR11" s="320"/>
      <c r="BS11" s="320"/>
      <c r="BT11" s="320"/>
      <c r="BU11" s="320"/>
      <c r="BV11" s="320"/>
      <c r="BW11" s="155">
        <f>IF(ISNUMBER(AS11),IF(BW$2="x",(AS11-MIN(AS$4:AS$14))/(MAX(AS$4:AS$14)-MIN(AS$4:AS$14)),(MAX(AS$4:AS$14)-AS11)/(MAX(AS$4:AS$14)-MIN(AS$4:AS$14))),"")</f>
        <v>0</v>
      </c>
      <c r="BX11" s="155">
        <f>IF(ISNUMBER(AT11),IF(BX$2="x",(AT11-MIN(AT$4:AT$14))/(MAX(AT$4:AT$14)-MIN(AT$4:AT$14)),(MAX(AT$4:AT$14)-AT11)/(MAX(AT$4:AT$14)-MIN(AT$4:AT$14))),"")</f>
        <v>0.63540397888753553</v>
      </c>
      <c r="BY11" s="155">
        <f>IF(ISNUMBER(AU11),IF(BY$2="x",(AU11-MIN(AU$4:AU$14))/(MAX(AU$4:AU$14)-MIN(AU$4:AU$14)),(MAX(AU$4:AU$14)-AU11)/(MAX(AU$4:AU$14)-MIN(AU$4:AU$14))),"")</f>
        <v>0.96356421356421362</v>
      </c>
      <c r="BZ11" s="155">
        <f>IF(ISNUMBER(AV11),IF(BZ$2="x",(AV11-MIN(AV$4:AV$14))/(MAX(AV$4:AV$14)-MIN(AV$4:AV$14)),(MAX(AV$4:AV$14)-AV11)/(MAX(AV$4:AV$14)-MIN(AV$4:AV$14))),"")</f>
        <v>0.79148936170212769</v>
      </c>
      <c r="CA11" s="155">
        <f>IF(ISNUMBER(AW11),IF(CA$2="x",(AW11-MIN(AW$4:AW$14))/(MAX(AW$4:AW$14)-MIN(AW$4:AW$14)),(MAX(AW$4:AW$14)-AW11)/(MAX(AW$4:AW$14)-MIN(AW$4:AW$14))),"")</f>
        <v>0</v>
      </c>
      <c r="CB11" s="155">
        <f>IF(ISNUMBER(AX11),IF(CB$2="x",(AX11-MIN(AX$4:AX$14))/(MAX(AX$4:AX$14)-MIN(AX$4:AX$14)),(MAX(AX$4:AX$14)-AX11)/(MAX(AX$4:AX$14)-MIN(AX$4:AX$14))),"")</f>
        <v>0</v>
      </c>
      <c r="CC11" s="155">
        <f>IF(ISNUMBER(AY11),IF(CC$2="x",(AY11-MIN(AY$4:AY$14))/(MAX(AY$4:AY$14)-MIN(AY$4:AY$14)),(MAX(AY$4:AY$14)-AY11)/(MAX(AY$4:AY$14)-MIN(AY$4:AY$14))),"")</f>
        <v>0.65626712328767123</v>
      </c>
      <c r="CD11" s="155">
        <f>IF(ISNUMBER(AZ11),IF(CD$2="x",(AZ11-MIN(AZ$4:AZ$14))/(MAX(AZ$4:AZ$14)-MIN(AZ$4:AZ$14)),(MAX(AZ$4:AZ$14)-AZ11)/(MAX(AZ$4:AZ$14)-MIN(AZ$4:AZ$14))),"")</f>
        <v>0.98228894472361805</v>
      </c>
      <c r="CE11" s="155">
        <f>IF(ISNUMBER(BA11),IF(CE$2="x",(BA11-MIN(BA$4:BA$14))/(MAX(BA$4:BA$14)-MIN(BA$4:BA$14)),(MAX(BA$4:BA$14)-BA11)/(MAX(BA$4:BA$14)-MIN(BA$4:BA$14))),"")</f>
        <v>0.57513793103448274</v>
      </c>
      <c r="CF11" s="155">
        <f>IF(ISNUMBER(BB11),IF(CF$2="x",(BB11-MIN(BB$4:BB$14))/(MAX(BB$4:BB$14)-MIN(BB$4:BB$14)),(MAX(BB$4:BB$14)-BB11)/(MAX(BB$4:BB$14)-MIN(BB$4:BB$14))),"")</f>
        <v>0</v>
      </c>
      <c r="CG11" s="155">
        <f>IF(ISNUMBER(BC11),IF(CG$2="x",(BC11-MIN(BC$4:BC$14))/(MAX(BC$4:BC$14)-MIN(BC$4:BC$14)),(MAX(BC$4:BC$14)-BC11)/(MAX(BC$4:BC$14)-MIN(BC$4:BC$14))),"")</f>
        <v>0</v>
      </c>
      <c r="CH11" s="155">
        <f>IF(ISNUMBER(BD11),IF(CH$2="x",(BD11-MIN(BD$4:BD$14))/(MAX(BD$4:BD$14)-MIN(BD$4:BD$14)),(MAX(BD$4:BD$14)-BD11)/(MAX(BD$4:BD$14)-MIN(BD$4:BD$14))),"")</f>
        <v>0.67969489503904423</v>
      </c>
      <c r="CI11" s="155">
        <f>IF(ISNUMBER(BE11),IF(CI$2="x",(BE11-MIN(BE$4:BE$14))/(MAX(BE$4:BE$14)-MIN(BE$4:BE$14)),(MAX(BE$4:BE$14)-BE11)/(MAX(BE$4:BE$14)-MIN(BE$4:BE$14))),"")</f>
        <v>0.97739439962031316</v>
      </c>
      <c r="CJ11" s="155">
        <f>IF(ISNUMBER(BF11),IF(CJ$2="x",(BF11-MIN(BF$4:BF$14))/(MAX(BF$4:BF$14)-MIN(BF$4:BF$14)),(MAX(BF$4:BF$14)-BF11)/(MAX(BF$4:BF$14)-MIN(BF$4:BF$14))),"")</f>
        <v>0.45981199446185239</v>
      </c>
      <c r="CK11" s="155">
        <f>IF(ISNUMBER(BG11),IF(CK$2="x",(BG11-MIN(BG$4:BG$14))/(MAX(BG$4:BG$14)-MIN(BG$4:BG$14)),(MAX(BG$4:BG$14)-BG11)/(MAX(BG$4:BG$14)-MIN(BG$4:BG$14))),"")</f>
        <v>0</v>
      </c>
      <c r="CL11" s="155">
        <f>IF(ISNUMBER(BH11),IF(CL$2="x",(BH11-MIN(BH$4:BH$14))/(MAX(BH$4:BH$14)-MIN(BH$4:BH$14)),(MAX(BH$4:BH$14)-BH11)/(MAX(BH$4:BH$14)-MIN(BH$4:BH$14))),"")</f>
        <v>0</v>
      </c>
      <c r="CM11" s="155">
        <f>IF(ISNUMBER(BI11),IF(CM$2="x",(BI11-MIN(BI$4:BI$14))/(MAX(BI$4:BI$14)-MIN(BI$4:BI$14)),(MAX(BI$4:BI$14)-BI11)/(MAX(BI$4:BI$14)-MIN(BI$4:BI$14))),"")</f>
        <v>0</v>
      </c>
      <c r="CN11" s="155">
        <f>IF(ISNUMBER(BJ11),IF(CN$2="x",(BJ11-MIN(BJ$4:BJ$14))/(MAX(BJ$4:BJ$14)-MIN(BJ$4:BJ$14)),(MAX(BJ$4:BJ$14)-BJ11)/(MAX(BJ$4:BJ$14)-MIN(BJ$4:BJ$14))),"")</f>
        <v>1</v>
      </c>
      <c r="CO11" s="155">
        <f>IF(ISNUMBER(BK11),IF(CO$2="x",(BK11-MIN(BK$4:BK$14))/(MAX(BK$4:BK$14)-MIN(BK$4:BK$14)),(MAX(BK$4:BK$14)-BK11)/(MAX(BK$4:BK$14)-MIN(BK$4:BK$14))),"")</f>
        <v>0.55999999999999994</v>
      </c>
      <c r="CP11" s="155">
        <f>IF(ISNUMBER(BL11),IF(CP$2="x",(BL11-MIN(BL$4:BL$14))/(MAX(BL$4:BL$14)-MIN(BL$4:BL$14)),(MAX(BL$4:BL$14)-BL11)/(MAX(BL$4:BL$14)-MIN(BL$4:BL$14))),"")</f>
        <v>0</v>
      </c>
      <c r="CQ11" s="155">
        <f>IF(ISNUMBER(BM11),IF(CQ$2="x",(BM11-MIN(BM$4:BM$14))/(MAX(BM$4:BM$14)-MIN(BM$4:BM$14)),(MAX(BM$4:BM$14)-BM11)/(MAX(BM$4:BM$14)-MIN(BM$4:BM$14))),"")</f>
        <v>0</v>
      </c>
      <c r="CR11" s="155">
        <f>IF(ISNUMBER(BN11),IF(CR$2="x",(BN11-MIN(BN$4:BN$14))/(MAX(BN$4:BN$14)-MIN(BN$4:BN$14)),(MAX(BN$4:BN$14)-BN11)/(MAX(BN$4:BN$14)-MIN(BN$4:BN$14))),"")</f>
        <v>0</v>
      </c>
      <c r="CS11" s="155">
        <f>IF(ISNUMBER(BO11),IF(CS$2="x",(BO11-MIN(BO$4:BO$14))/(MAX(BO$4:BO$14)-MIN(BO$4:BO$14)),(MAX(BO$4:BO$14)-BO11)/(MAX(BO$4:BO$14)-MIN(BO$4:BO$14))),"")</f>
        <v>1</v>
      </c>
      <c r="CT11" s="155">
        <f>IF(ISNUMBER(BP11),IF(CT$2="x",(BP11-MIN(BP$4:BP$14))/(MAX(BP$4:BP$14)-MIN(BP$4:BP$14)),(MAX(BP$4:BP$14)-BP11)/(MAX(BP$4:BP$14)-MIN(BP$4:BP$14))),"")</f>
        <v>0.55999999999999994</v>
      </c>
      <c r="CU11" s="155">
        <f>IF(ISNUMBER(BQ11),IF(CU$2="x",(BQ11-MIN(BQ$4:BQ$14))/(MAX(BQ$4:BQ$14)-MIN(BQ$4:BQ$14)),(MAX(BQ$4:BQ$14)-BQ11)/(MAX(BQ$4:BQ$14)-MIN(BQ$4:BQ$14))),"")</f>
        <v>0</v>
      </c>
      <c r="CV11" s="155">
        <f t="shared" si="1"/>
        <v>0.47809151083077539</v>
      </c>
      <c r="CW11" s="155">
        <f t="shared" si="1"/>
        <v>0.44273879980915443</v>
      </c>
      <c r="CX11" s="155">
        <f t="shared" si="1"/>
        <v>0.42338025782424199</v>
      </c>
      <c r="CY11" s="155">
        <f t="shared" si="1"/>
        <v>0.312</v>
      </c>
      <c r="CZ11" s="155">
        <f t="shared" si="1"/>
        <v>0.312</v>
      </c>
    </row>
    <row r="12" spans="1:104" x14ac:dyDescent="0.3">
      <c r="A12" t="s">
        <v>89</v>
      </c>
      <c r="B12" t="s">
        <v>383</v>
      </c>
      <c r="C12" s="28">
        <v>4899</v>
      </c>
      <c r="D12" s="83">
        <v>0.92521246458923512</v>
      </c>
      <c r="E12" s="76">
        <v>4379</v>
      </c>
      <c r="F12" s="83">
        <v>0.82700661000944287</v>
      </c>
      <c r="G12" s="76">
        <v>520</v>
      </c>
      <c r="H12" s="83">
        <v>9.8205854579792251E-2</v>
      </c>
      <c r="I12" s="76">
        <v>78</v>
      </c>
      <c r="J12" s="83">
        <v>1.4730878186968839E-2</v>
      </c>
      <c r="K12" s="76">
        <v>318</v>
      </c>
      <c r="L12" s="84">
        <v>6.0056657223796037E-2</v>
      </c>
      <c r="M12" s="28"/>
      <c r="N12" s="76"/>
      <c r="O12" s="76"/>
      <c r="P12" s="76"/>
      <c r="Q12" s="76"/>
      <c r="R12" s="76"/>
      <c r="S12" s="76"/>
      <c r="T12" s="76"/>
      <c r="U12" s="76"/>
      <c r="V12" s="30"/>
      <c r="W12" s="28"/>
      <c r="X12" s="83"/>
      <c r="Y12" s="76"/>
      <c r="Z12" s="83"/>
      <c r="AA12" s="76"/>
      <c r="AB12" s="83"/>
      <c r="AC12" s="76"/>
      <c r="AD12" s="83"/>
      <c r="AE12" s="76"/>
      <c r="AF12" s="84"/>
      <c r="AG12">
        <v>775740</v>
      </c>
      <c r="AH12">
        <f>63.9%*48</f>
        <v>30.672000000000001</v>
      </c>
      <c r="AI12">
        <v>11.03</v>
      </c>
      <c r="AJ12" s="68">
        <v>2.2175925925925929E-2</v>
      </c>
      <c r="AR12" s="28" t="s">
        <v>94</v>
      </c>
      <c r="AS12" s="88">
        <v>0.9053824362606232</v>
      </c>
      <c r="AT12" s="83">
        <v>0.60169971671388101</v>
      </c>
      <c r="AU12" s="83">
        <v>0.3036827195467422</v>
      </c>
      <c r="AV12" s="83">
        <v>1.9074598677998111E-2</v>
      </c>
      <c r="AW12" s="84">
        <v>7.5542965061378656E-2</v>
      </c>
      <c r="AX12" s="28"/>
      <c r="AY12" s="76"/>
      <c r="AZ12" s="76"/>
      <c r="BA12" s="76"/>
      <c r="BB12" s="30"/>
      <c r="BC12" s="76"/>
      <c r="BD12" s="76"/>
      <c r="BE12" s="76"/>
      <c r="BF12" s="76"/>
      <c r="BG12" s="30"/>
      <c r="BH12" s="76"/>
      <c r="BI12" s="76"/>
      <c r="BJ12" s="76"/>
      <c r="BK12" s="76"/>
      <c r="BL12" s="76"/>
      <c r="BM12" s="363"/>
      <c r="BN12" s="363"/>
      <c r="BO12" s="363"/>
      <c r="BP12" s="363"/>
      <c r="BQ12" s="363"/>
      <c r="BR12" s="363"/>
      <c r="BS12" s="363"/>
      <c r="BT12" s="363"/>
      <c r="BU12" s="363"/>
      <c r="BV12" s="363"/>
      <c r="BW12" s="155">
        <f>IF(ISNUMBER(AS12),IF(BW$2="x",(AS12-MIN(AS$4:AS$14))/(MAX(AS$4:AS$14)-MIN(AS$4:AS$14)),(MAX(AS$4:AS$14)-AS12)/(MAX(AS$4:AS$14)-MIN(AS$4:AS$14))),"")</f>
        <v>0.8151447661469946</v>
      </c>
      <c r="BX12" s="155">
        <f>IF(ISNUMBER(AT12),IF(BX$2="x",(AT12-MIN(AT$4:AT$14))/(MAX(AT$4:AT$14)-MIN(AT$4:AT$14)),(MAX(AT$4:AT$14)-AT12)/(MAX(AT$4:AT$14)-MIN(AT$4:AT$14))),"")</f>
        <v>0.47584246853430767</v>
      </c>
      <c r="BY12" s="155">
        <f>IF(ISNUMBER(AU12),IF(BY$2="x",(AU12-MIN(AU$4:AU$14))/(MAX(AU$4:AU$14)-MIN(AU$4:AU$14)),(MAX(AU$4:AU$14)-AU12)/(MAX(AU$4:AU$14)-MIN(AU$4:AU$14))),"")</f>
        <v>0.42568542568542567</v>
      </c>
      <c r="BZ12" s="155">
        <f>IF(ISNUMBER(AV12),IF(BZ$2="x",(AV12-MIN(AV$4:AV$14))/(MAX(AV$4:AV$14)-MIN(AV$4:AV$14)),(MAX(AV$4:AV$14)-AV12)/(MAX(AV$4:AV$14)-MIN(AV$4:AV$14))),"")</f>
        <v>0.80425531914893611</v>
      </c>
      <c r="CA12" s="155">
        <f>IF(ISNUMBER(AW12),IF(CA$2="x",(AW12-MIN(AW$4:AW$14))/(MAX(AW$4:AW$14)-MIN(AW$4:AW$14)),(MAX(AW$4:AW$14)-AW12)/(MAX(AW$4:AW$14)-MIN(AW$4:AW$14))),"")</f>
        <v>0.8436055469953776</v>
      </c>
      <c r="CB12" s="155" t="str">
        <f>IF(ISNUMBER(AX12),IF(CB$2="x",(AX12-MIN(AX$4:AX$14))/(MAX(AX$4:AX$14)-MIN(AX$4:AX$14)),(MAX(AX$4:AX$14)-AX12)/(MAX(AX$4:AX$14)-MIN(AX$4:AX$14))),"")</f>
        <v/>
      </c>
      <c r="CC12" s="155" t="str">
        <f>IF(ISNUMBER(AY12),IF(CC$2="x",(AY12-MIN(AY$4:AY$14))/(MAX(AY$4:AY$14)-MIN(AY$4:AY$14)),(MAX(AY$4:AY$14)-AY12)/(MAX(AY$4:AY$14)-MIN(AY$4:AY$14))),"")</f>
        <v/>
      </c>
      <c r="CD12" s="155" t="str">
        <f>IF(ISNUMBER(AZ12),IF(CD$2="x",(AZ12-MIN(AZ$4:AZ$14))/(MAX(AZ$4:AZ$14)-MIN(AZ$4:AZ$14)),(MAX(AZ$4:AZ$14)-AZ12)/(MAX(AZ$4:AZ$14)-MIN(AZ$4:AZ$14))),"")</f>
        <v/>
      </c>
      <c r="CE12" s="155" t="str">
        <f>IF(ISNUMBER(BA12),IF(CE$2="x",(BA12-MIN(BA$4:BA$14))/(MAX(BA$4:BA$14)-MIN(BA$4:BA$14)),(MAX(BA$4:BA$14)-BA12)/(MAX(BA$4:BA$14)-MIN(BA$4:BA$14))),"")</f>
        <v/>
      </c>
      <c r="CF12" s="155" t="str">
        <f>IF(ISNUMBER(BB12),IF(CF$2="x",(BB12-MIN(BB$4:BB$14))/(MAX(BB$4:BB$14)-MIN(BB$4:BB$14)),(MAX(BB$4:BB$14)-BB12)/(MAX(BB$4:BB$14)-MIN(BB$4:BB$14))),"")</f>
        <v/>
      </c>
      <c r="CG12" s="155" t="str">
        <f>IF(ISNUMBER(BC12),IF(CG$2="x",(BC12-MIN(BC$4:BC$14))/(MAX(BC$4:BC$14)-MIN(BC$4:BC$14)),(MAX(BC$4:BC$14)-BC12)/(MAX(BC$4:BC$14)-MIN(BC$4:BC$14))),"")</f>
        <v/>
      </c>
      <c r="CH12" s="155" t="str">
        <f>IF(ISNUMBER(BD12),IF(CH$2="x",(BD12-MIN(BD$4:BD$14))/(MAX(BD$4:BD$14)-MIN(BD$4:BD$14)),(MAX(BD$4:BD$14)-BD12)/(MAX(BD$4:BD$14)-MIN(BD$4:BD$14))),"")</f>
        <v/>
      </c>
      <c r="CI12" s="155" t="str">
        <f>IF(ISNUMBER(BE12),IF(CI$2="x",(BE12-MIN(BE$4:BE$14))/(MAX(BE$4:BE$14)-MIN(BE$4:BE$14)),(MAX(BE$4:BE$14)-BE12)/(MAX(BE$4:BE$14)-MIN(BE$4:BE$14))),"")</f>
        <v/>
      </c>
      <c r="CJ12" s="155" t="str">
        <f>IF(ISNUMBER(BF12),IF(CJ$2="x",(BF12-MIN(BF$4:BF$14))/(MAX(BF$4:BF$14)-MIN(BF$4:BF$14)),(MAX(BF$4:BF$14)-BF12)/(MAX(BF$4:BF$14)-MIN(BF$4:BF$14))),"")</f>
        <v/>
      </c>
      <c r="CK12" s="155" t="str">
        <f>IF(ISNUMBER(BG12),IF(CK$2="x",(BG12-MIN(BG$4:BG$14))/(MAX(BG$4:BG$14)-MIN(BG$4:BG$14)),(MAX(BG$4:BG$14)-BG12)/(MAX(BG$4:BG$14)-MIN(BG$4:BG$14))),"")</f>
        <v/>
      </c>
      <c r="CL12" s="155" t="str">
        <f>IF(ISNUMBER(BH12),IF(CL$2="x",(BH12-MIN(BH$4:BH$14))/(MAX(BH$4:BH$14)-MIN(BH$4:BH$14)),(MAX(BH$4:BH$14)-BH12)/(MAX(BH$4:BH$14)-MIN(BH$4:BH$14))),"")</f>
        <v/>
      </c>
      <c r="CM12" s="155" t="str">
        <f>IF(ISNUMBER(BI12),IF(CM$2="x",(BI12-MIN(BI$4:BI$14))/(MAX(BI$4:BI$14)-MIN(BI$4:BI$14)),(MAX(BI$4:BI$14)-BI12)/(MAX(BI$4:BI$14)-MIN(BI$4:BI$14))),"")</f>
        <v/>
      </c>
      <c r="CN12" s="155" t="str">
        <f>IF(ISNUMBER(BJ12),IF(CN$2="x",(BJ12-MIN(BJ$4:BJ$14))/(MAX(BJ$4:BJ$14)-MIN(BJ$4:BJ$14)),(MAX(BJ$4:BJ$14)-BJ12)/(MAX(BJ$4:BJ$14)-MIN(BJ$4:BJ$14))),"")</f>
        <v/>
      </c>
      <c r="CO12" s="155" t="str">
        <f>IF(ISNUMBER(BK12),IF(CO$2="x",(BK12-MIN(BK$4:BK$14))/(MAX(BK$4:BK$14)-MIN(BK$4:BK$14)),(MAX(BK$4:BK$14)-BK12)/(MAX(BK$4:BK$14)-MIN(BK$4:BK$14))),"")</f>
        <v/>
      </c>
      <c r="CP12" s="155" t="str">
        <f>IF(ISNUMBER(BL12),IF(CP$2="x",(BL12-MIN(BL$4:BL$14))/(MAX(BL$4:BL$14)-MIN(BL$4:BL$14)),(MAX(BL$4:BL$14)-BL12)/(MAX(BL$4:BL$14)-MIN(BL$4:BL$14))),"")</f>
        <v/>
      </c>
      <c r="CQ12" s="155" t="str">
        <f>IF(ISNUMBER(BM12),IF(CQ$2="x",(BM12-MIN(BM$4:BM$14))/(MAX(BM$4:BM$14)-MIN(BM$4:BM$14)),(MAX(BM$4:BM$14)-BM12)/(MAX(BM$4:BM$14)-MIN(BM$4:BM$14))),"")</f>
        <v/>
      </c>
      <c r="CR12" s="155" t="str">
        <f>IF(ISNUMBER(BN12),IF(CR$2="x",(BN12-MIN(BN$4:BN$14))/(MAX(BN$4:BN$14)-MIN(BN$4:BN$14)),(MAX(BN$4:BN$14)-BN12)/(MAX(BN$4:BN$14)-MIN(BN$4:BN$14))),"")</f>
        <v/>
      </c>
      <c r="CS12" s="155" t="str">
        <f>IF(ISNUMBER(BO12),IF(CS$2="x",(BO12-MIN(BO$4:BO$14))/(MAX(BO$4:BO$14)-MIN(BO$4:BO$14)),(MAX(BO$4:BO$14)-BO12)/(MAX(BO$4:BO$14)-MIN(BO$4:BO$14))),"")</f>
        <v/>
      </c>
      <c r="CT12" s="155" t="str">
        <f>IF(ISNUMBER(BP12),IF(CT$2="x",(BP12-MIN(BP$4:BP$14))/(MAX(BP$4:BP$14)-MIN(BP$4:BP$14)),(MAX(BP$4:BP$14)-BP12)/(MAX(BP$4:BP$14)-MIN(BP$4:BP$14))),"")</f>
        <v/>
      </c>
      <c r="CU12" s="155" t="str">
        <f>IF(ISNUMBER(BQ12),IF(CU$2="x",(BQ12-MIN(BQ$4:BQ$14))/(MAX(BQ$4:BQ$14)-MIN(BQ$4:BQ$14)),(MAX(BQ$4:BQ$14)-BQ12)/(MAX(BQ$4:BQ$14)-MIN(BQ$4:BQ$14))),"")</f>
        <v/>
      </c>
      <c r="CV12" s="155">
        <f t="shared" si="1"/>
        <v>0.67290670530220831</v>
      </c>
      <c r="CW12" s="155" t="str">
        <f t="shared" si="1"/>
        <v/>
      </c>
      <c r="CX12" s="155" t="str">
        <f t="shared" si="1"/>
        <v/>
      </c>
      <c r="CY12" s="155" t="str">
        <f t="shared" si="1"/>
        <v/>
      </c>
      <c r="CZ12" s="155" t="str">
        <f t="shared" si="1"/>
        <v/>
      </c>
    </row>
    <row r="13" spans="1:104" x14ac:dyDescent="0.3">
      <c r="A13" t="s">
        <v>308</v>
      </c>
      <c r="C13" s="28">
        <v>3382</v>
      </c>
      <c r="D13" s="83">
        <v>0.63871576959395659</v>
      </c>
      <c r="E13" s="76">
        <v>3308</v>
      </c>
      <c r="F13" s="83">
        <v>0.62474032105760147</v>
      </c>
      <c r="G13" s="76">
        <v>74</v>
      </c>
      <c r="H13" s="83">
        <v>1.3975448536355052E-2</v>
      </c>
      <c r="I13" s="76">
        <v>141</v>
      </c>
      <c r="J13" s="83">
        <v>2.6628895184135977E-2</v>
      </c>
      <c r="K13" s="76">
        <v>1772</v>
      </c>
      <c r="L13" s="84">
        <v>0.33465533522190744</v>
      </c>
      <c r="M13" s="28"/>
      <c r="N13" s="76"/>
      <c r="O13" s="76"/>
      <c r="P13" s="76"/>
      <c r="Q13" s="76"/>
      <c r="R13" s="76"/>
      <c r="S13" s="76"/>
      <c r="T13" s="76"/>
      <c r="U13" s="76"/>
      <c r="V13" s="30"/>
      <c r="W13" s="28"/>
      <c r="X13" s="83"/>
      <c r="Y13" s="76"/>
      <c r="Z13" s="83"/>
      <c r="AA13" s="76"/>
      <c r="AB13" s="83"/>
      <c r="AC13" s="76"/>
      <c r="AD13" s="83"/>
      <c r="AE13" s="76"/>
      <c r="AF13" s="84"/>
      <c r="AG13">
        <v>775739</v>
      </c>
      <c r="AH13">
        <f>62.37%*48</f>
        <v>29.937599999999996</v>
      </c>
      <c r="AI13">
        <v>9.8800000000000008</v>
      </c>
      <c r="AJ13" s="68">
        <v>2.2499999999999996E-2</v>
      </c>
      <c r="AR13" s="28" t="s">
        <v>93</v>
      </c>
      <c r="AS13" s="88">
        <v>0.952407932011331</v>
      </c>
      <c r="AT13" s="83">
        <v>0.84551463644948066</v>
      </c>
      <c r="AU13" s="83">
        <v>0.1068932955618508</v>
      </c>
      <c r="AV13" s="83">
        <v>1.0387157695939566E-2</v>
      </c>
      <c r="AW13" s="84">
        <v>3.7204910292728988E-2</v>
      </c>
      <c r="AX13" s="88">
        <v>0.97544853635505191</v>
      </c>
      <c r="AY13" s="83">
        <v>0.86156751652502361</v>
      </c>
      <c r="AZ13" s="83">
        <v>0.11388101983002832</v>
      </c>
      <c r="BA13" s="83">
        <v>7.3654390934844195E-3</v>
      </c>
      <c r="BB13" s="84">
        <v>1.7186024551463643E-2</v>
      </c>
      <c r="BC13" s="83">
        <v>0.97828139754485399</v>
      </c>
      <c r="BD13" s="83">
        <v>0.8475920679886686</v>
      </c>
      <c r="BE13" s="83">
        <v>0.13068932955618509</v>
      </c>
      <c r="BF13" s="83">
        <v>6.987724268177526E-3</v>
      </c>
      <c r="BG13" s="84">
        <v>1.4730878186968839E-2</v>
      </c>
      <c r="BH13" s="83">
        <v>0.97299999999999998</v>
      </c>
      <c r="BI13" s="83">
        <v>0.95299999999999996</v>
      </c>
      <c r="BJ13" s="83">
        <v>0.02</v>
      </c>
      <c r="BK13" s="83">
        <v>7.0000000000000001E-3</v>
      </c>
      <c r="BL13" s="83">
        <v>0.02</v>
      </c>
      <c r="BM13" s="320">
        <v>0.97299999999999998</v>
      </c>
      <c r="BN13" s="320">
        <v>0.95299999999999996</v>
      </c>
      <c r="BO13" s="320">
        <v>0.02</v>
      </c>
      <c r="BP13" s="320">
        <v>7.0000000000000001E-3</v>
      </c>
      <c r="BQ13" s="320">
        <v>0.02</v>
      </c>
      <c r="BR13" s="320"/>
      <c r="BS13" s="320"/>
      <c r="BT13" s="320"/>
      <c r="BU13" s="320"/>
      <c r="BV13" s="320"/>
      <c r="BW13" s="155">
        <f>IF(ISNUMBER(AS13),IF(BW$2="x",(AS13-MIN(AS$4:AS$14))/(MAX(AS$4:AS$14)-MIN(AS$4:AS$14)),(MAX(AS$4:AS$14)-AS13)/(MAX(AS$4:AS$14)-MIN(AS$4:AS$14))),"")</f>
        <v>1</v>
      </c>
      <c r="BX13" s="155">
        <f>IF(ISNUMBER(AT13),IF(BX$2="x",(AT13-MIN(AT$4:AT$14))/(MAX(AT$4:AT$14)-MIN(AT$4:AT$14)),(MAX(AT$4:AT$14)-AT13)/(MAX(AT$4:AT$14)-MIN(AT$4:AT$14))),"")</f>
        <v>1</v>
      </c>
      <c r="BY13" s="155">
        <f>IF(ISNUMBER(AU13),IF(BY$2="x",(AU13-MIN(AU$4:AU$14))/(MAX(AU$4:AU$14)-MIN(AU$4:AU$14)),(MAX(AU$4:AU$14)-AU13)/(MAX(AU$4:AU$14)-MIN(AU$4:AU$14))),"")</f>
        <v>0.80158730158730163</v>
      </c>
      <c r="BZ13" s="155">
        <f>IF(ISNUMBER(AV13),IF(BZ$2="x",(AV13-MIN(AV$4:AV$14))/(MAX(AV$4:AV$14)-MIN(AV$4:AV$14)),(MAX(AV$4:AV$14)-AV13)/(MAX(AV$4:AV$14)-MIN(AV$4:AV$14))),"")</f>
        <v>1</v>
      </c>
      <c r="CA13" s="155">
        <f>IF(ISNUMBER(AW13),IF(CA$2="x",(AW13-MIN(AW$4:AW$14))/(MAX(AW$4:AW$14)-MIN(AW$4:AW$14)),(MAX(AW$4:AW$14)-AW13)/(MAX(AW$4:AW$14)-MIN(AW$4:AW$14))),"")</f>
        <v>1</v>
      </c>
      <c r="CB13" s="155">
        <f>IF(ISNUMBER(AX13),IF(CB$2="x",(AX13-MIN(AX$4:AX$14))/(MAX(AX$4:AX$14)-MIN(AX$4:AX$14)),(MAX(AX$4:AX$14)-AX13)/(MAX(AX$4:AX$14)-MIN(AX$4:AX$14))),"")</f>
        <v>1</v>
      </c>
      <c r="CC13" s="155">
        <f>IF(ISNUMBER(AY13),IF(CC$2="x",(AY13-MIN(AY$4:AY$14))/(MAX(AY$4:AY$14)-MIN(AY$4:AY$14)),(MAX(AY$4:AY$14)-AY13)/(MAX(AY$4:AY$14)-MIN(AY$4:AY$14))),"")</f>
        <v>0.90674394099051625</v>
      </c>
      <c r="CD13" s="155">
        <f>IF(ISNUMBER(AZ13),IF(CD$2="x",(AZ13-MIN(AZ$4:AZ$14))/(MAX(AZ$4:AZ$14)-MIN(AZ$4:AZ$14)),(MAX(AZ$4:AZ$14)-AZ13)/(MAX(AZ$4:AZ$14)-MIN(AZ$4:AZ$14))),"")</f>
        <v>0.86005025125628143</v>
      </c>
      <c r="CE13" s="155">
        <f>IF(ISNUMBER(BA13),IF(CE$2="x",(BA13-MIN(BA$4:BA$14))/(MAX(BA$4:BA$14)-MIN(BA$4:BA$14)),(MAX(BA$4:BA$14)-BA13)/(MAX(BA$4:BA$14)-MIN(BA$4:BA$14))),"")</f>
        <v>1</v>
      </c>
      <c r="CF13" s="155">
        <f>IF(ISNUMBER(BB13),IF(CF$2="x",(BB13-MIN(BB$4:BB$14))/(MAX(BB$4:BB$14)-MIN(BB$4:BB$14)),(MAX(BB$4:BB$14)-BB13)/(MAX(BB$4:BB$14)-MIN(BB$4:BB$14))),"")</f>
        <v>1</v>
      </c>
      <c r="CG13" s="155">
        <f>IF(ISNUMBER(BC13),IF(CG$2="x",(BC13-MIN(BC$4:BC$14))/(MAX(BC$4:BC$14)-MIN(BC$4:BC$14)),(MAX(BC$4:BC$14)-BC13)/(MAX(BC$4:BC$14)-MIN(BC$4:BC$14))),"")</f>
        <v>0.99328670915958595</v>
      </c>
      <c r="CH13" s="155">
        <f>IF(ISNUMBER(BD13),IF(CH$2="x",(BD13-MIN(BD$4:BD$14))/(MAX(BD$4:BD$14)-MIN(BD$4:BD$14)),(MAX(BD$4:BD$14)-BD13)/(MAX(BD$4:BD$14)-MIN(BD$4:BD$14))),"")</f>
        <v>0.87627673005264284</v>
      </c>
      <c r="CI13" s="155">
        <f>IF(ISNUMBER(BE13),IF(CI$2="x",(BE13-MIN(BE$4:BE$14))/(MAX(BE$4:BE$14)-MIN(BE$4:BE$14)),(MAX(BE$4:BE$14)-BE13)/(MAX(BE$4:BE$14)-MIN(BE$4:BE$14))),"")</f>
        <v>0.84836260085429516</v>
      </c>
      <c r="CJ13" s="155">
        <f>IF(ISNUMBER(BF13),IF(CJ$2="x",(BF13-MIN(BF$4:BF$14))/(MAX(BF$4:BF$14)-MIN(BF$4:BF$14)),(MAX(BF$4:BF$14)-BF13)/(MAX(BF$4:BF$14)-MIN(BF$4:BF$14))),"")</f>
        <v>0.96188879982511111</v>
      </c>
      <c r="CK13" s="155">
        <f>IF(ISNUMBER(BG13),IF(CK$2="x",(BG13-MIN(BG$4:BG$14))/(MAX(BG$4:BG$14)-MIN(BG$4:BG$14)),(MAX(BG$4:BG$14)-BG13)/(MAX(BG$4:BG$14)-MIN(BG$4:BG$14))),"")</f>
        <v>0.99697984220260816</v>
      </c>
      <c r="CL13" s="155">
        <f>IF(ISNUMBER(BH13),IF(CL$2="x",(BH13-MIN(BH$4:BH$14))/(MAX(BH$4:BH$14)-MIN(BH$4:BH$14)),(MAX(BH$4:BH$14)-BH13)/(MAX(BH$4:BH$14)-MIN(BH$4:BH$14))),"")</f>
        <v>0.98709677419354835</v>
      </c>
      <c r="CM13" s="155">
        <f>IF(ISNUMBER(BI13),IF(CM$2="x",(BI13-MIN(BI$4:BI$14))/(MAX(BI$4:BI$14)-MIN(BI$4:BI$14)),(MAX(BI$4:BI$14)-BI13)/(MAX(BI$4:BI$14)-MIN(BI$4:BI$14))),"")</f>
        <v>0.97666666666666668</v>
      </c>
      <c r="CN13" s="155">
        <f>IF(ISNUMBER(BJ13),IF(CN$2="x",(BJ13-MIN(BJ$4:BJ$14))/(MAX(BJ$4:BJ$14)-MIN(BJ$4:BJ$14)),(MAX(BJ$4:BJ$14)-BJ13)/(MAX(BJ$4:BJ$14)-MIN(BJ$4:BJ$14))),"")</f>
        <v>0.90225563909774442</v>
      </c>
      <c r="CO13" s="155">
        <f>IF(ISNUMBER(BK13),IF(CO$2="x",(BK13-MIN(BK$4:BK$14))/(MAX(BK$4:BK$14)-MIN(BK$4:BK$14)),(MAX(BK$4:BK$14)-BK13)/(MAX(BK$4:BK$14)-MIN(BK$4:BK$14))),"")</f>
        <v>0.96</v>
      </c>
      <c r="CP13" s="155">
        <f>IF(ISNUMBER(BL13),IF(CP$2="x",(BL13-MIN(BL$4:BL$14))/(MAX(BL$4:BL$14)-MIN(BL$4:BL$14)),(MAX(BL$4:BL$14)-BL13)/(MAX(BL$4:BL$14)-MIN(BL$4:BL$14))),"")</f>
        <v>0.98338870431893688</v>
      </c>
      <c r="CQ13" s="155">
        <f>IF(ISNUMBER(BM13),IF(CQ$2="x",(BM13-MIN(BM$4:BM$14))/(MAX(BM$4:BM$14)-MIN(BM$4:BM$14)),(MAX(BM$4:BM$14)-BM13)/(MAX(BM$4:BM$14)-MIN(BM$4:BM$14))),"")</f>
        <v>0.99029126213592233</v>
      </c>
      <c r="CR13" s="155">
        <f>IF(ISNUMBER(BN13),IF(CR$2="x",(BN13-MIN(BN$4:BN$14))/(MAX(BN$4:BN$14)-MIN(BN$4:BN$14)),(MAX(BN$4:BN$14)-BN13)/(MAX(BN$4:BN$14)-MIN(BN$4:BN$14))),"")</f>
        <v>0.97666666666666668</v>
      </c>
      <c r="CS13" s="155">
        <f>IF(ISNUMBER(BO13),IF(CS$2="x",(BO13-MIN(BO$4:BO$14))/(MAX(BO$4:BO$14)-MIN(BO$4:BO$14)),(MAX(BO$4:BO$14)-BO13)/(MAX(BO$4:BO$14)-MIN(BO$4:BO$14))),"")</f>
        <v>0.88181818181818183</v>
      </c>
      <c r="CT13" s="155">
        <f>IF(ISNUMBER(BP13),IF(CT$2="x",(BP13-MIN(BP$4:BP$14))/(MAX(BP$4:BP$14)-MIN(BP$4:BP$14)),(MAX(BP$4:BP$14)-BP13)/(MAX(BP$4:BP$14)-MIN(BP$4:BP$14))),"")</f>
        <v>0.96</v>
      </c>
      <c r="CU13" s="155">
        <f>IF(ISNUMBER(BQ13),IF(CU$2="x",(BQ13-MIN(BQ$4:BQ$14))/(MAX(BQ$4:BQ$14)-MIN(BQ$4:BQ$14)),(MAX(BQ$4:BQ$14)-BQ13)/(MAX(BQ$4:BQ$14)-MIN(BQ$4:BQ$14))),"")</f>
        <v>0.98666666666666669</v>
      </c>
      <c r="CV13" s="155">
        <f t="shared" si="1"/>
        <v>0.96031746031746024</v>
      </c>
      <c r="CW13" s="155">
        <f t="shared" si="1"/>
        <v>0.95335883844935942</v>
      </c>
      <c r="CX13" s="155">
        <f t="shared" si="1"/>
        <v>0.93535893641884871</v>
      </c>
      <c r="CY13" s="155">
        <f t="shared" si="1"/>
        <v>0.96188155685537924</v>
      </c>
      <c r="CZ13" s="155">
        <f t="shared" si="1"/>
        <v>0.9590885554574875</v>
      </c>
    </row>
    <row r="14" spans="1:104" x14ac:dyDescent="0.3">
      <c r="A14" t="s">
        <v>384</v>
      </c>
      <c r="C14" s="28">
        <v>3696</v>
      </c>
      <c r="D14" s="83">
        <v>0.69801699716713883</v>
      </c>
      <c r="E14" s="76">
        <v>3579</v>
      </c>
      <c r="F14" s="83">
        <v>0.67592067988668558</v>
      </c>
      <c r="G14" s="76">
        <v>117</v>
      </c>
      <c r="H14" s="83">
        <v>2.2096317280453259E-2</v>
      </c>
      <c r="I14" s="76">
        <v>104</v>
      </c>
      <c r="J14" s="83">
        <v>1.9641170915958451E-2</v>
      </c>
      <c r="K14" s="76">
        <v>1495</v>
      </c>
      <c r="L14" s="84">
        <v>0.28234183191690276</v>
      </c>
      <c r="M14" s="28"/>
      <c r="N14" s="76"/>
      <c r="O14" s="76"/>
      <c r="P14" s="76"/>
      <c r="Q14" s="76"/>
      <c r="R14" s="76"/>
      <c r="S14" s="76"/>
      <c r="T14" s="76"/>
      <c r="U14" s="76"/>
      <c r="V14" s="30"/>
      <c r="W14" s="28"/>
      <c r="X14" s="83"/>
      <c r="Y14" s="76"/>
      <c r="Z14" s="83"/>
      <c r="AA14" s="76"/>
      <c r="AB14" s="83"/>
      <c r="AC14" s="76"/>
      <c r="AD14" s="83"/>
      <c r="AE14" s="76"/>
      <c r="AF14" s="84"/>
      <c r="AG14">
        <v>775738</v>
      </c>
      <c r="AH14">
        <f>64.29%*48</f>
        <v>30.859200000000001</v>
      </c>
      <c r="AI14">
        <v>15.32</v>
      </c>
      <c r="AJ14" s="68">
        <v>4.1863425925925929E-2</v>
      </c>
      <c r="AR14" s="20" t="s">
        <v>92</v>
      </c>
      <c r="AS14" s="89">
        <v>0.70047214353163356</v>
      </c>
      <c r="AT14" s="85">
        <v>0.69745042492917853</v>
      </c>
      <c r="AU14" s="85">
        <v>3.0217186024551462E-3</v>
      </c>
      <c r="AV14" s="85">
        <v>3.7960339943342775E-2</v>
      </c>
      <c r="AW14" s="86">
        <v>0.26156751652502358</v>
      </c>
      <c r="AX14" s="89">
        <v>0.83078375826251183</v>
      </c>
      <c r="AY14" s="85">
        <v>0.82209631728045329</v>
      </c>
      <c r="AZ14" s="85">
        <v>8.687440982058545E-3</v>
      </c>
      <c r="BA14" s="85">
        <v>3.474976392823418E-2</v>
      </c>
      <c r="BB14" s="86">
        <v>0.13446647780925403</v>
      </c>
      <c r="BC14" s="85">
        <v>0.85533522190745992</v>
      </c>
      <c r="BD14" s="85">
        <v>0.84532577903682715</v>
      </c>
      <c r="BE14" s="85">
        <v>1.0009442870632672E-2</v>
      </c>
      <c r="BF14" s="85">
        <v>3.1916902738432486E-2</v>
      </c>
      <c r="BG14" s="86">
        <v>0.11274787535410764</v>
      </c>
      <c r="BH14" s="83">
        <v>0.81100000000000005</v>
      </c>
      <c r="BI14" s="83">
        <v>0.80400000000000005</v>
      </c>
      <c r="BJ14" s="83">
        <v>7.0000000000000001E-3</v>
      </c>
      <c r="BK14" s="83">
        <v>3.1E-2</v>
      </c>
      <c r="BL14" s="83">
        <v>0.158</v>
      </c>
      <c r="BM14" s="320">
        <v>0.81100000000000005</v>
      </c>
      <c r="BN14" s="320">
        <v>0.80400000000000005</v>
      </c>
      <c r="BO14" s="320">
        <v>7.0000000000000001E-3</v>
      </c>
      <c r="BP14" s="320">
        <v>3.1E-2</v>
      </c>
      <c r="BQ14" s="320">
        <v>0.158</v>
      </c>
      <c r="BR14" s="320"/>
      <c r="BS14" s="320"/>
      <c r="BT14" s="320"/>
      <c r="BU14" s="320"/>
      <c r="BV14" s="320"/>
      <c r="BW14" s="155">
        <f>IF(ISNUMBER(AS14),IF(BW$2="x",(AS14-MIN(AS$4:AS$14))/(MAX(AS$4:AS$14)-MIN(AS$4:AS$14)),(MAX(AS$4:AS$14)-AS14)/(MAX(AS$4:AS$14)-MIN(AS$4:AS$14))),"")</f>
        <v>9.651076466220954E-3</v>
      </c>
      <c r="BX14" s="155">
        <f>IF(ISNUMBER(AT14),IF(BX$2="x",(AT14-MIN(AT$4:AT$14))/(MAX(AT$4:AT$14)-MIN(AT$4:AT$14)),(MAX(AT$4:AT$14)-AT14)/(MAX(AT$4:AT$14)-MIN(AT$4:AT$14))),"")</f>
        <v>0.68168899715793752</v>
      </c>
      <c r="BY14" s="155">
        <f>IF(ISNUMBER(AU14),IF(BY$2="x",(AU14-MIN(AU$4:AU$14))/(MAX(AU$4:AU$14)-MIN(AU$4:AU$14)),(MAX(AU$4:AU$14)-AU14)/(MAX(AU$4:AU$14)-MIN(AU$4:AU$14))),"")</f>
        <v>1</v>
      </c>
      <c r="BZ14" s="155">
        <f>IF(ISNUMBER(AV14),IF(BZ$2="x",(AV14-MIN(AV$4:AV$14))/(MAX(AV$4:AV$14)-MIN(AV$4:AV$14)),(MAX(AV$4:AV$14)-AV14)/(MAX(AV$4:AV$14)-MIN(AV$4:AV$14))),"")</f>
        <v>0.3787234042553192</v>
      </c>
      <c r="CA14" s="155">
        <f>IF(ISNUMBER(AW14),IF(CA$2="x",(AW14-MIN(AW$4:AW$14))/(MAX(AW$4:AW$14)-MIN(AW$4:AW$14)),(MAX(AW$4:AW$14)-AW14)/(MAX(AW$4:AW$14)-MIN(AW$4:AW$14))),"")</f>
        <v>8.4745762711864611E-2</v>
      </c>
      <c r="CB14" s="155">
        <f>IF(ISNUMBER(AX14),IF(CB$2="x",(AX14-MIN(AX$4:AX$14))/(MAX(AX$4:AX$14)-MIN(AX$4:AX$14)),(MAX(AX$4:AX$14)-AX14)/(MAX(AX$4:AX$14)-MIN(AX$4:AX$14))),"")</f>
        <v>0.46706370188962815</v>
      </c>
      <c r="CC14" s="155">
        <f>IF(ISNUMBER(AY14),IF(CC$2="x",(AY14-MIN(AY$4:AY$14))/(MAX(AY$4:AY$14)-MIN(AY$4:AY$14)),(MAX(AY$4:AY$14)-AY14)/(MAX(AY$4:AY$14)-MIN(AY$4:AY$14))),"")</f>
        <v>0.85168598524762906</v>
      </c>
      <c r="CD14" s="155">
        <f>IF(ISNUMBER(AZ14),IF(CD$2="x",(AZ14-MIN(AZ$4:AZ$14))/(MAX(AZ$4:AZ$14)-MIN(AZ$4:AZ$14)),(MAX(AZ$4:AZ$14)-AZ14)/(MAX(AZ$4:AZ$14)-MIN(AZ$4:AZ$14))),"")</f>
        <v>1</v>
      </c>
      <c r="CE14" s="155">
        <f>IF(ISNUMBER(BA14),IF(CE$2="x",(BA14-MIN(BA$4:BA$14))/(MAX(BA$4:BA$14)-MIN(BA$4:BA$14)),(MAX(BA$4:BA$14)-BA14)/(MAX(BA$4:BA$14)-MIN(BA$4:BA$14))),"")</f>
        <v>0</v>
      </c>
      <c r="CF14" s="155">
        <f>IF(ISNUMBER(BB14),IF(CF$2="x",(BB14-MIN(BB$4:BB$14))/(MAX(BB$4:BB$14)-MIN(BB$4:BB$14)),(MAX(BB$4:BB$14)-BB14)/(MAX(BB$4:BB$14)-MIN(BB$4:BB$14))),"")</f>
        <v>0.54859836521372518</v>
      </c>
      <c r="CG14" s="155">
        <f>IF(ISNUMBER(BC14),IF(CG$2="x",(BC14-MIN(BC$4:BC$14))/(MAX(BC$4:BC$14)-MIN(BC$4:BC$14)),(MAX(BC$4:BC$14)-BC14)/(MAX(BC$4:BC$14)-MIN(BC$4:BC$14))),"")</f>
        <v>0.51302821057601544</v>
      </c>
      <c r="CH14" s="155">
        <f>IF(ISNUMBER(BD14),IF(CH$2="x",(BD14-MIN(BD$4:BD$14))/(MAX(BD$4:BD$14)-MIN(BD$4:BD$14)),(MAX(BD$4:BD$14)-BD14)/(MAX(BD$4:BD$14)-MIN(BD$4:BD$14))),"")</f>
        <v>0.87333784778304191</v>
      </c>
      <c r="CI14" s="155">
        <f>IF(ISNUMBER(BE14),IF(CI$2="x",(BE14-MIN(BE$4:BE$14))/(MAX(BE$4:BE$14)-MIN(BE$4:BE$14)),(MAX(BE$4:BE$14)-BE14)/(MAX(BE$4:BE$14)-MIN(BE$4:BE$14))),"")</f>
        <v>1</v>
      </c>
      <c r="CJ14" s="155">
        <f>IF(ISNUMBER(BF14),IF(CJ$2="x",(BF14-MIN(BF$4:BF$14))/(MAX(BF$4:BF$14)-MIN(BF$4:BF$14)),(MAX(BF$4:BF$14)-BF14)/(MAX(BF$4:BF$14)-MIN(BF$4:BF$14))),"")</f>
        <v>0</v>
      </c>
      <c r="CK14" s="155">
        <f>IF(ISNUMBER(BG14),IF(CK$2="x",(BG14-MIN(BG$4:BG$14))/(MAX(BG$4:BG$14)-MIN(BG$4:BG$14)),(MAX(BG$4:BG$14)-BG14)/(MAX(BG$4:BG$14)-MIN(BG$4:BG$14))),"")</f>
        <v>0.59195092828881146</v>
      </c>
      <c r="CL14" s="155">
        <f>IF(ISNUMBER(BH14),IF(CL$2="x",(BH14-MIN(BH$4:BH$14))/(MAX(BH$4:BH$14)-MIN(BH$4:BH$14)),(MAX(BH$4:BH$14)-BH14)/(MAX(BH$4:BH$14)-MIN(BH$4:BH$14))),"")</f>
        <v>0.4645161290322582</v>
      </c>
      <c r="CM14" s="155">
        <f>IF(ISNUMBER(BI14),IF(CM$2="x",(BI14-MIN(BI$4:BI$14))/(MAX(BI$4:BI$14)-MIN(BI$4:BI$14)),(MAX(BI$4:BI$14)-BI14)/(MAX(BI$4:BI$14)-MIN(BI$4:BI$14))),"")</f>
        <v>0.48000000000000015</v>
      </c>
      <c r="CN14" s="155">
        <f>IF(ISNUMBER(BJ14),IF(CN$2="x",(BJ14-MIN(BJ$4:BJ$14))/(MAX(BJ$4:BJ$14)-MIN(BJ$4:BJ$14)),(MAX(BJ$4:BJ$14)-BJ14)/(MAX(BJ$4:BJ$14)-MIN(BJ$4:BJ$14))),"")</f>
        <v>1</v>
      </c>
      <c r="CO14" s="155">
        <f>IF(ISNUMBER(BK14),IF(CO$2="x",(BK14-MIN(BK$4:BK$14))/(MAX(BK$4:BK$14)-MIN(BK$4:BK$14)),(MAX(BK$4:BK$14)-BK14)/(MAX(BK$4:BK$14)-MIN(BK$4:BK$14))),"")</f>
        <v>0</v>
      </c>
      <c r="CP14" s="155">
        <f>IF(ISNUMBER(BL14),IF(CP$2="x",(BL14-MIN(BL$4:BL$14))/(MAX(BL$4:BL$14)-MIN(BL$4:BL$14)),(MAX(BL$4:BL$14)-BL14)/(MAX(BL$4:BL$14)-MIN(BL$4:BL$14))),"")</f>
        <v>0.52491694352159468</v>
      </c>
      <c r="CQ14" s="155">
        <f>IF(ISNUMBER(BM14),IF(CQ$2="x",(BM14-MIN(BM$4:BM$14))/(MAX(BM$4:BM$14)-MIN(BM$4:BM$14)),(MAX(BM$4:BM$14)-BM14)/(MAX(BM$4:BM$14)-MIN(BM$4:BM$14))),"")</f>
        <v>0.46601941747572828</v>
      </c>
      <c r="CR14" s="155">
        <f>IF(ISNUMBER(BN14),IF(CR$2="x",(BN14-MIN(BN$4:BN$14))/(MAX(BN$4:BN$14)-MIN(BN$4:BN$14)),(MAX(BN$4:BN$14)-BN14)/(MAX(BN$4:BN$14)-MIN(BN$4:BN$14))),"")</f>
        <v>0.48000000000000015</v>
      </c>
      <c r="CS14" s="155">
        <f>IF(ISNUMBER(BO14),IF(CS$2="x",(BO14-MIN(BO$4:BO$14))/(MAX(BO$4:BO$14)-MIN(BO$4:BO$14)),(MAX(BO$4:BO$14)-BO14)/(MAX(BO$4:BO$14)-MIN(BO$4:BO$14))),"")</f>
        <v>1</v>
      </c>
      <c r="CT14" s="155">
        <f>IF(ISNUMBER(BP14),IF(CT$2="x",(BP14-MIN(BP$4:BP$14))/(MAX(BP$4:BP$14)-MIN(BP$4:BP$14)),(MAX(BP$4:BP$14)-BP14)/(MAX(BP$4:BP$14)-MIN(BP$4:BP$14))),"")</f>
        <v>0</v>
      </c>
      <c r="CU14" s="155">
        <f>IF(ISNUMBER(BQ14),IF(CU$2="x",(BQ14-MIN(BQ$4:BQ$14))/(MAX(BQ$4:BQ$14)-MIN(BQ$4:BQ$14)),(MAX(BQ$4:BQ$14)-BQ14)/(MAX(BQ$4:BQ$14)-MIN(BQ$4:BQ$14))),"")</f>
        <v>0.52666666666666673</v>
      </c>
      <c r="CV14" s="155">
        <f t="shared" si="1"/>
        <v>0.43096184811826854</v>
      </c>
      <c r="CW14" s="155">
        <f t="shared" si="1"/>
        <v>0.57346961047019651</v>
      </c>
      <c r="CX14" s="155">
        <f t="shared" si="1"/>
        <v>0.59566339732957374</v>
      </c>
      <c r="CY14" s="155">
        <f t="shared" si="1"/>
        <v>0.49388661451077065</v>
      </c>
      <c r="CZ14" s="155">
        <f t="shared" si="1"/>
        <v>0.49453721682847906</v>
      </c>
    </row>
    <row r="15" spans="1:104" x14ac:dyDescent="0.3">
      <c r="C15" s="28"/>
      <c r="D15" s="83"/>
      <c r="E15" s="76"/>
      <c r="F15" s="83"/>
      <c r="G15" s="76"/>
      <c r="H15" s="83"/>
      <c r="I15" s="76"/>
      <c r="J15" s="83"/>
      <c r="K15" s="76"/>
      <c r="L15" s="84"/>
      <c r="M15" s="28"/>
      <c r="N15" s="76"/>
      <c r="O15" s="76"/>
      <c r="P15" s="76"/>
      <c r="Q15" s="76"/>
      <c r="R15" s="76"/>
      <c r="S15" s="76"/>
      <c r="T15" s="76"/>
      <c r="U15" s="76"/>
      <c r="V15" s="30"/>
      <c r="W15" s="28"/>
      <c r="X15" s="83"/>
      <c r="Y15" s="76"/>
      <c r="Z15" s="83"/>
      <c r="AA15" s="76"/>
      <c r="AB15" s="83"/>
      <c r="AC15" s="76"/>
      <c r="AD15" s="83"/>
      <c r="AE15" s="76"/>
      <c r="AF15" s="84"/>
      <c r="AJ15" s="68"/>
      <c r="AR15" t="s">
        <v>1140</v>
      </c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>
        <v>0.98799999999999999</v>
      </c>
      <c r="BN15" s="83">
        <v>0.96899999999999997</v>
      </c>
      <c r="BO15" s="83">
        <v>1.9E-2</v>
      </c>
      <c r="BP15" s="83">
        <v>4.0000000000000001E-3</v>
      </c>
      <c r="BQ15" s="83">
        <v>8.0000000000000002E-3</v>
      </c>
      <c r="BR15" s="83"/>
      <c r="BS15" s="83"/>
      <c r="BT15" s="83"/>
      <c r="BU15" s="83"/>
      <c r="BV15" s="83"/>
      <c r="BW15" s="155"/>
      <c r="BX15" s="155"/>
      <c r="BY15" s="155"/>
      <c r="BZ15" s="155"/>
      <c r="CA15" s="155"/>
      <c r="CB15" s="155"/>
      <c r="CC15" s="155"/>
      <c r="CD15" s="155"/>
      <c r="CE15" s="155"/>
      <c r="CF15" s="155"/>
      <c r="CG15" s="155"/>
      <c r="CH15" s="155"/>
      <c r="CI15" s="155"/>
      <c r="CJ15" s="155"/>
      <c r="CK15" s="155"/>
      <c r="CL15" s="155"/>
      <c r="CM15" s="155"/>
      <c r="CN15" s="155"/>
      <c r="CO15" s="155"/>
      <c r="CP15" s="155"/>
      <c r="CQ15" s="155">
        <f>IF(ISNUMBER(BM15),IF(CQ$2="x",(BM15-MIN(BM$4:BM$14))/(MAX(BM$4:BM$14)-MIN(BM$4:BM$14)),(MAX(BM$4:BM$14)-BM15)/(MAX(BM$4:BM$14)-MIN(BM$4:BM$14))),"")</f>
        <v>1.0388349514563107</v>
      </c>
      <c r="CR15" s="155">
        <f>IF(ISNUMBER(BN15),IF(CR$2="x",(BN15-MIN(BN$4:BN$14))/(MAX(BN$4:BN$14)-MIN(BN$4:BN$14)),(MAX(BN$4:BN$14)-BN15)/(MAX(BN$4:BN$14)-MIN(BN$4:BN$14))),"")</f>
        <v>1.03</v>
      </c>
      <c r="CS15" s="155">
        <f>IF(ISNUMBER(BO15),IF(CS$2="x",(BO15-MIN(BO$4:BO$14))/(MAX(BO$4:BO$14)-MIN(BO$4:BO$14)),(MAX(BO$4:BO$14)-BO15)/(MAX(BO$4:BO$14)-MIN(BO$4:BO$14))),"")</f>
        <v>0.89090909090909098</v>
      </c>
      <c r="CT15" s="155">
        <f>IF(ISNUMBER(BP15),IF(CT$2="x",(BP15-MIN(BP$4:BP$14))/(MAX(BP$4:BP$14)-MIN(BP$4:BP$14)),(MAX(BP$4:BP$14)-BP15)/(MAX(BP$4:BP$14)-MIN(BP$4:BP$14))),"")</f>
        <v>1.0799999999999998</v>
      </c>
      <c r="CU15" s="155">
        <f>IF(ISNUMBER(BQ15),IF(CU$2="x",(BQ15-MIN(BQ$4:BQ$14))/(MAX(BQ$4:BQ$14)-MIN(BQ$4:BQ$14)),(MAX(BQ$4:BQ$14)-BQ15)/(MAX(BQ$4:BQ$14)-MIN(BQ$4:BQ$14))),"")</f>
        <v>1.0266666666666666</v>
      </c>
      <c r="CV15" s="155"/>
      <c r="CW15" s="155"/>
      <c r="CX15" s="155"/>
      <c r="CY15" s="155"/>
      <c r="CZ15" s="155"/>
    </row>
    <row r="16" spans="1:104" x14ac:dyDescent="0.3">
      <c r="C16" s="28"/>
      <c r="D16" s="83"/>
      <c r="E16" s="76"/>
      <c r="F16" s="83"/>
      <c r="G16" s="76"/>
      <c r="H16" s="83"/>
      <c r="I16" s="76"/>
      <c r="J16" s="83"/>
      <c r="K16" s="76"/>
      <c r="L16" s="84"/>
      <c r="M16" s="28"/>
      <c r="N16" s="76"/>
      <c r="O16" s="76"/>
      <c r="P16" s="76"/>
      <c r="Q16" s="76"/>
      <c r="R16" s="76"/>
      <c r="S16" s="76"/>
      <c r="T16" s="76"/>
      <c r="U16" s="76"/>
      <c r="V16" s="30"/>
      <c r="W16" s="28"/>
      <c r="X16" s="83"/>
      <c r="Y16" s="76"/>
      <c r="Z16" s="83"/>
      <c r="AA16" s="76"/>
      <c r="AB16" s="83"/>
      <c r="AC16" s="76"/>
      <c r="AD16" s="83"/>
      <c r="AE16" s="76"/>
      <c r="AF16" s="84"/>
      <c r="AJ16" s="68"/>
      <c r="AR16" t="s">
        <v>1141</v>
      </c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>
        <v>0.98199999999999998</v>
      </c>
      <c r="BN16" s="83">
        <v>0.96099999999999997</v>
      </c>
      <c r="BO16" s="83">
        <v>2.1000000000000001E-2</v>
      </c>
      <c r="BP16" s="83">
        <v>5.0000000000000001E-3</v>
      </c>
      <c r="BQ16" s="83">
        <v>1.2999999999999999E-2</v>
      </c>
      <c r="BR16" s="83"/>
      <c r="BS16" s="83"/>
      <c r="BT16" s="83"/>
      <c r="BU16" s="83"/>
      <c r="BV16" s="83"/>
      <c r="BW16" s="155"/>
      <c r="BX16" s="155"/>
      <c r="BY16" s="155"/>
      <c r="BZ16" s="155"/>
      <c r="CA16" s="155"/>
      <c r="CB16" s="155"/>
      <c r="CC16" s="155"/>
      <c r="CD16" s="155"/>
      <c r="CE16" s="155"/>
      <c r="CF16" s="155"/>
      <c r="CG16" s="155"/>
      <c r="CH16" s="155"/>
      <c r="CI16" s="155"/>
      <c r="CJ16" s="155"/>
      <c r="CK16" s="155"/>
      <c r="CL16" s="155"/>
      <c r="CM16" s="155"/>
      <c r="CN16" s="155"/>
      <c r="CO16" s="155"/>
      <c r="CP16" s="155"/>
      <c r="CQ16" s="155"/>
      <c r="CR16" s="155"/>
      <c r="CS16" s="155"/>
      <c r="CT16" s="155"/>
      <c r="CU16" s="155"/>
      <c r="CV16" s="155"/>
      <c r="CW16" s="155"/>
      <c r="CX16" s="155"/>
      <c r="CY16" s="155"/>
      <c r="CZ16" s="155"/>
    </row>
    <row r="17" spans="1:104" x14ac:dyDescent="0.3">
      <c r="C17" s="28"/>
      <c r="D17" s="83"/>
      <c r="E17" s="76"/>
      <c r="F17" s="83"/>
      <c r="G17" s="76"/>
      <c r="H17" s="83"/>
      <c r="I17" s="76"/>
      <c r="J17" s="83"/>
      <c r="K17" s="76"/>
      <c r="L17" s="84"/>
      <c r="M17" s="28"/>
      <c r="N17" s="76"/>
      <c r="O17" s="76"/>
      <c r="P17" s="76"/>
      <c r="Q17" s="76"/>
      <c r="R17" s="76"/>
      <c r="S17" s="76"/>
      <c r="T17" s="76"/>
      <c r="U17" s="76"/>
      <c r="V17" s="30"/>
      <c r="W17" s="28"/>
      <c r="X17" s="83"/>
      <c r="Y17" s="76"/>
      <c r="Z17" s="83"/>
      <c r="AA17" s="76"/>
      <c r="AB17" s="83"/>
      <c r="AC17" s="76"/>
      <c r="AD17" s="83"/>
      <c r="AE17" s="76"/>
      <c r="AF17" s="84"/>
      <c r="AJ17" s="68"/>
      <c r="AR17" t="s">
        <v>1142</v>
      </c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 t="s">
        <v>380</v>
      </c>
      <c r="BJ17" s="83"/>
      <c r="BK17" s="83"/>
      <c r="BL17" s="83"/>
      <c r="BM17" s="83">
        <v>0.97499999999999998</v>
      </c>
      <c r="BN17" s="83">
        <v>0.97199999999999998</v>
      </c>
      <c r="BO17" s="83">
        <v>3.0000000000000001E-3</v>
      </c>
      <c r="BP17" s="83">
        <v>8.9999999999999993E-3</v>
      </c>
      <c r="BQ17" s="83">
        <v>1.6E-2</v>
      </c>
      <c r="BR17" s="83"/>
      <c r="BS17" s="83"/>
      <c r="BT17" s="83"/>
      <c r="BU17" s="83"/>
      <c r="BV17" s="83"/>
      <c r="BW17" s="155"/>
      <c r="BX17" s="155"/>
      <c r="BY17" s="155"/>
      <c r="BZ17" s="155"/>
      <c r="CA17" s="155"/>
      <c r="CB17" s="155"/>
      <c r="CC17" s="155"/>
      <c r="CD17" s="155"/>
      <c r="CE17" s="155"/>
      <c r="CF17" s="155"/>
      <c r="CG17" s="155"/>
      <c r="CH17" s="155"/>
      <c r="CI17" s="155"/>
      <c r="CJ17" s="155"/>
      <c r="CK17" s="155"/>
      <c r="CL17" s="155"/>
      <c r="CM17" s="155"/>
      <c r="CN17" s="155"/>
      <c r="CO17" s="155"/>
      <c r="CP17" s="155"/>
      <c r="CQ17" s="155"/>
      <c r="CR17" s="155"/>
      <c r="CS17" s="155"/>
      <c r="CT17" s="155"/>
      <c r="CU17" s="155"/>
      <c r="CV17" s="155"/>
      <c r="CW17" s="155"/>
      <c r="CX17" s="155"/>
      <c r="CY17" s="155"/>
      <c r="CZ17" s="155"/>
    </row>
    <row r="18" spans="1:104" x14ac:dyDescent="0.3">
      <c r="C18" s="28"/>
      <c r="D18" s="83"/>
      <c r="E18" s="76"/>
      <c r="F18" s="83"/>
      <c r="G18" s="76"/>
      <c r="H18" s="83"/>
      <c r="I18" s="76"/>
      <c r="J18" s="83"/>
      <c r="K18" s="76"/>
      <c r="L18" s="84"/>
      <c r="M18" s="28"/>
      <c r="N18" s="76"/>
      <c r="O18" s="76"/>
      <c r="P18" s="76"/>
      <c r="Q18" s="76"/>
      <c r="R18" s="76"/>
      <c r="S18" s="76"/>
      <c r="T18" s="76"/>
      <c r="U18" s="76"/>
      <c r="V18" s="30"/>
      <c r="W18" s="28"/>
      <c r="X18" s="83"/>
      <c r="Y18" s="76"/>
      <c r="Z18" s="83"/>
      <c r="AA18" s="76"/>
      <c r="AB18" s="83"/>
      <c r="AC18" s="76"/>
      <c r="AD18" s="83"/>
      <c r="AE18" s="76"/>
      <c r="AF18" s="84"/>
      <c r="AJ18" s="68"/>
      <c r="AR18" t="s">
        <v>1143</v>
      </c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>
        <v>0.97399999999999998</v>
      </c>
      <c r="BN18" s="83">
        <v>0.83299999999999996</v>
      </c>
      <c r="BO18" s="83">
        <v>0.14099999999999999</v>
      </c>
      <c r="BP18" s="83">
        <v>6.0000000000000001E-3</v>
      </c>
      <c r="BQ18" s="83">
        <v>0.02</v>
      </c>
      <c r="BR18" s="83"/>
      <c r="BS18" s="83"/>
      <c r="BT18" s="83"/>
      <c r="BU18" s="83"/>
      <c r="BV18" s="83"/>
      <c r="BW18" s="155"/>
      <c r="BX18" s="155"/>
      <c r="BY18" s="155"/>
      <c r="BZ18" s="155"/>
      <c r="CA18" s="155"/>
      <c r="CB18" s="155"/>
      <c r="CC18" s="155"/>
      <c r="CD18" s="155"/>
      <c r="CE18" s="155"/>
      <c r="CF18" s="155"/>
      <c r="CG18" s="155"/>
      <c r="CH18" s="155"/>
      <c r="CI18" s="155"/>
      <c r="CJ18" s="155"/>
      <c r="CK18" s="155"/>
      <c r="CL18" s="155"/>
      <c r="CM18" s="155"/>
      <c r="CN18" s="155"/>
      <c r="CO18" s="155"/>
      <c r="CP18" s="155"/>
      <c r="CQ18" s="155"/>
      <c r="CR18" s="155"/>
      <c r="CS18" s="155"/>
      <c r="CT18" s="155"/>
      <c r="CU18" s="155"/>
      <c r="CV18" s="155"/>
      <c r="CW18" s="155"/>
      <c r="CX18" s="155"/>
      <c r="CY18" s="155"/>
      <c r="CZ18" s="155"/>
    </row>
    <row r="19" spans="1:104" x14ac:dyDescent="0.3">
      <c r="C19" s="28"/>
      <c r="D19" s="83"/>
      <c r="E19" s="76"/>
      <c r="F19" s="83"/>
      <c r="G19" s="76"/>
      <c r="H19" s="83"/>
      <c r="I19" s="76"/>
      <c r="J19" s="83"/>
      <c r="K19" s="76"/>
      <c r="L19" s="84"/>
      <c r="M19" s="28"/>
      <c r="N19" s="76"/>
      <c r="O19" s="76"/>
      <c r="P19" s="76"/>
      <c r="Q19" s="76"/>
      <c r="R19" s="76"/>
      <c r="S19" s="76"/>
      <c r="T19" s="76"/>
      <c r="U19" s="76"/>
      <c r="V19" s="30"/>
      <c r="W19" s="28"/>
      <c r="X19" s="83"/>
      <c r="Y19" s="76"/>
      <c r="Z19" s="83"/>
      <c r="AA19" s="76"/>
      <c r="AB19" s="83"/>
      <c r="AC19" s="76"/>
      <c r="AD19" s="83"/>
      <c r="AE19" s="76"/>
      <c r="AF19" s="84"/>
      <c r="AJ19" s="68"/>
      <c r="AR19" t="s">
        <v>1215</v>
      </c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>
        <v>0.94</v>
      </c>
      <c r="BN19" s="83">
        <v>0.91300000000000003</v>
      </c>
      <c r="BO19" s="83">
        <v>2.7E-2</v>
      </c>
      <c r="BP19" s="83">
        <v>8.9999999999999993E-3</v>
      </c>
      <c r="BQ19" s="83">
        <v>5.0999999999999997E-2</v>
      </c>
      <c r="BR19" s="83"/>
      <c r="BS19" s="83"/>
      <c r="BT19" s="83"/>
      <c r="BU19" s="83"/>
      <c r="BV19" s="83"/>
      <c r="BW19" s="155"/>
      <c r="BX19" s="155"/>
      <c r="BY19" s="155"/>
      <c r="BZ19" s="155"/>
      <c r="CA19" s="155"/>
      <c r="CB19" s="155"/>
      <c r="CC19" s="155"/>
      <c r="CD19" s="155"/>
      <c r="CE19" s="155"/>
      <c r="CF19" s="155"/>
      <c r="CG19" s="155"/>
      <c r="CH19" s="155"/>
      <c r="CI19" s="155"/>
      <c r="CJ19" s="155"/>
      <c r="CK19" s="155"/>
      <c r="CL19" s="155"/>
      <c r="CM19" s="155"/>
      <c r="CN19" s="155"/>
      <c r="CO19" s="155"/>
      <c r="CP19" s="155"/>
      <c r="CQ19" s="155"/>
      <c r="CR19" s="155"/>
      <c r="CS19" s="155"/>
      <c r="CT19" s="155"/>
      <c r="CU19" s="155"/>
      <c r="CV19" s="155"/>
      <c r="CW19" s="155"/>
      <c r="CX19" s="155"/>
      <c r="CY19" s="155"/>
      <c r="CZ19" s="155"/>
    </row>
    <row r="20" spans="1:104" x14ac:dyDescent="0.3">
      <c r="C20" s="28"/>
      <c r="D20" s="83"/>
      <c r="E20" s="76"/>
      <c r="F20" s="83"/>
      <c r="G20" s="76"/>
      <c r="H20" s="83"/>
      <c r="I20" s="76"/>
      <c r="J20" s="83"/>
      <c r="K20" s="76"/>
      <c r="L20" s="84"/>
      <c r="M20" s="28"/>
      <c r="N20" s="76"/>
      <c r="O20" s="76"/>
      <c r="P20" s="76"/>
      <c r="Q20" s="76"/>
      <c r="R20" s="76"/>
      <c r="S20" s="76"/>
      <c r="T20" s="76"/>
      <c r="U20" s="76"/>
      <c r="V20" s="30"/>
      <c r="W20" s="28"/>
      <c r="X20" s="83"/>
      <c r="Y20" s="76"/>
      <c r="Z20" s="83"/>
      <c r="AA20" s="76"/>
      <c r="AB20" s="83"/>
      <c r="AC20" s="76"/>
      <c r="AD20" s="83"/>
      <c r="AE20" s="76"/>
      <c r="AF20" s="84"/>
      <c r="AJ20" s="68"/>
      <c r="AR20" t="s">
        <v>1144</v>
      </c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>
        <v>0.95699999999999996</v>
      </c>
      <c r="BN20" s="83">
        <v>0.91100000000000003</v>
      </c>
      <c r="BO20" s="83">
        <v>4.5999999999999999E-2</v>
      </c>
      <c r="BP20" s="83">
        <v>5.0000000000000001E-3</v>
      </c>
      <c r="BQ20" s="83">
        <v>3.7999999999999999E-2</v>
      </c>
      <c r="BR20" s="83"/>
      <c r="BS20" s="83"/>
      <c r="BT20" s="83"/>
      <c r="BU20" s="83"/>
      <c r="BV20" s="83"/>
      <c r="BW20" s="155"/>
      <c r="BX20" s="155"/>
      <c r="BY20" s="155"/>
      <c r="BZ20" s="155"/>
      <c r="CA20" s="155"/>
      <c r="CB20" s="155"/>
      <c r="CC20" s="155"/>
      <c r="CD20" s="155"/>
      <c r="CE20" s="155"/>
      <c r="CF20" s="155"/>
      <c r="CG20" s="155"/>
      <c r="CH20" s="155"/>
      <c r="CI20" s="155"/>
      <c r="CJ20" s="155"/>
      <c r="CK20" s="155"/>
      <c r="CL20" s="155"/>
      <c r="CM20" s="155"/>
      <c r="CN20" s="155"/>
      <c r="CO20" s="155"/>
      <c r="CP20" s="155"/>
      <c r="CQ20" s="155"/>
      <c r="CR20" s="155"/>
      <c r="CS20" s="155"/>
      <c r="CT20" s="155"/>
      <c r="CU20" s="155"/>
      <c r="CV20" s="155"/>
      <c r="CW20" s="155"/>
      <c r="CX20" s="155"/>
      <c r="CY20" s="155"/>
      <c r="CZ20" s="155"/>
    </row>
    <row r="21" spans="1:104" x14ac:dyDescent="0.3">
      <c r="C21" s="28"/>
      <c r="D21" s="83"/>
      <c r="E21" s="76"/>
      <c r="F21" s="83"/>
      <c r="G21" s="76"/>
      <c r="H21" s="83"/>
      <c r="I21" s="76"/>
      <c r="J21" s="83"/>
      <c r="K21" s="76"/>
      <c r="L21" s="84"/>
      <c r="M21" s="28"/>
      <c r="N21" s="76"/>
      <c r="O21" s="76"/>
      <c r="P21" s="76"/>
      <c r="Q21" s="76"/>
      <c r="R21" s="76"/>
      <c r="S21" s="76"/>
      <c r="T21" s="76"/>
      <c r="U21" s="76"/>
      <c r="V21" s="30"/>
      <c r="W21" s="28"/>
      <c r="X21" s="83"/>
      <c r="Y21" s="76"/>
      <c r="Z21" s="83"/>
      <c r="AA21" s="76"/>
      <c r="AB21" s="83"/>
      <c r="AC21" s="76"/>
      <c r="AD21" s="83"/>
      <c r="AE21" s="76"/>
      <c r="AF21" s="84"/>
      <c r="AJ21" s="68"/>
      <c r="AR21" t="s">
        <v>1145</v>
      </c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>
        <v>0.98199999999999998</v>
      </c>
      <c r="BN21" s="83">
        <v>0.97799999999999998</v>
      </c>
      <c r="BO21" s="83">
        <v>4.0000000000000001E-3</v>
      </c>
      <c r="BP21" s="83">
        <v>5.0000000000000001E-3</v>
      </c>
      <c r="BQ21" s="83">
        <v>1.2999999999999999E-2</v>
      </c>
      <c r="BR21" s="83"/>
      <c r="BS21" s="83"/>
      <c r="BT21" s="83"/>
      <c r="BU21" s="83"/>
      <c r="BV21" s="83"/>
      <c r="BW21" s="155"/>
      <c r="BX21" s="155"/>
      <c r="BY21" s="155"/>
      <c r="BZ21" s="155"/>
      <c r="CA21" s="155"/>
      <c r="CB21" s="155"/>
      <c r="CC21" s="155"/>
      <c r="CD21" s="155"/>
      <c r="CE21" s="155"/>
      <c r="CF21" s="155"/>
      <c r="CG21" s="155"/>
      <c r="CH21" s="155"/>
      <c r="CI21" s="155"/>
      <c r="CJ21" s="155"/>
      <c r="CK21" s="155"/>
      <c r="CL21" s="155"/>
      <c r="CM21" s="155"/>
      <c r="CN21" s="155"/>
      <c r="CO21" s="155"/>
      <c r="CP21" s="155"/>
      <c r="CQ21" s="155"/>
      <c r="CR21" s="155"/>
      <c r="CS21" s="155"/>
      <c r="CT21" s="155"/>
      <c r="CU21" s="155"/>
      <c r="CV21" s="155"/>
      <c r="CW21" s="155"/>
      <c r="CX21" s="155"/>
      <c r="CY21" s="155"/>
      <c r="CZ21" s="155"/>
    </row>
    <row r="22" spans="1:104" x14ac:dyDescent="0.3">
      <c r="C22" s="28"/>
      <c r="D22" s="83"/>
      <c r="E22" s="76"/>
      <c r="F22" s="83"/>
      <c r="G22" s="76"/>
      <c r="H22" s="83"/>
      <c r="I22" s="76"/>
      <c r="J22" s="83"/>
      <c r="K22" s="76"/>
      <c r="L22" s="84"/>
      <c r="M22" s="28"/>
      <c r="N22" s="76"/>
      <c r="O22" s="76"/>
      <c r="P22" s="76"/>
      <c r="Q22" s="76"/>
      <c r="R22" s="76"/>
      <c r="S22" s="76"/>
      <c r="T22" s="76"/>
      <c r="U22" s="76"/>
      <c r="V22" s="30"/>
      <c r="W22" s="28"/>
      <c r="X22" s="83"/>
      <c r="Y22" s="76"/>
      <c r="Z22" s="83"/>
      <c r="AA22" s="76"/>
      <c r="AB22" s="83"/>
      <c r="AC22" s="76"/>
      <c r="AD22" s="83"/>
      <c r="AE22" s="76"/>
      <c r="AF22" s="84"/>
      <c r="AJ22" s="68"/>
      <c r="AR22" t="s">
        <v>1146</v>
      </c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367">
        <v>0.46200000000000002</v>
      </c>
      <c r="BN22" s="367">
        <v>0.45899999999999996</v>
      </c>
      <c r="BO22" s="367">
        <v>3.0000000000000001E-3</v>
      </c>
      <c r="BP22" s="367">
        <v>7.8E-2</v>
      </c>
      <c r="BQ22" s="367">
        <v>0.46</v>
      </c>
      <c r="BR22" s="367"/>
      <c r="BS22" s="367"/>
      <c r="BT22" s="367"/>
      <c r="BU22" s="367"/>
      <c r="BV22" s="367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</row>
    <row r="23" spans="1:104" x14ac:dyDescent="0.3">
      <c r="C23" s="28"/>
      <c r="D23" s="83"/>
      <c r="E23" s="76"/>
      <c r="F23" s="83"/>
      <c r="G23" s="76"/>
      <c r="H23" s="83"/>
      <c r="I23" s="76"/>
      <c r="J23" s="83"/>
      <c r="K23" s="76"/>
      <c r="L23" s="84"/>
      <c r="M23" s="28"/>
      <c r="N23" s="76"/>
      <c r="O23" s="76"/>
      <c r="P23" s="76"/>
      <c r="Q23" s="76"/>
      <c r="R23" s="76"/>
      <c r="S23" s="76"/>
      <c r="T23" s="76"/>
      <c r="U23" s="76"/>
      <c r="V23" s="30"/>
      <c r="W23" s="28"/>
      <c r="X23" s="83"/>
      <c r="Y23" s="76"/>
      <c r="Z23" s="83"/>
      <c r="AA23" s="76"/>
      <c r="AB23" s="83"/>
      <c r="AC23" s="76"/>
      <c r="AD23" s="83"/>
      <c r="AE23" s="76"/>
      <c r="AF23" s="84"/>
      <c r="AJ23" s="68"/>
      <c r="AR23" t="s">
        <v>1147</v>
      </c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>
        <v>0.89600000000000002</v>
      </c>
      <c r="BN23" s="83">
        <v>0.86099999999999999</v>
      </c>
      <c r="BO23" s="83">
        <v>3.5000000000000003E-2</v>
      </c>
      <c r="BP23" s="83">
        <v>2.5999999999999999E-2</v>
      </c>
      <c r="BQ23" s="83">
        <v>7.8E-2</v>
      </c>
      <c r="BR23" s="83"/>
      <c r="BS23" s="83"/>
      <c r="BT23" s="83"/>
      <c r="BU23" s="83"/>
      <c r="BV23" s="83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</row>
    <row r="24" spans="1:104" x14ac:dyDescent="0.3">
      <c r="A24" t="s">
        <v>385</v>
      </c>
      <c r="B24" t="s">
        <v>386</v>
      </c>
      <c r="C24" s="28">
        <v>4531</v>
      </c>
      <c r="D24" s="83">
        <v>0.85571293673276672</v>
      </c>
      <c r="E24" s="76">
        <v>3532</v>
      </c>
      <c r="F24" s="83">
        <v>0.66704438149197354</v>
      </c>
      <c r="G24" s="76">
        <v>999</v>
      </c>
      <c r="H24" s="83">
        <v>0.18866855524079321</v>
      </c>
      <c r="I24" s="76">
        <v>165</v>
      </c>
      <c r="J24" s="83">
        <v>3.1161473087818695E-2</v>
      </c>
      <c r="K24" s="76">
        <v>599</v>
      </c>
      <c r="L24" s="84">
        <v>0.11312559017941454</v>
      </c>
      <c r="M24" s="28"/>
      <c r="N24" s="76"/>
      <c r="O24" s="76"/>
      <c r="P24" s="76"/>
      <c r="Q24" s="76"/>
      <c r="R24" s="76"/>
      <c r="S24" s="76"/>
      <c r="T24" s="76"/>
      <c r="U24" s="76"/>
      <c r="V24" s="30"/>
      <c r="W24" s="28"/>
      <c r="X24" s="83"/>
      <c r="Y24" s="76"/>
      <c r="Z24" s="83"/>
      <c r="AA24" s="76"/>
      <c r="AB24" s="83"/>
      <c r="AC24" s="76"/>
      <c r="AD24" s="83"/>
      <c r="AE24" s="76"/>
      <c r="AF24" s="84"/>
      <c r="AG24">
        <v>775737</v>
      </c>
      <c r="AH24">
        <f>64.5%*48</f>
        <v>30.96</v>
      </c>
      <c r="AI24">
        <v>15.18</v>
      </c>
      <c r="AJ24" s="68">
        <v>4.1643518518518517E-2</v>
      </c>
      <c r="AR24" s="28" t="s">
        <v>372</v>
      </c>
      <c r="BH24" s="345" t="s">
        <v>1089</v>
      </c>
      <c r="BI24" s="345"/>
      <c r="BJ24" s="345"/>
      <c r="BK24" s="345"/>
      <c r="BL24" s="345"/>
      <c r="BM24" s="284"/>
      <c r="BN24" s="284"/>
      <c r="BO24" s="284"/>
      <c r="BP24" s="284"/>
      <c r="BQ24" s="284"/>
      <c r="BR24" s="296"/>
      <c r="BS24" s="296"/>
      <c r="BT24" s="296"/>
      <c r="BU24" s="296"/>
      <c r="BV24" s="296"/>
      <c r="BW24" s="64">
        <f>IF(BW4&lt;&gt;"",(BW4-MAX(BW$4:BW$14))^2,"")</f>
        <v>3.2010974372370861E-2</v>
      </c>
      <c r="BX24" s="64">
        <f t="shared" ref="BX24:CP24" si="2">IF(BX4&lt;&gt;"",(BX4-MAX(BX$4:BX$14))^2,"")</f>
        <v>1</v>
      </c>
      <c r="BY24" s="64">
        <f t="shared" si="2"/>
        <v>1</v>
      </c>
      <c r="BZ24" s="64">
        <f t="shared" si="2"/>
        <v>6.5187867813490341E-2</v>
      </c>
      <c r="CA24" s="64">
        <f t="shared" si="2"/>
        <v>1.9444991821007059E-2</v>
      </c>
      <c r="CB24" s="64">
        <f t="shared" si="2"/>
        <v>1.7474319192565984E-4</v>
      </c>
      <c r="CC24" s="64">
        <f t="shared" si="2"/>
        <v>1</v>
      </c>
      <c r="CD24" s="64">
        <f t="shared" si="2"/>
        <v>1</v>
      </c>
      <c r="CE24" s="64">
        <f t="shared" si="2"/>
        <v>1.7122473246135529E-3</v>
      </c>
      <c r="CF24" s="64">
        <f t="shared" si="2"/>
        <v>8.9295538246777746E-5</v>
      </c>
      <c r="CG24" s="64">
        <f t="shared" si="2"/>
        <v>7.9681753204581928E-5</v>
      </c>
      <c r="CH24" s="64">
        <f t="shared" si="2"/>
        <v>1</v>
      </c>
      <c r="CI24" s="64">
        <f t="shared" si="2"/>
        <v>1</v>
      </c>
      <c r="CJ24" s="64">
        <f t="shared" si="2"/>
        <v>4.5238195737868098E-3</v>
      </c>
      <c r="CK24" s="64">
        <f t="shared" si="2"/>
        <v>5.016503650526661E-6</v>
      </c>
      <c r="CL24" s="64">
        <f t="shared" si="2"/>
        <v>1.0405827263267483E-3</v>
      </c>
      <c r="CM24" s="64">
        <f t="shared" si="2"/>
        <v>0.17084444444444452</v>
      </c>
      <c r="CN24" s="64">
        <f t="shared" si="2"/>
        <v>0.86924077110068398</v>
      </c>
      <c r="CO24" s="64">
        <f t="shared" si="2"/>
        <v>6.4000000000000116E-3</v>
      </c>
      <c r="CP24" s="64">
        <f t="shared" si="2"/>
        <v>1.103740576814825E-3</v>
      </c>
      <c r="CQ24" s="64">
        <f t="shared" ref="CQ24:CU24" si="3">IF(CQ4&lt;&gt;"",(CQ4-MAX(CQ$4:CQ$14))^2,"")</f>
        <v>8.4833631822037821E-4</v>
      </c>
      <c r="CR24" s="64">
        <f t="shared" si="3"/>
        <v>0.1178777777777778</v>
      </c>
      <c r="CS24" s="64">
        <f t="shared" si="3"/>
        <v>0.87677685950413209</v>
      </c>
      <c r="CT24" s="64">
        <f t="shared" si="3"/>
        <v>6.4000000000000116E-3</v>
      </c>
      <c r="CU24" s="64">
        <f t="shared" si="3"/>
        <v>9.000000000000016E-4</v>
      </c>
    </row>
    <row r="25" spans="1:104" x14ac:dyDescent="0.3">
      <c r="A25" t="s">
        <v>385</v>
      </c>
      <c r="B25" t="s">
        <v>387</v>
      </c>
      <c r="C25" s="28">
        <v>4794</v>
      </c>
      <c r="D25" s="83">
        <v>0.9053824362606232</v>
      </c>
      <c r="E25" s="76">
        <v>3186</v>
      </c>
      <c r="F25" s="83">
        <v>0.60169971671388101</v>
      </c>
      <c r="G25" s="76">
        <v>1608</v>
      </c>
      <c r="H25" s="83">
        <v>0.3036827195467422</v>
      </c>
      <c r="I25" s="76">
        <v>101</v>
      </c>
      <c r="J25" s="83">
        <v>1.9074598677998111E-2</v>
      </c>
      <c r="K25" s="76">
        <v>400</v>
      </c>
      <c r="L25" s="84">
        <v>7.5542965061378656E-2</v>
      </c>
      <c r="M25" s="28"/>
      <c r="N25" s="76"/>
      <c r="O25" s="76"/>
      <c r="P25" s="76"/>
      <c r="Q25" s="76"/>
      <c r="R25" s="76"/>
      <c r="S25" s="76"/>
      <c r="T25" s="76"/>
      <c r="U25" s="76"/>
      <c r="V25" s="30"/>
      <c r="W25" s="28"/>
      <c r="X25" s="83"/>
      <c r="Y25" s="76"/>
      <c r="Z25" s="83"/>
      <c r="AA25" s="76"/>
      <c r="AB25" s="83"/>
      <c r="AC25" s="76"/>
      <c r="AD25" s="83"/>
      <c r="AE25" s="76"/>
      <c r="AF25" s="84"/>
      <c r="AG25">
        <v>775736</v>
      </c>
      <c r="AH25">
        <f>63.26%*48</f>
        <v>30.364799999999995</v>
      </c>
      <c r="AI25">
        <v>14.46</v>
      </c>
      <c r="AJ25" s="68">
        <v>3.8993055555555552E-2</v>
      </c>
      <c r="AR25" s="142" t="s">
        <v>222</v>
      </c>
      <c r="AS25" s="64"/>
      <c r="AT25" s="64"/>
      <c r="BG25" s="102"/>
      <c r="BH25" s="345"/>
      <c r="BI25" s="345"/>
      <c r="BJ25" s="345"/>
      <c r="BK25" s="345"/>
      <c r="BL25" s="345"/>
      <c r="BM25" s="284"/>
      <c r="BN25" s="284"/>
      <c r="BO25" s="284"/>
      <c r="BP25" s="284"/>
      <c r="BQ25" s="284"/>
      <c r="BR25" s="296"/>
      <c r="BS25" s="296"/>
      <c r="BT25" s="296"/>
      <c r="BU25" s="296"/>
      <c r="BV25" s="296"/>
      <c r="BW25" s="64" t="str">
        <f t="shared" ref="BW25:CP25" si="4">IF(BW5&lt;&gt;"",(BW5-MAX(BW$4:BW$14))^2,"")</f>
        <v/>
      </c>
      <c r="BX25" s="64" t="str">
        <f t="shared" si="4"/>
        <v/>
      </c>
      <c r="BY25" s="64" t="str">
        <f t="shared" si="4"/>
        <v/>
      </c>
      <c r="BZ25" s="64" t="str">
        <f t="shared" si="4"/>
        <v/>
      </c>
      <c r="CA25" s="64" t="str">
        <f t="shared" si="4"/>
        <v/>
      </c>
      <c r="CB25" s="64" t="str">
        <f t="shared" si="4"/>
        <v/>
      </c>
      <c r="CC25" s="64" t="str">
        <f t="shared" si="4"/>
        <v/>
      </c>
      <c r="CD25" s="64" t="str">
        <f t="shared" si="4"/>
        <v/>
      </c>
      <c r="CE25" s="64" t="str">
        <f t="shared" si="4"/>
        <v/>
      </c>
      <c r="CF25" s="64" t="str">
        <f t="shared" si="4"/>
        <v/>
      </c>
      <c r="CG25" s="64">
        <f t="shared" si="4"/>
        <v>3.814697265625E-4</v>
      </c>
      <c r="CH25" s="64">
        <f t="shared" si="4"/>
        <v>1.9253131171845045E-2</v>
      </c>
      <c r="CI25" s="64">
        <f t="shared" si="4"/>
        <v>2.6269917169056359E-2</v>
      </c>
      <c r="CJ25" s="64">
        <f t="shared" si="4"/>
        <v>5.955164925046579E-3</v>
      </c>
      <c r="CK25" s="64">
        <f t="shared" si="4"/>
        <v>1.5367802745713989E-4</v>
      </c>
      <c r="CL25" s="64">
        <f t="shared" si="4"/>
        <v>0</v>
      </c>
      <c r="CM25" s="64">
        <f t="shared" si="4"/>
        <v>0.16810000000000003</v>
      </c>
      <c r="CN25" s="64">
        <f t="shared" si="4"/>
        <v>1</v>
      </c>
      <c r="CO25" s="64">
        <f t="shared" si="4"/>
        <v>6.4000000000000116E-3</v>
      </c>
      <c r="CP25" s="64">
        <f t="shared" si="4"/>
        <v>0</v>
      </c>
      <c r="CQ25" s="64">
        <f t="shared" ref="CQ25:CU25" si="5">IF(CQ5&lt;&gt;"",(CQ5-MAX(CQ$4:CQ$14))^2,"")</f>
        <v>0</v>
      </c>
      <c r="CR25" s="64">
        <f t="shared" si="5"/>
        <v>0.11334444444444444</v>
      </c>
      <c r="CS25" s="64">
        <f t="shared" si="5"/>
        <v>1</v>
      </c>
      <c r="CT25" s="64">
        <f t="shared" si="5"/>
        <v>6.4000000000000116E-3</v>
      </c>
      <c r="CU25" s="64">
        <f t="shared" si="5"/>
        <v>0</v>
      </c>
    </row>
    <row r="26" spans="1:104" x14ac:dyDescent="0.3">
      <c r="A26" t="s">
        <v>94</v>
      </c>
      <c r="B26" t="s">
        <v>388</v>
      </c>
      <c r="C26" s="28">
        <v>4425</v>
      </c>
      <c r="D26" s="83">
        <v>0.8356940509915014</v>
      </c>
      <c r="E26" s="76">
        <v>2857</v>
      </c>
      <c r="F26" s="83">
        <v>0.53956562795089702</v>
      </c>
      <c r="G26" s="76">
        <v>1568</v>
      </c>
      <c r="H26" s="83">
        <v>0.29612842304060433</v>
      </c>
      <c r="I26" s="76">
        <v>215</v>
      </c>
      <c r="J26" s="83">
        <v>4.0604343720491029E-2</v>
      </c>
      <c r="K26" s="76">
        <v>655</v>
      </c>
      <c r="L26" s="84">
        <v>0.12370160528800755</v>
      </c>
      <c r="M26" s="28"/>
      <c r="N26" s="76"/>
      <c r="O26" s="76"/>
      <c r="P26" s="76"/>
      <c r="Q26" s="76"/>
      <c r="R26" s="76"/>
      <c r="S26" s="76"/>
      <c r="T26" s="76"/>
      <c r="U26" s="76"/>
      <c r="V26" s="30"/>
      <c r="W26" s="28"/>
      <c r="X26" s="83"/>
      <c r="Y26" s="76"/>
      <c r="Z26" s="83"/>
      <c r="AA26" s="76"/>
      <c r="AB26" s="83"/>
      <c r="AC26" s="76"/>
      <c r="AD26" s="83"/>
      <c r="AE26" s="76"/>
      <c r="AF26" s="84"/>
      <c r="AG26">
        <v>775735</v>
      </c>
      <c r="AH26">
        <f>64.49%*48</f>
        <v>30.955199999999998</v>
      </c>
      <c r="AI26">
        <v>13.9</v>
      </c>
      <c r="AJ26" s="68">
        <v>4.041666666666667E-2</v>
      </c>
      <c r="AR26" s="28" t="s">
        <v>90</v>
      </c>
      <c r="AS26" s="83"/>
      <c r="AT26" s="83"/>
      <c r="AU26" s="83"/>
      <c r="AV26" s="83"/>
      <c r="AW26" s="83"/>
      <c r="AX26" s="76"/>
      <c r="AY26" s="76"/>
      <c r="AZ26" s="76"/>
      <c r="BA26" s="76"/>
      <c r="BB26" s="76"/>
      <c r="BC26" s="83"/>
      <c r="BD26" s="83"/>
      <c r="BE26" s="83"/>
      <c r="BF26" s="83"/>
      <c r="BG26" s="102"/>
      <c r="BH26" s="345"/>
      <c r="BI26" s="345"/>
      <c r="BJ26" s="345"/>
      <c r="BK26" s="345"/>
      <c r="BL26" s="345"/>
      <c r="BM26" s="284"/>
      <c r="BN26" s="284"/>
      <c r="BO26" s="284"/>
      <c r="BP26" s="284"/>
      <c r="BQ26" s="284"/>
      <c r="BR26" s="296"/>
      <c r="BS26" s="296"/>
      <c r="BT26" s="296"/>
      <c r="BU26" s="296"/>
      <c r="BV26" s="296"/>
      <c r="BW26" s="64">
        <f t="shared" ref="BW26:CP26" si="6">IF(BW6&lt;&gt;"",(BW6-MAX(BW$4:BW$14))^2,"")</f>
        <v>0.24740838476881383</v>
      </c>
      <c r="BX26" s="64">
        <f t="shared" si="6"/>
        <v>9.1984018776305881E-2</v>
      </c>
      <c r="BY26" s="64">
        <f t="shared" si="6"/>
        <v>5.1162131519274415E-2</v>
      </c>
      <c r="BZ26" s="64">
        <f t="shared" si="6"/>
        <v>1</v>
      </c>
      <c r="CA26" s="64">
        <f t="shared" si="6"/>
        <v>0.11231276753853861</v>
      </c>
      <c r="CB26" s="64">
        <f t="shared" si="6"/>
        <v>3.3992633387755482E-2</v>
      </c>
      <c r="CC26" s="64">
        <f t="shared" si="6"/>
        <v>0.55344819737042261</v>
      </c>
      <c r="CD26" s="64">
        <f t="shared" si="6"/>
        <v>0.48159415166283681</v>
      </c>
      <c r="CE26" s="64">
        <f t="shared" si="6"/>
        <v>0.37674197384066588</v>
      </c>
      <c r="CF26" s="64">
        <f t="shared" si="6"/>
        <v>1.6366973921491914E-2</v>
      </c>
      <c r="CG26" s="64">
        <f t="shared" si="6"/>
        <v>3.9118461723618637E-2</v>
      </c>
      <c r="CH26" s="64">
        <f t="shared" si="6"/>
        <v>0.55839171607252935</v>
      </c>
      <c r="CI26" s="64">
        <f t="shared" si="6"/>
        <v>0.48212492135848389</v>
      </c>
      <c r="CJ26" s="64">
        <f t="shared" si="6"/>
        <v>0.48155893130596361</v>
      </c>
      <c r="CK26" s="64">
        <f t="shared" si="6"/>
        <v>1.8200218553257951E-2</v>
      </c>
      <c r="CL26" s="64">
        <f t="shared" si="6"/>
        <v>6.169614984391255E-2</v>
      </c>
      <c r="CM26" s="64">
        <f t="shared" si="6"/>
        <v>7.4711111111111103E-2</v>
      </c>
      <c r="CN26" s="64">
        <f t="shared" si="6"/>
        <v>1.2719769348182473E-2</v>
      </c>
      <c r="CO26" s="64">
        <f t="shared" si="6"/>
        <v>0.5776</v>
      </c>
      <c r="CP26" s="64">
        <f t="shared" si="6"/>
        <v>3.9734660765333704E-2</v>
      </c>
      <c r="CQ26" s="64">
        <f t="shared" ref="CQ26:CU26" si="7">IF(CQ6&lt;&gt;"",(CQ6-MAX(CQ$4:CQ$14))^2,"")</f>
        <v>5.8912244320859598E-2</v>
      </c>
      <c r="CR26" s="64">
        <f t="shared" si="7"/>
        <v>7.1111111111111083E-2</v>
      </c>
      <c r="CS26" s="64">
        <f t="shared" si="7"/>
        <v>1.6198347107437998E-2</v>
      </c>
      <c r="CT26" s="64">
        <f t="shared" si="7"/>
        <v>0.5776</v>
      </c>
      <c r="CU26" s="64">
        <f t="shared" si="7"/>
        <v>3.7377777777777788E-2</v>
      </c>
      <c r="CV26" s="64"/>
      <c r="CW26" s="64"/>
      <c r="CX26" s="64"/>
    </row>
    <row r="27" spans="1:104" x14ac:dyDescent="0.3">
      <c r="A27" t="s">
        <v>94</v>
      </c>
      <c r="B27" t="s">
        <v>389</v>
      </c>
      <c r="C27" s="28">
        <v>4425</v>
      </c>
      <c r="D27" s="83">
        <v>0.8356940509915014</v>
      </c>
      <c r="E27" s="76">
        <v>2857</v>
      </c>
      <c r="F27" s="83">
        <v>0.53956562795089702</v>
      </c>
      <c r="G27" s="76">
        <v>1568</v>
      </c>
      <c r="H27" s="83">
        <v>0.29612842304060433</v>
      </c>
      <c r="I27" s="76">
        <v>215</v>
      </c>
      <c r="J27" s="83">
        <v>4.0604343720491029E-2</v>
      </c>
      <c r="K27" s="76">
        <v>655</v>
      </c>
      <c r="L27" s="84">
        <v>0.12370160528800755</v>
      </c>
      <c r="M27" s="28"/>
      <c r="N27" s="76"/>
      <c r="O27" s="76"/>
      <c r="P27" s="76"/>
      <c r="Q27" s="76"/>
      <c r="R27" s="76"/>
      <c r="S27" s="76"/>
      <c r="T27" s="76"/>
      <c r="U27" s="76"/>
      <c r="V27" s="30"/>
      <c r="W27" s="28"/>
      <c r="X27" s="83"/>
      <c r="Y27" s="76"/>
      <c r="Z27" s="83"/>
      <c r="AA27" s="76"/>
      <c r="AB27" s="83"/>
      <c r="AC27" s="76"/>
      <c r="AD27" s="83"/>
      <c r="AE27" s="76"/>
      <c r="AF27" s="84"/>
      <c r="AG27">
        <v>775734</v>
      </c>
      <c r="AH27">
        <f>64.2%*48</f>
        <v>30.816000000000003</v>
      </c>
      <c r="AI27">
        <v>10.01</v>
      </c>
      <c r="AJ27" s="68">
        <v>2.4340277777777777E-2</v>
      </c>
      <c r="AR27" s="28" t="s">
        <v>89</v>
      </c>
      <c r="AS27" s="83"/>
      <c r="AT27" s="83"/>
      <c r="AU27" s="83"/>
      <c r="AV27" s="83"/>
      <c r="AW27" s="83"/>
      <c r="AX27" s="76"/>
      <c r="AY27" s="76"/>
      <c r="AZ27" s="76"/>
      <c r="BA27" s="76"/>
      <c r="BB27" s="76"/>
      <c r="BC27" s="83"/>
      <c r="BD27" s="83"/>
      <c r="BE27" s="83"/>
      <c r="BF27" s="83"/>
      <c r="BG27" s="102"/>
      <c r="BH27" s="345"/>
      <c r="BI27" s="345"/>
      <c r="BJ27" s="345"/>
      <c r="BK27" s="345"/>
      <c r="BL27" s="345"/>
      <c r="BM27" s="284"/>
      <c r="BN27" s="284"/>
      <c r="BO27" s="284"/>
      <c r="BP27" s="284"/>
      <c r="BQ27" s="284"/>
      <c r="BR27" s="296"/>
      <c r="BS27" s="296"/>
      <c r="BT27" s="296"/>
      <c r="BU27" s="296"/>
      <c r="BV27" s="296"/>
      <c r="BW27" s="64">
        <f t="shared" ref="BW27:CP27" si="8">IF(BW7&lt;&gt;"",(BW7-MAX(BW$4:BW$14))^2,"")</f>
        <v>1.4464213967192297E-2</v>
      </c>
      <c r="BX27" s="64">
        <f t="shared" si="8"/>
        <v>8.5692116651657838E-3</v>
      </c>
      <c r="BY27" s="64">
        <f t="shared" si="8"/>
        <v>4.9382716049382713E-2</v>
      </c>
      <c r="BZ27" s="64">
        <f t="shared" si="8"/>
        <v>1.043005885015845E-2</v>
      </c>
      <c r="CA27" s="64">
        <f t="shared" si="8"/>
        <v>1.1303391967255527E-2</v>
      </c>
      <c r="CB27" s="64">
        <f t="shared" si="8"/>
        <v>1.936212652915866E-4</v>
      </c>
      <c r="CC27" s="64">
        <f t="shared" si="8"/>
        <v>0</v>
      </c>
      <c r="CD27" s="64">
        <f t="shared" si="8"/>
        <v>2.1141511577990502E-3</v>
      </c>
      <c r="CE27" s="64">
        <f t="shared" si="8"/>
        <v>1.9024970273484024E-4</v>
      </c>
      <c r="CF27" s="64">
        <f t="shared" si="8"/>
        <v>1.7119381297015066E-4</v>
      </c>
      <c r="CG27" s="64">
        <f t="shared" si="8"/>
        <v>0</v>
      </c>
      <c r="CH27" s="64">
        <f t="shared" si="8"/>
        <v>0</v>
      </c>
      <c r="CI27" s="64">
        <f t="shared" si="8"/>
        <v>1.1501819947137637E-3</v>
      </c>
      <c r="CJ27" s="64">
        <f t="shared" si="8"/>
        <v>0</v>
      </c>
      <c r="CK27" s="64">
        <f t="shared" si="8"/>
        <v>0</v>
      </c>
      <c r="CL27" s="64">
        <f t="shared" si="8"/>
        <v>2.6014568158168528E-4</v>
      </c>
      <c r="CM27" s="64">
        <f t="shared" si="8"/>
        <v>0</v>
      </c>
      <c r="CN27" s="64">
        <f t="shared" si="8"/>
        <v>1.4133077053536136E-3</v>
      </c>
      <c r="CO27" s="64">
        <f t="shared" si="8"/>
        <v>0</v>
      </c>
      <c r="CP27" s="64">
        <f t="shared" si="8"/>
        <v>5.4083288263926635E-4</v>
      </c>
      <c r="CQ27" s="64">
        <f t="shared" ref="CQ27:CU27" si="9">IF(CQ7&lt;&gt;"",(CQ7-MAX(CQ$4:CQ$14))^2,"")</f>
        <v>1.6757260606822477E-4</v>
      </c>
      <c r="CR27" s="64">
        <f t="shared" si="9"/>
        <v>0</v>
      </c>
      <c r="CS27" s="64">
        <f t="shared" si="9"/>
        <v>2.066115702479335E-3</v>
      </c>
      <c r="CT27" s="64">
        <f t="shared" si="9"/>
        <v>0</v>
      </c>
      <c r="CU27" s="64">
        <f t="shared" si="9"/>
        <v>4.0000000000000072E-4</v>
      </c>
      <c r="CV27" s="64"/>
      <c r="CW27" s="64"/>
      <c r="CX27" s="64"/>
    </row>
    <row r="28" spans="1:104" x14ac:dyDescent="0.3">
      <c r="A28" t="s">
        <v>91</v>
      </c>
      <c r="B28" t="s">
        <v>390</v>
      </c>
      <c r="C28" s="28">
        <v>3577</v>
      </c>
      <c r="D28" s="83">
        <v>0.67554296506137868</v>
      </c>
      <c r="E28" s="76">
        <v>3459</v>
      </c>
      <c r="F28" s="83">
        <v>0.65325779036827192</v>
      </c>
      <c r="G28" s="76">
        <v>118</v>
      </c>
      <c r="H28" s="83">
        <v>2.2285174693106705E-2</v>
      </c>
      <c r="I28" s="76">
        <v>110</v>
      </c>
      <c r="J28" s="83">
        <v>2.0774315391879131E-2</v>
      </c>
      <c r="K28" s="76">
        <v>1608</v>
      </c>
      <c r="L28" s="84">
        <v>0.3036827195467422</v>
      </c>
      <c r="M28" s="28"/>
      <c r="N28" s="76"/>
      <c r="O28" s="76"/>
      <c r="P28" s="76"/>
      <c r="Q28" s="76"/>
      <c r="R28" s="76"/>
      <c r="S28" s="76"/>
      <c r="T28" s="76"/>
      <c r="U28" s="76"/>
      <c r="V28" s="30"/>
      <c r="W28" s="28"/>
      <c r="X28" s="83"/>
      <c r="Y28" s="76"/>
      <c r="Z28" s="83"/>
      <c r="AA28" s="76"/>
      <c r="AB28" s="83"/>
      <c r="AC28" s="76"/>
      <c r="AD28" s="83"/>
      <c r="AE28" s="76"/>
      <c r="AF28" s="84"/>
      <c r="AG28">
        <v>775733</v>
      </c>
      <c r="AH28">
        <f>60.52%*48</f>
        <v>29.049600000000005</v>
      </c>
      <c r="AI28">
        <v>11.25</v>
      </c>
      <c r="AJ28" s="68">
        <v>2.6620370370370374E-2</v>
      </c>
      <c r="AR28" s="28" t="s">
        <v>461</v>
      </c>
      <c r="AS28" s="83"/>
      <c r="AT28" s="83"/>
      <c r="AU28" s="83"/>
      <c r="AV28" s="83"/>
      <c r="AW28" s="83"/>
      <c r="AX28" s="76"/>
      <c r="AY28" s="76"/>
      <c r="AZ28" s="76"/>
      <c r="BA28" s="76"/>
      <c r="BB28" s="76"/>
      <c r="BC28" s="83"/>
      <c r="BD28" s="83"/>
      <c r="BE28" s="83"/>
      <c r="BF28" s="83"/>
      <c r="BG28" s="102"/>
      <c r="BH28" s="345"/>
      <c r="BI28" s="345"/>
      <c r="BJ28" s="345"/>
      <c r="BK28" s="345"/>
      <c r="BL28" s="345"/>
      <c r="BM28" s="284"/>
      <c r="BN28" s="284"/>
      <c r="BO28" s="284"/>
      <c r="BP28" s="284"/>
      <c r="BQ28" s="284"/>
      <c r="BR28" s="296"/>
      <c r="BS28" s="296"/>
      <c r="BT28" s="296"/>
      <c r="BU28" s="296"/>
      <c r="BV28" s="296"/>
      <c r="BW28" s="64">
        <f t="shared" ref="BW28:CP28" si="10">IF(BW10&lt;&gt;"",(BW10-MAX(BW$4:BW$14))^2,"")</f>
        <v>0.26163946497178892</v>
      </c>
      <c r="BX28" s="64">
        <f t="shared" si="10"/>
        <v>3.8615521080237677E-2</v>
      </c>
      <c r="BY28" s="64">
        <f t="shared" si="10"/>
        <v>1.5490011431569882E-2</v>
      </c>
      <c r="BZ28" s="64">
        <f t="shared" si="10"/>
        <v>3.6668175645088251E-2</v>
      </c>
      <c r="CA28" s="64">
        <f t="shared" si="10"/>
        <v>0.24616275839800952</v>
      </c>
      <c r="CB28" s="64">
        <f t="shared" si="10"/>
        <v>4.4440436862890016E-2</v>
      </c>
      <c r="CC28" s="64">
        <f t="shared" si="10"/>
        <v>2.149675605512318E-3</v>
      </c>
      <c r="CD28" s="64">
        <f t="shared" si="10"/>
        <v>3.6463725663493153E-4</v>
      </c>
      <c r="CE28" s="64">
        <f t="shared" si="10"/>
        <v>0.12370986920332948</v>
      </c>
      <c r="CF28" s="64">
        <f t="shared" si="10"/>
        <v>3.355398734214949E-2</v>
      </c>
      <c r="CG28" s="64">
        <f t="shared" si="10"/>
        <v>1.3603538195600806E-2</v>
      </c>
      <c r="CH28" s="64">
        <f t="shared" si="10"/>
        <v>5.8330188810211381E-5</v>
      </c>
      <c r="CI28" s="64">
        <f t="shared" si="10"/>
        <v>1.4416203452275461E-5</v>
      </c>
      <c r="CJ28" s="64">
        <f t="shared" si="10"/>
        <v>7.7608710828641708E-2</v>
      </c>
      <c r="CK28" s="64">
        <f t="shared" si="10"/>
        <v>8.7510134191992814E-3</v>
      </c>
      <c r="CL28" s="64">
        <f t="shared" si="10"/>
        <v>2.3975026014568107E-2</v>
      </c>
      <c r="CM28" s="64">
        <f t="shared" si="10"/>
        <v>1.6899999999999943E-2</v>
      </c>
      <c r="CN28" s="64">
        <f t="shared" si="10"/>
        <v>5.6532308214145212E-5</v>
      </c>
      <c r="CO28" s="64">
        <f t="shared" si="10"/>
        <v>7.8399999999999956E-2</v>
      </c>
      <c r="CP28" s="64">
        <f t="shared" si="10"/>
        <v>2.0408163265306103E-2</v>
      </c>
      <c r="CQ28" s="64">
        <f t="shared" ref="CQ28:CU28" si="11">IF(CQ10&lt;&gt;"",(CQ10-MAX(CQ$4:CQ$14))^2,"")</f>
        <v>2.3135492925293995E-2</v>
      </c>
      <c r="CR28" s="64">
        <f t="shared" si="11"/>
        <v>1.6899999999999943E-2</v>
      </c>
      <c r="CS28" s="64">
        <f t="shared" si="11"/>
        <v>8.2644628099170578E-5</v>
      </c>
      <c r="CT28" s="64">
        <f t="shared" si="11"/>
        <v>7.8399999999999956E-2</v>
      </c>
      <c r="CU28" s="64">
        <f t="shared" si="11"/>
        <v>1.9599999999999972E-2</v>
      </c>
      <c r="CV28" s="64"/>
      <c r="CW28" s="64"/>
      <c r="CX28" s="64"/>
    </row>
    <row r="29" spans="1:104" x14ac:dyDescent="0.3">
      <c r="A29" t="s">
        <v>91</v>
      </c>
      <c r="B29" t="s">
        <v>391</v>
      </c>
      <c r="C29" s="28">
        <v>3455</v>
      </c>
      <c r="D29" s="83">
        <v>0.65250236071765821</v>
      </c>
      <c r="E29" s="76">
        <v>3342</v>
      </c>
      <c r="F29" s="83">
        <v>0.63116147308781867</v>
      </c>
      <c r="G29" s="76">
        <v>113</v>
      </c>
      <c r="H29" s="83">
        <v>2.1340887629839472E-2</v>
      </c>
      <c r="I29" s="76">
        <v>120</v>
      </c>
      <c r="J29" s="83">
        <v>2.2662889518413599E-2</v>
      </c>
      <c r="K29" s="76">
        <v>1720</v>
      </c>
      <c r="L29" s="84">
        <v>0.32483474976392823</v>
      </c>
      <c r="M29" s="28"/>
      <c r="N29" s="76"/>
      <c r="O29" s="76"/>
      <c r="P29" s="76"/>
      <c r="Q29" s="76"/>
      <c r="R29" s="76"/>
      <c r="S29" s="76"/>
      <c r="T29" s="76"/>
      <c r="U29" s="76"/>
      <c r="V29" s="30"/>
      <c r="W29" s="28"/>
      <c r="X29" s="83"/>
      <c r="Y29" s="76"/>
      <c r="Z29" s="83"/>
      <c r="AA29" s="76"/>
      <c r="AB29" s="83"/>
      <c r="AC29" s="76"/>
      <c r="AD29" s="83"/>
      <c r="AE29" s="76"/>
      <c r="AF29" s="84"/>
      <c r="AG29">
        <v>775732</v>
      </c>
      <c r="AH29">
        <f>61.34%*48</f>
        <v>29.443200000000004</v>
      </c>
      <c r="AI29">
        <v>13.38</v>
      </c>
      <c r="AJ29" s="68">
        <v>3.4444444444444444E-2</v>
      </c>
      <c r="AR29" s="28" t="s">
        <v>384</v>
      </c>
      <c r="AS29" s="83"/>
      <c r="AT29" s="83"/>
      <c r="AU29" s="83"/>
      <c r="AV29" s="83"/>
      <c r="AW29" s="83"/>
      <c r="AX29" s="76"/>
      <c r="AY29" s="76"/>
      <c r="AZ29" s="76"/>
      <c r="BA29" s="76"/>
      <c r="BB29" s="76"/>
      <c r="BC29" s="83"/>
      <c r="BD29" s="83"/>
      <c r="BE29" s="83"/>
      <c r="BF29" s="83"/>
      <c r="BG29" s="102"/>
      <c r="BH29" s="345"/>
      <c r="BI29" s="345"/>
      <c r="BJ29" s="345"/>
      <c r="BK29" s="345"/>
      <c r="BL29" s="345"/>
      <c r="BM29" s="284"/>
      <c r="BN29" s="284"/>
      <c r="BO29" s="284"/>
      <c r="BP29" s="284"/>
      <c r="BQ29" s="284"/>
      <c r="BR29" s="296"/>
      <c r="BS29" s="296"/>
      <c r="BT29" s="296"/>
      <c r="BU29" s="296"/>
      <c r="BV29" s="296"/>
      <c r="BW29" s="64">
        <f t="shared" ref="BW29:CP29" si="12">IF(BW11&lt;&gt;"",(BW11-MAX(BW$4:BW$14))^2,"")</f>
        <v>1</v>
      </c>
      <c r="BX29" s="64">
        <f t="shared" si="12"/>
        <v>0.13293025861104063</v>
      </c>
      <c r="BY29" s="64">
        <f t="shared" si="12"/>
        <v>1.3275665331942345E-3</v>
      </c>
      <c r="BZ29" s="64">
        <f t="shared" si="12"/>
        <v>4.3476686283386135E-2</v>
      </c>
      <c r="CA29" s="64">
        <f t="shared" si="12"/>
        <v>1</v>
      </c>
      <c r="CB29" s="64">
        <f t="shared" si="12"/>
        <v>1</v>
      </c>
      <c r="CC29" s="64">
        <f t="shared" si="12"/>
        <v>0.11815229053293301</v>
      </c>
      <c r="CD29" s="64">
        <f t="shared" si="12"/>
        <v>3.1368147900305684E-4</v>
      </c>
      <c r="CE29" s="64">
        <f t="shared" si="12"/>
        <v>0.18050777764565995</v>
      </c>
      <c r="CF29" s="64">
        <f t="shared" si="12"/>
        <v>1</v>
      </c>
      <c r="CG29" s="64">
        <f t="shared" si="12"/>
        <v>1</v>
      </c>
      <c r="CH29" s="64">
        <f t="shared" si="12"/>
        <v>0.10259536026404889</v>
      </c>
      <c r="CI29" s="64">
        <f t="shared" si="12"/>
        <v>5.1101316852609786E-4</v>
      </c>
      <c r="CJ29" s="64">
        <f t="shared" si="12"/>
        <v>0.29180308132728178</v>
      </c>
      <c r="CK29" s="64">
        <f t="shared" si="12"/>
        <v>1</v>
      </c>
      <c r="CL29" s="64">
        <f t="shared" si="12"/>
        <v>1</v>
      </c>
      <c r="CM29" s="64">
        <f t="shared" si="12"/>
        <v>1</v>
      </c>
      <c r="CN29" s="64">
        <f t="shared" si="12"/>
        <v>0</v>
      </c>
      <c r="CO29" s="64">
        <f t="shared" si="12"/>
        <v>0.19360000000000005</v>
      </c>
      <c r="CP29" s="64">
        <f t="shared" si="12"/>
        <v>1</v>
      </c>
      <c r="CQ29" s="64">
        <f t="shared" ref="CQ29:CU29" si="13">IF(CQ11&lt;&gt;"",(CQ11-MAX(CQ$4:CQ$14))^2,"")</f>
        <v>1</v>
      </c>
      <c r="CR29" s="64">
        <f t="shared" si="13"/>
        <v>1</v>
      </c>
      <c r="CS29" s="64">
        <f t="shared" si="13"/>
        <v>0</v>
      </c>
      <c r="CT29" s="64">
        <f t="shared" si="13"/>
        <v>0.19360000000000005</v>
      </c>
      <c r="CU29" s="64">
        <f t="shared" si="13"/>
        <v>1</v>
      </c>
      <c r="CV29" s="64"/>
      <c r="CW29" s="64"/>
      <c r="CX29" s="64"/>
    </row>
    <row r="30" spans="1:104" x14ac:dyDescent="0.3">
      <c r="A30" t="s">
        <v>91</v>
      </c>
      <c r="B30" t="s">
        <v>392</v>
      </c>
      <c r="C30" s="28">
        <v>4300</v>
      </c>
      <c r="D30" s="83">
        <v>0.81208687440982064</v>
      </c>
      <c r="E30" s="76">
        <v>4235</v>
      </c>
      <c r="F30" s="83">
        <v>0.79981114258734654</v>
      </c>
      <c r="G30" s="76">
        <v>65</v>
      </c>
      <c r="H30" s="83">
        <v>1.2275731822474031E-2</v>
      </c>
      <c r="I30" s="76">
        <v>96</v>
      </c>
      <c r="J30" s="83">
        <v>1.8130311614730877E-2</v>
      </c>
      <c r="K30" s="76">
        <v>899</v>
      </c>
      <c r="L30" s="84">
        <v>0.16978281397544853</v>
      </c>
      <c r="M30" s="28"/>
      <c r="N30" s="76"/>
      <c r="O30" s="76"/>
      <c r="P30" s="76"/>
      <c r="Q30" s="76"/>
      <c r="R30" s="76"/>
      <c r="S30" s="76"/>
      <c r="T30" s="76"/>
      <c r="U30" s="76"/>
      <c r="V30" s="30"/>
      <c r="W30" s="28"/>
      <c r="X30" s="83"/>
      <c r="Y30" s="76"/>
      <c r="Z30" s="83"/>
      <c r="AA30" s="76"/>
      <c r="AB30" s="83"/>
      <c r="AC30" s="76"/>
      <c r="AD30" s="83"/>
      <c r="AE30" s="76"/>
      <c r="AF30" s="84"/>
      <c r="AG30">
        <v>775731</v>
      </c>
      <c r="AH30">
        <f>56.12%*48</f>
        <v>26.937599999999996</v>
      </c>
      <c r="AI30">
        <v>13.1</v>
      </c>
      <c r="AJ30" s="68">
        <v>3.6655092592592593E-2</v>
      </c>
      <c r="AR30" s="28" t="s">
        <v>385</v>
      </c>
      <c r="AS30" s="83"/>
      <c r="AT30" s="83"/>
      <c r="AU30" s="83"/>
      <c r="AV30" s="83"/>
      <c r="AW30" s="83"/>
      <c r="AX30" s="76"/>
      <c r="AY30" s="76"/>
      <c r="AZ30" s="76"/>
      <c r="BA30" s="76"/>
      <c r="BB30" s="76"/>
      <c r="BC30" s="83"/>
      <c r="BD30" s="83"/>
      <c r="BE30" s="83"/>
      <c r="BF30" s="83"/>
      <c r="BG30" s="102"/>
      <c r="BH30" s="345"/>
      <c r="BI30" s="345"/>
      <c r="BJ30" s="345"/>
      <c r="BK30" s="345"/>
      <c r="BL30" s="345"/>
      <c r="BM30" s="284"/>
      <c r="BN30" s="284"/>
      <c r="BO30" s="284"/>
      <c r="BP30" s="284"/>
      <c r="BQ30" s="284"/>
      <c r="BR30" s="296"/>
      <c r="BS30" s="296"/>
      <c r="BT30" s="296"/>
      <c r="BU30" s="296"/>
      <c r="BV30" s="296"/>
      <c r="BW30" s="64">
        <f t="shared" ref="BW30:CP30" si="14">IF(BW12&lt;&gt;"",(BW12-MAX(BW$4:BW$14))^2,"")</f>
        <v>3.4171457482849311E-2</v>
      </c>
      <c r="BX30" s="64">
        <f t="shared" si="14"/>
        <v>0.27474111779220822</v>
      </c>
      <c r="BY30" s="64">
        <f t="shared" si="14"/>
        <v>0.32983723027013073</v>
      </c>
      <c r="BZ30" s="64">
        <f t="shared" si="14"/>
        <v>3.831598008148486E-2</v>
      </c>
      <c r="CA30" s="64">
        <f t="shared" si="14"/>
        <v>2.4459224930615045E-2</v>
      </c>
      <c r="CB30" s="64" t="str">
        <f t="shared" si="14"/>
        <v/>
      </c>
      <c r="CC30" s="64" t="str">
        <f t="shared" si="14"/>
        <v/>
      </c>
      <c r="CD30" s="64" t="str">
        <f t="shared" si="14"/>
        <v/>
      </c>
      <c r="CE30" s="64" t="str">
        <f t="shared" si="14"/>
        <v/>
      </c>
      <c r="CF30" s="64" t="str">
        <f t="shared" si="14"/>
        <v/>
      </c>
      <c r="CG30" s="64" t="str">
        <f t="shared" si="14"/>
        <v/>
      </c>
      <c r="CH30" s="64" t="str">
        <f t="shared" si="14"/>
        <v/>
      </c>
      <c r="CI30" s="64" t="str">
        <f t="shared" si="14"/>
        <v/>
      </c>
      <c r="CJ30" s="64" t="str">
        <f t="shared" si="14"/>
        <v/>
      </c>
      <c r="CK30" s="64" t="str">
        <f t="shared" si="14"/>
        <v/>
      </c>
      <c r="CL30" s="64" t="str">
        <f t="shared" si="14"/>
        <v/>
      </c>
      <c r="CM30" s="64" t="str">
        <f t="shared" si="14"/>
        <v/>
      </c>
      <c r="CN30" s="64" t="str">
        <f t="shared" si="14"/>
        <v/>
      </c>
      <c r="CO30" s="64" t="str">
        <f t="shared" si="14"/>
        <v/>
      </c>
      <c r="CP30" s="64" t="str">
        <f t="shared" si="14"/>
        <v/>
      </c>
      <c r="CQ30" s="64" t="str">
        <f t="shared" ref="CQ30:CU30" si="15">IF(CQ12&lt;&gt;"",(CQ12-MAX(CQ$4:CQ$14))^2,"")</f>
        <v/>
      </c>
      <c r="CR30" s="64" t="str">
        <f t="shared" si="15"/>
        <v/>
      </c>
      <c r="CS30" s="64" t="str">
        <f t="shared" si="15"/>
        <v/>
      </c>
      <c r="CT30" s="64" t="str">
        <f t="shared" si="15"/>
        <v/>
      </c>
      <c r="CU30" s="64" t="str">
        <f t="shared" si="15"/>
        <v/>
      </c>
      <c r="CV30" s="64"/>
      <c r="CW30" s="64"/>
      <c r="CX30" s="64"/>
    </row>
    <row r="31" spans="1:104" x14ac:dyDescent="0.3">
      <c r="A31" t="s">
        <v>91</v>
      </c>
      <c r="B31" t="s">
        <v>393</v>
      </c>
      <c r="C31" s="28">
        <v>4149</v>
      </c>
      <c r="D31" s="83">
        <v>0.78356940509915018</v>
      </c>
      <c r="E31" s="76">
        <v>4080</v>
      </c>
      <c r="F31" s="83">
        <v>0.77053824362606227</v>
      </c>
      <c r="G31" s="76">
        <v>69</v>
      </c>
      <c r="H31" s="83">
        <v>1.3031161473087818E-2</v>
      </c>
      <c r="I31" s="76">
        <v>189</v>
      </c>
      <c r="J31" s="83">
        <v>3.5694050991501414E-2</v>
      </c>
      <c r="K31" s="76">
        <v>957</v>
      </c>
      <c r="L31" s="84">
        <v>0.18073654390934843</v>
      </c>
      <c r="M31" s="28"/>
      <c r="N31" s="76"/>
      <c r="O31" s="76"/>
      <c r="P31" s="76"/>
      <c r="Q31" s="76"/>
      <c r="R31" s="76"/>
      <c r="S31" s="76"/>
      <c r="T31" s="76"/>
      <c r="U31" s="76"/>
      <c r="V31" s="30"/>
      <c r="W31" s="28"/>
      <c r="X31" s="83"/>
      <c r="Y31" s="76"/>
      <c r="Z31" s="83"/>
      <c r="AA31" s="76"/>
      <c r="AB31" s="83"/>
      <c r="AC31" s="76"/>
      <c r="AD31" s="83"/>
      <c r="AE31" s="76"/>
      <c r="AF31" s="84"/>
      <c r="AG31">
        <v>775730</v>
      </c>
      <c r="AH31">
        <f>24.81%*48</f>
        <v>11.908799999999999</v>
      </c>
      <c r="AI31">
        <v>9.8699999999999992</v>
      </c>
      <c r="AJ31" s="68">
        <v>5.8067129629629628E-2</v>
      </c>
      <c r="AR31" s="28" t="s">
        <v>93</v>
      </c>
      <c r="AS31" s="83"/>
      <c r="AT31" s="83"/>
      <c r="AU31" s="83"/>
      <c r="AV31" s="83"/>
      <c r="AW31" s="83"/>
      <c r="AX31" s="76"/>
      <c r="AY31" s="76"/>
      <c r="AZ31" s="76"/>
      <c r="BA31" s="76"/>
      <c r="BB31" s="76"/>
      <c r="BC31" s="83"/>
      <c r="BD31" s="83"/>
      <c r="BE31" s="83"/>
      <c r="BF31" s="83"/>
      <c r="BG31" s="102"/>
      <c r="BH31" s="345"/>
      <c r="BI31" s="345"/>
      <c r="BJ31" s="345"/>
      <c r="BK31" s="345"/>
      <c r="BL31" s="345"/>
      <c r="BM31" s="284"/>
      <c r="BN31" s="284"/>
      <c r="BO31" s="284"/>
      <c r="BP31" s="284"/>
      <c r="BQ31" s="284"/>
      <c r="BR31" s="296"/>
      <c r="BS31" s="296"/>
      <c r="BT31" s="296"/>
      <c r="BU31" s="296"/>
      <c r="BV31" s="296"/>
      <c r="BW31" s="64">
        <f t="shared" ref="BW31:CP31" si="16">IF(BW13&lt;&gt;"",(BW13-MAX(BW$4:BW$14))^2,"")</f>
        <v>0</v>
      </c>
      <c r="BX31" s="64">
        <f t="shared" si="16"/>
        <v>0</v>
      </c>
      <c r="BY31" s="64">
        <f t="shared" si="16"/>
        <v>3.9367598891408402E-2</v>
      </c>
      <c r="BZ31" s="64">
        <f t="shared" si="16"/>
        <v>0</v>
      </c>
      <c r="CA31" s="64">
        <f t="shared" si="16"/>
        <v>0</v>
      </c>
      <c r="CB31" s="64">
        <f t="shared" si="16"/>
        <v>0</v>
      </c>
      <c r="CC31" s="64">
        <f t="shared" si="16"/>
        <v>8.6966925419803155E-3</v>
      </c>
      <c r="CD31" s="64">
        <f t="shared" si="16"/>
        <v>1.9585932173429958E-2</v>
      </c>
      <c r="CE31" s="64">
        <f t="shared" si="16"/>
        <v>0</v>
      </c>
      <c r="CF31" s="64">
        <f t="shared" si="16"/>
        <v>0</v>
      </c>
      <c r="CG31" s="64">
        <f t="shared" si="16"/>
        <v>4.5068273907987244E-5</v>
      </c>
      <c r="CH31" s="64">
        <f t="shared" si="16"/>
        <v>1.5307447526466612E-2</v>
      </c>
      <c r="CI31" s="64">
        <f t="shared" si="16"/>
        <v>2.2993900819673809E-2</v>
      </c>
      <c r="CJ31" s="64">
        <f t="shared" si="16"/>
        <v>1.4524635787704512E-3</v>
      </c>
      <c r="CK31" s="64">
        <f t="shared" si="16"/>
        <v>9.1213531211467452E-6</v>
      </c>
      <c r="CL31" s="64">
        <f t="shared" si="16"/>
        <v>1.6649323621227972E-4</v>
      </c>
      <c r="CM31" s="64">
        <f t="shared" si="16"/>
        <v>5.4444444444444364E-4</v>
      </c>
      <c r="CN31" s="64">
        <f t="shared" si="16"/>
        <v>9.5539600881903892E-3</v>
      </c>
      <c r="CO31" s="64">
        <f t="shared" si="16"/>
        <v>1.6000000000000029E-3</v>
      </c>
      <c r="CP31" s="64">
        <f t="shared" si="16"/>
        <v>2.7593514420370626E-4</v>
      </c>
      <c r="CQ31" s="64">
        <f t="shared" ref="CQ31:CU31" si="17">IF(CQ13&lt;&gt;"",(CQ13-MAX(CQ$4:CQ$14))^2,"")</f>
        <v>9.4259590913375353E-5</v>
      </c>
      <c r="CR31" s="64">
        <f t="shared" si="17"/>
        <v>5.4444444444444364E-4</v>
      </c>
      <c r="CS31" s="64">
        <f t="shared" si="17"/>
        <v>1.3966942148760327E-2</v>
      </c>
      <c r="CT31" s="64">
        <f t="shared" si="17"/>
        <v>1.6000000000000029E-3</v>
      </c>
      <c r="CU31" s="64">
        <f t="shared" si="17"/>
        <v>1.7777777777777711E-4</v>
      </c>
      <c r="CV31" s="64"/>
      <c r="CW31" s="64"/>
      <c r="CX31" s="64"/>
    </row>
    <row r="32" spans="1:104" x14ac:dyDescent="0.3">
      <c r="A32" t="s">
        <v>91</v>
      </c>
      <c r="B32" t="s">
        <v>394</v>
      </c>
      <c r="C32" s="28">
        <v>4354</v>
      </c>
      <c r="D32" s="83">
        <v>0.82228517469310669</v>
      </c>
      <c r="E32" s="76">
        <v>3993</v>
      </c>
      <c r="F32" s="83">
        <v>0.75410764872521241</v>
      </c>
      <c r="G32" s="76">
        <v>361</v>
      </c>
      <c r="H32" s="83">
        <v>6.817752596789424E-2</v>
      </c>
      <c r="I32" s="76">
        <v>100</v>
      </c>
      <c r="J32" s="83">
        <v>1.8885741265344664E-2</v>
      </c>
      <c r="K32" s="76">
        <v>841</v>
      </c>
      <c r="L32" s="84">
        <v>0.15882908404154863</v>
      </c>
      <c r="M32" s="28">
        <v>4862</v>
      </c>
      <c r="N32" s="83">
        <f>M32/$B$1</f>
        <v>0.91822474032105761</v>
      </c>
      <c r="O32" s="76">
        <v>4740</v>
      </c>
      <c r="P32" s="83">
        <f>O32/$B$1</f>
        <v>0.89518413597733715</v>
      </c>
      <c r="Q32" s="76">
        <v>122</v>
      </c>
      <c r="R32" s="83">
        <f>Q32/$B$1</f>
        <v>2.3040604343720492E-2</v>
      </c>
      <c r="S32" s="76">
        <v>90</v>
      </c>
      <c r="T32" s="83">
        <f>S32/$B$1</f>
        <v>1.69971671388102E-2</v>
      </c>
      <c r="U32" s="76">
        <v>343</v>
      </c>
      <c r="V32" s="84">
        <f>U32/$B$1</f>
        <v>6.4778092540132198E-2</v>
      </c>
      <c r="W32" s="28">
        <v>5031</v>
      </c>
      <c r="X32" s="83">
        <f>W32/$B$1</f>
        <v>0.95014164305949012</v>
      </c>
      <c r="Y32" s="76">
        <v>4962</v>
      </c>
      <c r="Z32" s="83">
        <f>Y32/$B$1</f>
        <v>0.93711048158640231</v>
      </c>
      <c r="AA32" s="76">
        <v>69</v>
      </c>
      <c r="AB32" s="83">
        <f>AA32/$B$1</f>
        <v>1.3031161473087818E-2</v>
      </c>
      <c r="AC32" s="76">
        <v>70</v>
      </c>
      <c r="AD32" s="83">
        <f>AC32/$B$1</f>
        <v>1.3220018885741265E-2</v>
      </c>
      <c r="AE32" s="76">
        <v>194</v>
      </c>
      <c r="AF32" s="84">
        <f>AE32/$B$1</f>
        <v>3.6638338054768647E-2</v>
      </c>
      <c r="AG32">
        <v>775729</v>
      </c>
      <c r="AH32">
        <f>28.54%*48</f>
        <v>13.699199999999999</v>
      </c>
      <c r="AI32">
        <v>12.95</v>
      </c>
      <c r="AJ32" s="68">
        <v>7.2951388888888885E-2</v>
      </c>
      <c r="AR32" s="20" t="s">
        <v>92</v>
      </c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102"/>
      <c r="BH32" s="345"/>
      <c r="BI32" s="345"/>
      <c r="BJ32" s="345"/>
      <c r="BK32" s="345"/>
      <c r="BL32" s="345"/>
      <c r="BM32" s="284"/>
      <c r="BN32" s="284"/>
      <c r="BO32" s="284"/>
      <c r="BP32" s="284"/>
      <c r="BQ32" s="284"/>
      <c r="BR32" s="296"/>
      <c r="BS32" s="296"/>
      <c r="BT32" s="296"/>
      <c r="BU32" s="296"/>
      <c r="BV32" s="296"/>
      <c r="BW32" s="64">
        <f t="shared" ref="BW32:CP32" si="18">IF(BW14&lt;&gt;"",(BW14-MAX(BW$4:BW$14))^2,"")</f>
        <v>0.98079099034451489</v>
      </c>
      <c r="BX32" s="64">
        <f t="shared" si="18"/>
        <v>0.10132189453031951</v>
      </c>
      <c r="BY32" s="64">
        <f t="shared" si="18"/>
        <v>0</v>
      </c>
      <c r="BZ32" s="64">
        <f t="shared" si="18"/>
        <v>0.38598460842009963</v>
      </c>
      <c r="CA32" s="64">
        <f t="shared" si="18"/>
        <v>0.83769031887388645</v>
      </c>
      <c r="CB32" s="64">
        <f t="shared" si="18"/>
        <v>0.28402109784358709</v>
      </c>
      <c r="CC32" s="64">
        <f t="shared" si="18"/>
        <v>2.1997046971966503E-2</v>
      </c>
      <c r="CD32" s="64">
        <f t="shared" si="18"/>
        <v>0</v>
      </c>
      <c r="CE32" s="64">
        <f t="shared" si="18"/>
        <v>1</v>
      </c>
      <c r="CF32" s="64">
        <f t="shared" si="18"/>
        <v>0.20376343588772144</v>
      </c>
      <c r="CG32" s="64">
        <f t="shared" si="18"/>
        <v>0.23714152369479755</v>
      </c>
      <c r="CH32" s="64">
        <f t="shared" si="18"/>
        <v>1.6043300804231862E-2</v>
      </c>
      <c r="CI32" s="64">
        <f t="shared" si="18"/>
        <v>0</v>
      </c>
      <c r="CJ32" s="64">
        <f t="shared" si="18"/>
        <v>1</v>
      </c>
      <c r="CK32" s="64">
        <f t="shared" si="18"/>
        <v>0.16650404492436269</v>
      </c>
      <c r="CL32" s="64">
        <f t="shared" si="18"/>
        <v>0.28674297606659721</v>
      </c>
      <c r="CM32" s="64">
        <f t="shared" si="18"/>
        <v>0.27039999999999981</v>
      </c>
      <c r="CN32" s="64">
        <f t="shared" si="18"/>
        <v>0</v>
      </c>
      <c r="CO32" s="64">
        <f t="shared" si="18"/>
        <v>1</v>
      </c>
      <c r="CP32" s="64">
        <f t="shared" si="18"/>
        <v>0.22570391055286365</v>
      </c>
      <c r="CQ32" s="64">
        <f t="shared" ref="CQ32:CU32" si="19">IF(CQ14&lt;&gt;"",(CQ14-MAX(CQ$4:CQ$14))^2,"")</f>
        <v>0.28513526251296056</v>
      </c>
      <c r="CR32" s="64">
        <f t="shared" si="19"/>
        <v>0.27039999999999981</v>
      </c>
      <c r="CS32" s="64">
        <f t="shared" si="19"/>
        <v>0</v>
      </c>
      <c r="CT32" s="64">
        <f t="shared" si="19"/>
        <v>1</v>
      </c>
      <c r="CU32" s="64">
        <f t="shared" si="19"/>
        <v>0.22404444444444438</v>
      </c>
      <c r="CV32" s="64"/>
      <c r="CW32" s="64"/>
      <c r="CX32" s="64"/>
    </row>
    <row r="33" spans="1:109" x14ac:dyDescent="0.3">
      <c r="A33" t="s">
        <v>91</v>
      </c>
      <c r="B33" t="s">
        <v>395</v>
      </c>
      <c r="C33" s="28">
        <v>4264</v>
      </c>
      <c r="D33" s="83">
        <v>0.80528800755429653</v>
      </c>
      <c r="E33" s="76">
        <v>3900</v>
      </c>
      <c r="F33" s="83">
        <v>0.73654390934844194</v>
      </c>
      <c r="G33" s="76">
        <v>364</v>
      </c>
      <c r="H33" s="83">
        <v>6.8744098205854573E-2</v>
      </c>
      <c r="I33" s="76">
        <v>197</v>
      </c>
      <c r="J33" s="83">
        <v>3.7204910292728988E-2</v>
      </c>
      <c r="K33" s="76">
        <v>834</v>
      </c>
      <c r="L33" s="84">
        <v>0.15750708215297451</v>
      </c>
      <c r="M33" s="28"/>
      <c r="N33" s="76"/>
      <c r="O33" s="76"/>
      <c r="P33" s="76"/>
      <c r="Q33" s="76"/>
      <c r="R33" s="76"/>
      <c r="S33" s="76"/>
      <c r="T33" s="76"/>
      <c r="U33" s="76"/>
      <c r="V33" s="30"/>
      <c r="W33" s="28"/>
      <c r="X33" s="83"/>
      <c r="Y33" s="76"/>
      <c r="Z33" s="83"/>
      <c r="AA33" s="76"/>
      <c r="AB33" s="83"/>
      <c r="AC33" s="76"/>
      <c r="AD33" s="83"/>
      <c r="AE33" s="76"/>
      <c r="AF33" s="84"/>
      <c r="AG33">
        <v>775728</v>
      </c>
      <c r="AH33">
        <f>29.9%*48</f>
        <v>14.352</v>
      </c>
      <c r="AI33">
        <v>13.91</v>
      </c>
      <c r="AJ33" s="68">
        <v>7.7835648148148154E-2</v>
      </c>
      <c r="AR33" s="142" t="s">
        <v>290</v>
      </c>
      <c r="AS33" s="83"/>
      <c r="AT33" s="83"/>
      <c r="AU33" s="83"/>
      <c r="AV33" s="83"/>
      <c r="AW33" s="83"/>
      <c r="AX33" s="76"/>
      <c r="AY33" s="76"/>
      <c r="AZ33" s="76"/>
      <c r="BA33" s="76"/>
      <c r="BB33" s="76"/>
      <c r="BC33" s="83"/>
      <c r="BD33" s="83"/>
      <c r="BE33" s="83"/>
      <c r="BF33" s="83"/>
      <c r="BH33" s="346" t="s">
        <v>1090</v>
      </c>
      <c r="BI33" s="346"/>
      <c r="BJ33" s="346"/>
      <c r="BK33" s="346"/>
      <c r="BL33" s="346"/>
      <c r="BM33" s="287"/>
      <c r="BN33" s="287"/>
      <c r="BO33" s="287"/>
      <c r="BP33" s="287"/>
      <c r="BQ33" s="287"/>
      <c r="BR33" s="297"/>
      <c r="BS33" s="297"/>
      <c r="BT33" s="297"/>
      <c r="BU33" s="297"/>
      <c r="BV33" s="297"/>
      <c r="BW33" s="64">
        <f>SQRT(SUM(BW$24:BW$32)/COUNTIF(BW$24:BW$32,"&lt;&gt;"))</f>
        <v>0.53442445531072957</v>
      </c>
      <c r="BX33" s="64">
        <f t="shared" ref="BX33:CU33" si="20">SQRT(SUM(BX$24:BX$32)/COUNTIF(BX$24:BX$32,"&lt;&gt;"))</f>
        <v>0.42793587557733692</v>
      </c>
      <c r="BY33" s="64">
        <f t="shared" si="20"/>
        <v>0.40641621450251114</v>
      </c>
      <c r="BZ33" s="64">
        <f t="shared" si="20"/>
        <v>0.4190019062663754</v>
      </c>
      <c r="CA33" s="64">
        <f t="shared" si="20"/>
        <v>0.5001525826662313</v>
      </c>
      <c r="CB33" s="64">
        <f t="shared" si="20"/>
        <v>0.38913330086109305</v>
      </c>
      <c r="CC33" s="64">
        <f t="shared" si="20"/>
        <v>0.43518117593873923</v>
      </c>
      <c r="CD33" s="64">
        <f t="shared" si="20"/>
        <v>0.4087885291021785</v>
      </c>
      <c r="CE33" s="64">
        <f t="shared" si="20"/>
        <v>0.43241725190645869</v>
      </c>
      <c r="CF33" s="64">
        <f t="shared" si="20"/>
        <v>0.37326560196647873</v>
      </c>
      <c r="CG33" s="64">
        <f t="shared" si="20"/>
        <v>0.37864814264663116</v>
      </c>
      <c r="CH33" s="64">
        <f t="shared" si="20"/>
        <v>0.43610005045070055</v>
      </c>
      <c r="CI33" s="64">
        <f t="shared" si="20"/>
        <v>0.4127232528131366</v>
      </c>
      <c r="CJ33" s="64">
        <f t="shared" si="20"/>
        <v>0.45496058089800984</v>
      </c>
      <c r="CK33" s="64">
        <f t="shared" si="20"/>
        <v>0.3641768637445042</v>
      </c>
      <c r="CL33" s="64">
        <f t="shared" si="20"/>
        <v>0.39070895299715508</v>
      </c>
      <c r="CM33" s="64">
        <f t="shared" si="20"/>
        <v>0.4348051926501747</v>
      </c>
      <c r="CN33" s="64">
        <f t="shared" si="20"/>
        <v>0.45861922484182216</v>
      </c>
      <c r="CO33" s="64">
        <f t="shared" si="20"/>
        <v>0.45509461775669369</v>
      </c>
      <c r="CP33" s="64">
        <f t="shared" si="20"/>
        <v>0.37826610903306934</v>
      </c>
      <c r="CQ33" s="64">
        <f t="shared" si="20"/>
        <v>0.38991354715206011</v>
      </c>
      <c r="CR33" s="64">
        <f t="shared" si="20"/>
        <v>0.42034083759859259</v>
      </c>
      <c r="CS33" s="64">
        <f t="shared" si="20"/>
        <v>0.46056618647183828</v>
      </c>
      <c r="CT33" s="64">
        <f t="shared" si="20"/>
        <v>0.45509461775669369</v>
      </c>
      <c r="CU33" s="64">
        <f t="shared" si="20"/>
        <v>0.37749172176353746</v>
      </c>
      <c r="CV33" s="348" t="s">
        <v>1084</v>
      </c>
      <c r="CW33" s="348"/>
      <c r="CX33" s="348"/>
      <c r="CY33" s="348"/>
      <c r="CZ33" s="288"/>
      <c r="DA33" s="345" t="s">
        <v>1087</v>
      </c>
      <c r="DB33" s="345"/>
      <c r="DC33" s="345"/>
      <c r="DD33" s="345"/>
    </row>
    <row r="34" spans="1:109" x14ac:dyDescent="0.3">
      <c r="A34" t="s">
        <v>93</v>
      </c>
      <c r="C34" s="28">
        <v>5043</v>
      </c>
      <c r="D34" s="83">
        <v>0.95240793201133145</v>
      </c>
      <c r="E34" s="76">
        <v>4477</v>
      </c>
      <c r="F34" s="83">
        <v>0.84551463644948066</v>
      </c>
      <c r="G34" s="76">
        <v>566</v>
      </c>
      <c r="H34" s="83">
        <v>0.1068932955618508</v>
      </c>
      <c r="I34" s="76">
        <v>55</v>
      </c>
      <c r="J34" s="83">
        <v>1.0387157695939566E-2</v>
      </c>
      <c r="K34" s="76">
        <v>197</v>
      </c>
      <c r="L34" s="84">
        <v>3.7204910292728988E-2</v>
      </c>
      <c r="M34" s="28">
        <v>5165</v>
      </c>
      <c r="N34" s="83">
        <f>M34/$B$1</f>
        <v>0.97544853635505191</v>
      </c>
      <c r="O34" s="76">
        <v>4562</v>
      </c>
      <c r="P34" s="83">
        <f>O34/$B$1</f>
        <v>0.86156751652502361</v>
      </c>
      <c r="Q34" s="76">
        <v>603</v>
      </c>
      <c r="R34" s="83">
        <f>Q34/$B$1</f>
        <v>0.11388101983002832</v>
      </c>
      <c r="S34" s="76">
        <v>39</v>
      </c>
      <c r="T34" s="83">
        <f>S34/$B$1</f>
        <v>7.3654390934844195E-3</v>
      </c>
      <c r="U34" s="76">
        <v>91</v>
      </c>
      <c r="V34" s="84">
        <f>U34/$B$1</f>
        <v>1.7186024551463643E-2</v>
      </c>
      <c r="W34" s="28">
        <v>5180</v>
      </c>
      <c r="X34" s="83">
        <f>W34/$B$1</f>
        <v>0.97828139754485366</v>
      </c>
      <c r="Y34" s="76">
        <v>4488</v>
      </c>
      <c r="Z34" s="83">
        <f>Y34/$B$1</f>
        <v>0.8475920679886686</v>
      </c>
      <c r="AA34" s="76">
        <v>692</v>
      </c>
      <c r="AB34" s="83">
        <f>AA34/$B$1</f>
        <v>0.13068932955618509</v>
      </c>
      <c r="AC34" s="76">
        <v>37</v>
      </c>
      <c r="AD34" s="83">
        <f>AC34/$B$1</f>
        <v>6.987724268177526E-3</v>
      </c>
      <c r="AE34" s="76">
        <v>78</v>
      </c>
      <c r="AF34" s="84">
        <f>AE34/$B$1</f>
        <v>1.4730878186968839E-2</v>
      </c>
      <c r="AG34">
        <v>775727</v>
      </c>
      <c r="AH34">
        <f>33.02%*48</f>
        <v>15.849600000000002</v>
      </c>
      <c r="AI34">
        <v>13.93</v>
      </c>
      <c r="AJ34" s="68">
        <v>7.6701388888888888E-2</v>
      </c>
      <c r="AR34" s="28" t="s">
        <v>372</v>
      </c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279"/>
      <c r="BH34" s="346" t="s">
        <v>1088</v>
      </c>
      <c r="BI34" s="346"/>
      <c r="BJ34" s="346"/>
      <c r="BK34" s="346"/>
      <c r="BL34" s="346"/>
      <c r="BM34" s="287"/>
      <c r="BN34" s="287"/>
      <c r="BO34" s="287"/>
      <c r="BP34" s="287"/>
      <c r="BQ34" s="287"/>
      <c r="BR34" s="297"/>
      <c r="BS34" s="297"/>
      <c r="BT34" s="297"/>
      <c r="BU34" s="297"/>
      <c r="BV34" s="297"/>
      <c r="BW34" s="64">
        <f>IF(BW24&lt;&gt;"",(BW24-AVERAGE(BW$24:BW$32))/BW$33,"")</f>
        <v>-0.5413294778919937</v>
      </c>
      <c r="BX34" s="64">
        <f t="shared" ref="BX34:CP42" si="21">IF(BX24&lt;&gt;"",(BX24-AVERAGE(BX$24:BX$32))/BX$33,"")</f>
        <v>1.8553708452742275</v>
      </c>
      <c r="BY34" s="64">
        <f t="shared" si="21"/>
        <v>2.0033135099192734</v>
      </c>
      <c r="BZ34" s="64">
        <f t="shared" si="21"/>
        <v>-0.31579821557924431</v>
      </c>
      <c r="CA34" s="64">
        <f t="shared" si="21"/>
        <v>-0.52379353611172452</v>
      </c>
      <c r="CB34" s="64">
        <f t="shared" si="21"/>
        <v>-0.49986518655504325</v>
      </c>
      <c r="CC34" s="64">
        <f t="shared" si="21"/>
        <v>1.738374855534601</v>
      </c>
      <c r="CD34" s="64">
        <f t="shared" si="21"/>
        <v>1.9206673429976868</v>
      </c>
      <c r="CE34" s="64">
        <f t="shared" si="21"/>
        <v>-0.55200532722175877</v>
      </c>
      <c r="CF34" s="64">
        <f t="shared" si="21"/>
        <v>-0.47967368893508516</v>
      </c>
      <c r="CG34" s="64">
        <f t="shared" si="21"/>
        <v>-0.42576872301790297</v>
      </c>
      <c r="CH34" s="64">
        <f t="shared" si="21"/>
        <v>1.8024392302503707</v>
      </c>
      <c r="CI34" s="64">
        <f t="shared" si="21"/>
        <v>1.95861742863021</v>
      </c>
      <c r="CJ34" s="64">
        <f t="shared" si="21"/>
        <v>-0.50188733146495856</v>
      </c>
      <c r="CK34" s="64">
        <f t="shared" si="21"/>
        <v>-0.40968519680221477</v>
      </c>
      <c r="CL34" s="64">
        <f t="shared" si="21"/>
        <v>-0.43688425274213244</v>
      </c>
      <c r="CM34" s="64">
        <f t="shared" si="21"/>
        <v>-9.6234029084423911E-2</v>
      </c>
      <c r="CN34" s="64">
        <f t="shared" si="21"/>
        <v>1.3793964453846126</v>
      </c>
      <c r="CO34" s="64">
        <f t="shared" si="21"/>
        <v>-0.49791843532886321</v>
      </c>
      <c r="CP34" s="64">
        <f t="shared" si="21"/>
        <v>-0.42263147822107466</v>
      </c>
      <c r="CQ34" s="64">
        <f t="shared" ref="CQ34:CU34" si="22">IF(CQ24&lt;&gt;"",(CQ24-AVERAGE(CQ$24:CQ$32))/CQ$33,"")</f>
        <v>-0.43647703692043921</v>
      </c>
      <c r="CR34" s="64">
        <f t="shared" si="22"/>
        <v>-0.19244964373814921</v>
      </c>
      <c r="CS34" s="64">
        <f t="shared" si="22"/>
        <v>1.3855565488995969</v>
      </c>
      <c r="CT34" s="64">
        <f t="shared" si="22"/>
        <v>-0.49791843532886321</v>
      </c>
      <c r="CU34" s="64">
        <f t="shared" si="22"/>
        <v>-0.42229402874126248</v>
      </c>
      <c r="CV34" s="64">
        <f>IFERROR(AVERAGEIF($BW$1:$CU$1,"="&amp;CV$3,$BW34:$CU34),"")</f>
        <v>0.49555262512210768</v>
      </c>
      <c r="CW34" s="64">
        <f t="shared" ref="CW34:CZ34" si="23">IFERROR(AVERAGEIF($BW$1:$CU$1,"="&amp;CW$3,$BW34:$CU34),"")</f>
        <v>0.42549959916408014</v>
      </c>
      <c r="CX34" s="64">
        <f t="shared" si="23"/>
        <v>0.48474308151910089</v>
      </c>
      <c r="CY34" s="64">
        <f t="shared" si="23"/>
        <v>-1.4854349998376315E-2</v>
      </c>
      <c r="CZ34" s="64">
        <f t="shared" si="23"/>
        <v>-3.2716519165823452E-2</v>
      </c>
      <c r="DA34" s="155">
        <f>IF(CV34&lt;&gt;"",(MAX(CV$34:CV$42)-CV34)/(MAX(CV$34:CV$42)-MIN(CV$34:CV$42)),"")</f>
        <v>0</v>
      </c>
      <c r="DB34" s="155">
        <f t="shared" ref="DB34:DC34" si="24">IF(CW34&lt;&gt;"",(MAX(CW$34:CW$42)-CW34)/(MAX(CW$34:CW$42)-MIN(CW$34:CW$42)),"")</f>
        <v>0.20057018332995805</v>
      </c>
      <c r="DC34" s="155">
        <f t="shared" si="24"/>
        <v>0.24570784838024726</v>
      </c>
      <c r="DD34" s="155">
        <f>IF(CY34&lt;&gt;"",(MAX(CY$34:CY$42)-CY34)/(MAX(CY$34:CY$42)-MIN(CY$34:CY$42)),"")</f>
        <v>0.70936848447820589</v>
      </c>
      <c r="DE34" s="155">
        <f>IF(CZ34&lt;&gt;"",(MAX(CZ$34:CZ$42)-CZ34)/(MAX(CZ$34:CZ$42)-MIN(CZ$34:CZ$42)),"")</f>
        <v>0.72582087411037377</v>
      </c>
    </row>
    <row r="35" spans="1:109" x14ac:dyDescent="0.3">
      <c r="A35" t="s">
        <v>92</v>
      </c>
      <c r="C35" s="20">
        <v>3709</v>
      </c>
      <c r="D35" s="85">
        <v>0.70047214353163356</v>
      </c>
      <c r="E35" s="18">
        <v>3693</v>
      </c>
      <c r="F35" s="85">
        <v>0.69745042492917853</v>
      </c>
      <c r="G35" s="18">
        <v>16</v>
      </c>
      <c r="H35" s="85">
        <v>3.0217186024551462E-3</v>
      </c>
      <c r="I35" s="18">
        <v>201</v>
      </c>
      <c r="J35" s="85">
        <v>3.7960339943342775E-2</v>
      </c>
      <c r="K35" s="18">
        <v>1385</v>
      </c>
      <c r="L35" s="86">
        <v>0.26156751652502358</v>
      </c>
      <c r="M35" s="20">
        <v>4399</v>
      </c>
      <c r="N35" s="85">
        <f>M35/$B$1</f>
        <v>0.83078375826251183</v>
      </c>
      <c r="O35" s="18">
        <v>4353</v>
      </c>
      <c r="P35" s="85">
        <f>O35/$B$1</f>
        <v>0.82209631728045329</v>
      </c>
      <c r="Q35" s="18">
        <v>46</v>
      </c>
      <c r="R35" s="85">
        <f>Q35/$B$1</f>
        <v>8.687440982058545E-3</v>
      </c>
      <c r="S35" s="18">
        <v>184</v>
      </c>
      <c r="T35" s="85">
        <f>S35/$B$1</f>
        <v>3.474976392823418E-2</v>
      </c>
      <c r="U35" s="18">
        <v>712</v>
      </c>
      <c r="V35" s="86">
        <f>U35/$B$1</f>
        <v>0.13446647780925403</v>
      </c>
      <c r="W35" s="20">
        <v>4529</v>
      </c>
      <c r="X35" s="85">
        <f>W35/$B$1</f>
        <v>0.85533522190745992</v>
      </c>
      <c r="Y35" s="18">
        <v>4476</v>
      </c>
      <c r="Z35" s="85">
        <f>Y35/$B$1</f>
        <v>0.84532577903682715</v>
      </c>
      <c r="AA35" s="18">
        <v>53</v>
      </c>
      <c r="AB35" s="85">
        <f>AA35/$B$1</f>
        <v>1.0009442870632672E-2</v>
      </c>
      <c r="AC35" s="18">
        <v>169</v>
      </c>
      <c r="AD35" s="85">
        <f>AC35/$B$1</f>
        <v>3.1916902738432486E-2</v>
      </c>
      <c r="AE35" s="18">
        <v>597</v>
      </c>
      <c r="AF35" s="86">
        <f>AE35/$B$1</f>
        <v>0.11274787535410764</v>
      </c>
      <c r="AR35" s="142" t="s">
        <v>222</v>
      </c>
      <c r="BG35" s="279"/>
      <c r="BH35" s="346"/>
      <c r="BI35" s="346"/>
      <c r="BJ35" s="346"/>
      <c r="BK35" s="346"/>
      <c r="BL35" s="346"/>
      <c r="BM35" s="287"/>
      <c r="BN35" s="287"/>
      <c r="BO35" s="287"/>
      <c r="BP35" s="287"/>
      <c r="BQ35" s="287"/>
      <c r="BR35" s="297"/>
      <c r="BS35" s="297"/>
      <c r="BT35" s="297"/>
      <c r="BU35" s="297"/>
      <c r="BV35" s="297"/>
      <c r="BW35" s="64" t="str">
        <f t="shared" ref="BW35:CL42" si="25">IF(BW25&lt;&gt;"",(BW25-AVERAGE(BW$24:BW$32))/BW$33,"")</f>
        <v/>
      </c>
      <c r="BX35" s="64" t="str">
        <f t="shared" si="25"/>
        <v/>
      </c>
      <c r="BY35" s="64" t="str">
        <f t="shared" si="25"/>
        <v/>
      </c>
      <c r="BZ35" s="64" t="str">
        <f t="shared" si="25"/>
        <v/>
      </c>
      <c r="CA35" s="64" t="str">
        <f t="shared" si="25"/>
        <v/>
      </c>
      <c r="CB35" s="64" t="str">
        <f t="shared" si="25"/>
        <v/>
      </c>
      <c r="CC35" s="64" t="str">
        <f t="shared" si="25"/>
        <v/>
      </c>
      <c r="CD35" s="64" t="str">
        <f t="shared" si="25"/>
        <v/>
      </c>
      <c r="CE35" s="64" t="str">
        <f t="shared" si="25"/>
        <v/>
      </c>
      <c r="CF35" s="64" t="str">
        <f t="shared" si="25"/>
        <v/>
      </c>
      <c r="CG35" s="64">
        <f t="shared" si="25"/>
        <v>-0.42497170874695339</v>
      </c>
      <c r="CH35" s="64">
        <f t="shared" si="25"/>
        <v>-0.4464641299179507</v>
      </c>
      <c r="CI35" s="64">
        <f t="shared" si="25"/>
        <v>-0.40066346042550521</v>
      </c>
      <c r="CJ35" s="64">
        <f t="shared" si="25"/>
        <v>-0.4987412449437163</v>
      </c>
      <c r="CK35" s="64">
        <f t="shared" si="25"/>
        <v>-0.40927698436862398</v>
      </c>
      <c r="CL35" s="64">
        <f t="shared" si="25"/>
        <v>-0.43954757212179951</v>
      </c>
      <c r="CM35" s="64">
        <f t="shared" si="21"/>
        <v>-0.10254592344731518</v>
      </c>
      <c r="CN35" s="64">
        <f t="shared" si="21"/>
        <v>1.664511464155173</v>
      </c>
      <c r="CO35" s="64">
        <f t="shared" si="21"/>
        <v>-0.49791843532886321</v>
      </c>
      <c r="CP35" s="64">
        <f t="shared" si="21"/>
        <v>-0.42554937266220305</v>
      </c>
      <c r="CQ35" s="64">
        <f t="shared" ref="CQ35:CU35" si="26">IF(CQ25&lt;&gt;"",(CQ25-AVERAGE(CQ$24:CQ$32))/CQ$33,"")</f>
        <v>-0.43865274054606762</v>
      </c>
      <c r="CR35" s="64">
        <f t="shared" si="26"/>
        <v>-0.20323454239142377</v>
      </c>
      <c r="CS35" s="64">
        <f t="shared" si="26"/>
        <v>1.6531036335864195</v>
      </c>
      <c r="CT35" s="64">
        <f t="shared" si="26"/>
        <v>-0.49791843532886321</v>
      </c>
      <c r="CU35" s="64">
        <f t="shared" si="26"/>
        <v>-0.42467818698397963</v>
      </c>
      <c r="CV35" s="64" t="str">
        <f t="shared" ref="CV35:CZ42" si="27">IFERROR(AVERAGEIF($BW$1:$CU$1,"="&amp;CV$3,$BW35:$CU35),"")</f>
        <v/>
      </c>
      <c r="CW35" s="64" t="str">
        <f t="shared" si="27"/>
        <v/>
      </c>
      <c r="CX35" s="64">
        <f t="shared" si="27"/>
        <v>-0.43602350568054993</v>
      </c>
      <c r="CY35" s="64">
        <f t="shared" si="27"/>
        <v>3.9790032118998432E-2</v>
      </c>
      <c r="CZ35" s="64">
        <f t="shared" si="27"/>
        <v>1.7723945667217068E-2</v>
      </c>
      <c r="DA35" s="155" t="str">
        <f t="shared" ref="DA35:DA42" si="28">IF(CV35&lt;&gt;"",(MAX(CV$34:CV$42)-CV35)/(MAX(CV$34:CV$42)-MIN(CV$34:CV$42)),"")</f>
        <v/>
      </c>
      <c r="DB35" s="155" t="str">
        <f t="shared" ref="DB35:DB42" si="29">IF(CW35&lt;&gt;"",(MAX(CW$34:CW$42)-CW35)/(MAX(CW$34:CW$42)-MIN(CW$34:CW$42)),"")</f>
        <v/>
      </c>
      <c r="DC35" s="155">
        <f t="shared" ref="DC35:DC42" si="30">IF(CX35&lt;&gt;"",(MAX(CX$34:CX$42)-CX35)/(MAX(CX$34:CX$42)-MIN(CX$34:CX$42)),"")</f>
        <v>0.98091168757696257</v>
      </c>
      <c r="DD35" s="155">
        <f t="shared" ref="DD35:DD42" si="31">IF(CY35&lt;&gt;"",(MAX(CY$34:CY$42)-CY35)/(MAX(CY$34:CY$42)-MIN(CY$34:CY$42)),"")</f>
        <v>0.67488470477080409</v>
      </c>
      <c r="DE35" s="155">
        <f t="shared" ref="DE35:DE42" si="32">IF(CZ35&lt;&gt;"",(MAX(CZ$34:CZ$42)-CZ35)/(MAX(CZ$34:CZ$42)-MIN(CZ$34:CZ$42)),"")</f>
        <v>0.6943435399922967</v>
      </c>
    </row>
    <row r="36" spans="1:109" x14ac:dyDescent="0.3">
      <c r="AB36" s="11"/>
      <c r="AR36" s="28" t="s">
        <v>90</v>
      </c>
      <c r="BE36" s="11"/>
      <c r="BG36" s="279"/>
      <c r="BH36" s="346"/>
      <c r="BI36" s="346"/>
      <c r="BJ36" s="346"/>
      <c r="BK36" s="346"/>
      <c r="BL36" s="346"/>
      <c r="BM36" s="287"/>
      <c r="BN36" s="287"/>
      <c r="BO36" s="287"/>
      <c r="BP36" s="287"/>
      <c r="BQ36" s="287"/>
      <c r="BR36" s="297"/>
      <c r="BS36" s="297"/>
      <c r="BT36" s="297"/>
      <c r="BU36" s="297"/>
      <c r="BV36" s="297"/>
      <c r="BW36" s="64">
        <f t="shared" si="25"/>
        <v>-0.13828390567691837</v>
      </c>
      <c r="BX36" s="64">
        <f t="shared" si="21"/>
        <v>-0.2664797240398582</v>
      </c>
      <c r="BY36" s="64">
        <f t="shared" si="21"/>
        <v>-0.33133219225130989</v>
      </c>
      <c r="BZ36" s="64">
        <f t="shared" si="21"/>
        <v>1.9152468422258486</v>
      </c>
      <c r="CA36" s="64">
        <f t="shared" si="21"/>
        <v>-0.33811464743645536</v>
      </c>
      <c r="CB36" s="64">
        <f t="shared" si="21"/>
        <v>-0.41295951664451136</v>
      </c>
      <c r="CC36" s="64">
        <f t="shared" si="21"/>
        <v>0.71224636625353233</v>
      </c>
      <c r="CD36" s="64">
        <f t="shared" si="21"/>
        <v>0.65251569139499388</v>
      </c>
      <c r="CE36" s="64">
        <f t="shared" si="21"/>
        <v>0.31528136141660168</v>
      </c>
      <c r="CF36" s="64">
        <f t="shared" si="21"/>
        <v>-0.43606485303515413</v>
      </c>
      <c r="CG36" s="64">
        <f t="shared" si="21"/>
        <v>-0.32266830980170363</v>
      </c>
      <c r="CH36" s="64">
        <f t="shared" si="21"/>
        <v>0.78980856563320911</v>
      </c>
      <c r="CI36" s="64">
        <f t="shared" si="21"/>
        <v>0.70384180086593728</v>
      </c>
      <c r="CJ36" s="64">
        <f t="shared" si="21"/>
        <v>0.54663232443708865</v>
      </c>
      <c r="CK36" s="64">
        <f t="shared" si="21"/>
        <v>-0.35972265425483141</v>
      </c>
      <c r="CL36" s="64">
        <f t="shared" si="21"/>
        <v>-0.2816393661013406</v>
      </c>
      <c r="CM36" s="64">
        <f t="shared" si="21"/>
        <v>-0.31732921138294373</v>
      </c>
      <c r="CN36" s="64">
        <f t="shared" si="21"/>
        <v>-0.48821170394213165</v>
      </c>
      <c r="CO36" s="64">
        <f t="shared" si="21"/>
        <v>0.75720517570311674</v>
      </c>
      <c r="CP36" s="64">
        <f t="shared" si="21"/>
        <v>-0.32050517278158414</v>
      </c>
      <c r="CQ36" s="64">
        <f t="shared" ref="CQ36:CU36" si="33">IF(CQ26&lt;&gt;"",(CQ26-AVERAGE(CQ$24:CQ$32))/CQ$33,"")</f>
        <v>-0.2875622109885379</v>
      </c>
      <c r="CR36" s="64">
        <f t="shared" si="33"/>
        <v>-0.30370856146273845</v>
      </c>
      <c r="CS36" s="64">
        <f t="shared" si="33"/>
        <v>-0.48296645099569591</v>
      </c>
      <c r="CT36" s="64">
        <f t="shared" si="33"/>
        <v>0.75720517570311674</v>
      </c>
      <c r="CU36" s="64">
        <f t="shared" si="33"/>
        <v>-0.32566203478027278</v>
      </c>
      <c r="CV36" s="64">
        <f t="shared" si="27"/>
        <v>0.16820727456426138</v>
      </c>
      <c r="CW36" s="64">
        <f t="shared" si="27"/>
        <v>0.16620380987709246</v>
      </c>
      <c r="CX36" s="64">
        <f t="shared" si="27"/>
        <v>0.27157834537594</v>
      </c>
      <c r="CY36" s="64">
        <f t="shared" si="27"/>
        <v>-0.13009605570097665</v>
      </c>
      <c r="CZ36" s="64">
        <f t="shared" si="27"/>
        <v>-0.12853881650482563</v>
      </c>
      <c r="DA36" s="155">
        <f t="shared" si="28"/>
        <v>0.33033019356225052</v>
      </c>
      <c r="DB36" s="155">
        <f t="shared" si="29"/>
        <v>0.41912659286822862</v>
      </c>
      <c r="DC36" s="155">
        <f t="shared" si="30"/>
        <v>0.41591334298930077</v>
      </c>
      <c r="DD36" s="155">
        <f t="shared" si="31"/>
        <v>0.78209269579818619</v>
      </c>
      <c r="DE36" s="155">
        <f t="shared" si="32"/>
        <v>0.78561870664988975</v>
      </c>
    </row>
    <row r="37" spans="1:109" x14ac:dyDescent="0.3">
      <c r="AR37" s="28" t="s">
        <v>89</v>
      </c>
      <c r="BG37" s="279"/>
      <c r="BH37" s="346"/>
      <c r="BI37" s="346"/>
      <c r="BJ37" s="346"/>
      <c r="BK37" s="346"/>
      <c r="BL37" s="346"/>
      <c r="BM37" s="287"/>
      <c r="BN37" s="287"/>
      <c r="BO37" s="287"/>
      <c r="BP37" s="287"/>
      <c r="BQ37" s="287"/>
      <c r="BR37" s="297"/>
      <c r="BS37" s="297"/>
      <c r="BT37" s="297"/>
      <c r="BU37" s="297"/>
      <c r="BV37" s="297"/>
      <c r="BW37" s="64">
        <f t="shared" si="25"/>
        <v>-0.5741624821282546</v>
      </c>
      <c r="BX37" s="64">
        <f t="shared" si="21"/>
        <v>-0.46140333729991384</v>
      </c>
      <c r="BY37" s="64">
        <f t="shared" si="21"/>
        <v>-0.33571050051361651</v>
      </c>
      <c r="BZ37" s="64">
        <f t="shared" si="21"/>
        <v>-0.4464845159144038</v>
      </c>
      <c r="CA37" s="64">
        <f t="shared" si="21"/>
        <v>-0.54007176826710002</v>
      </c>
      <c r="CB37" s="64">
        <f t="shared" si="21"/>
        <v>-0.49981667342773139</v>
      </c>
      <c r="CC37" s="64">
        <f t="shared" si="21"/>
        <v>-0.55951865477837892</v>
      </c>
      <c r="CD37" s="64">
        <f t="shared" si="21"/>
        <v>-0.52041350394744601</v>
      </c>
      <c r="CE37" s="64">
        <f t="shared" si="21"/>
        <v>-0.55552507028281484</v>
      </c>
      <c r="CF37" s="64">
        <f t="shared" si="21"/>
        <v>-0.47945427875024116</v>
      </c>
      <c r="CG37" s="64">
        <f t="shared" si="21"/>
        <v>-0.42597916047746009</v>
      </c>
      <c r="CH37" s="64">
        <f t="shared" si="21"/>
        <v>-0.49061255675703802</v>
      </c>
      <c r="CI37" s="64">
        <f t="shared" si="21"/>
        <v>-0.46152684770287711</v>
      </c>
      <c r="CJ37" s="64">
        <f t="shared" si="21"/>
        <v>-0.51183065351026102</v>
      </c>
      <c r="CK37" s="64">
        <f t="shared" si="21"/>
        <v>-0.40969897171256725</v>
      </c>
      <c r="CL37" s="64">
        <f t="shared" si="21"/>
        <v>-0.4388817422768827</v>
      </c>
      <c r="CM37" s="64">
        <f t="shared" si="21"/>
        <v>-0.48915584173144655</v>
      </c>
      <c r="CN37" s="64">
        <f t="shared" si="21"/>
        <v>-0.51286496972428131</v>
      </c>
      <c r="CO37" s="64">
        <f t="shared" si="21"/>
        <v>-0.5119814449762804</v>
      </c>
      <c r="CP37" s="64">
        <f t="shared" si="21"/>
        <v>-0.42411960438605018</v>
      </c>
      <c r="CQ37" s="64">
        <f t="shared" ref="CQ37:CU37" si="34">IF(CQ27&lt;&gt;"",(CQ27-AVERAGE(CQ$24:CQ$32))/CQ$33,"")</f>
        <v>-0.4382229719286595</v>
      </c>
      <c r="CR37" s="64">
        <f t="shared" si="34"/>
        <v>-0.47288344229841667</v>
      </c>
      <c r="CS37" s="64">
        <f t="shared" si="34"/>
        <v>-0.51365092549700142</v>
      </c>
      <c r="CT37" s="64">
        <f t="shared" si="34"/>
        <v>-0.5119814449762804</v>
      </c>
      <c r="CU37" s="64">
        <f t="shared" si="34"/>
        <v>-0.42361856109832757</v>
      </c>
      <c r="CV37" s="64">
        <f t="shared" si="27"/>
        <v>-0.47156652082465778</v>
      </c>
      <c r="CW37" s="64">
        <f t="shared" si="27"/>
        <v>-0.52294563623732249</v>
      </c>
      <c r="CX37" s="64">
        <f t="shared" si="27"/>
        <v>-0.45992963803204068</v>
      </c>
      <c r="CY37" s="64">
        <f t="shared" si="27"/>
        <v>-0.47540072061898825</v>
      </c>
      <c r="CZ37" s="64">
        <f t="shared" si="27"/>
        <v>-0.47207146915973713</v>
      </c>
      <c r="DA37" s="155">
        <f t="shared" si="28"/>
        <v>0.97593765768760787</v>
      </c>
      <c r="DB37" s="155">
        <f t="shared" si="29"/>
        <v>1</v>
      </c>
      <c r="DC37" s="155">
        <f t="shared" si="30"/>
        <v>1</v>
      </c>
      <c r="DD37" s="155">
        <f t="shared" si="31"/>
        <v>1</v>
      </c>
      <c r="DE37" s="155">
        <f t="shared" si="32"/>
        <v>1</v>
      </c>
    </row>
    <row r="38" spans="1:109" x14ac:dyDescent="0.3">
      <c r="AR38" s="28" t="s">
        <v>461</v>
      </c>
      <c r="BG38" s="279"/>
      <c r="BH38" s="346"/>
      <c r="BI38" s="346"/>
      <c r="BJ38" s="346"/>
      <c r="BK38" s="346"/>
      <c r="BL38" s="346"/>
      <c r="BM38" s="287"/>
      <c r="BN38" s="287"/>
      <c r="BO38" s="287"/>
      <c r="BP38" s="287"/>
      <c r="BQ38" s="287"/>
      <c r="BR38" s="297"/>
      <c r="BS38" s="297"/>
      <c r="BT38" s="297"/>
      <c r="BU38" s="297"/>
      <c r="BV38" s="297"/>
      <c r="BW38" s="64">
        <f t="shared" si="25"/>
        <v>-0.11165510891891685</v>
      </c>
      <c r="BX38" s="64">
        <f t="shared" si="21"/>
        <v>-0.3911911603597687</v>
      </c>
      <c r="BY38" s="64">
        <f t="shared" si="21"/>
        <v>-0.41910457636096043</v>
      </c>
      <c r="BZ38" s="64">
        <f t="shared" si="21"/>
        <v>-0.38386399700380669</v>
      </c>
      <c r="CA38" s="64">
        <f t="shared" si="21"/>
        <v>-7.0496333549243992E-2</v>
      </c>
      <c r="CB38" s="64">
        <f t="shared" si="21"/>
        <v>-0.38611061049328987</v>
      </c>
      <c r="CC38" s="64">
        <f t="shared" si="21"/>
        <v>-0.55457892915519402</v>
      </c>
      <c r="CD38" s="64">
        <f t="shared" si="21"/>
        <v>-0.52469325686763324</v>
      </c>
      <c r="CE38" s="64">
        <f t="shared" si="21"/>
        <v>-0.26987592248397863</v>
      </c>
      <c r="CF38" s="64">
        <f t="shared" si="21"/>
        <v>-0.39001985630866487</v>
      </c>
      <c r="CG38" s="64">
        <f t="shared" si="21"/>
        <v>-0.39005256619783052</v>
      </c>
      <c r="CH38" s="64">
        <f t="shared" si="21"/>
        <v>-0.49047880261335031</v>
      </c>
      <c r="CI38" s="64">
        <f t="shared" si="21"/>
        <v>-0.46427872994726255</v>
      </c>
      <c r="CJ38" s="64">
        <f t="shared" si="21"/>
        <v>-0.34124727972553409</v>
      </c>
      <c r="CK38" s="64">
        <f t="shared" si="21"/>
        <v>-0.38566940176894027</v>
      </c>
      <c r="CL38" s="64">
        <f t="shared" si="21"/>
        <v>-0.37818469361427098</v>
      </c>
      <c r="CM38" s="64">
        <f t="shared" si="21"/>
        <v>-0.45028786065469578</v>
      </c>
      <c r="CN38" s="64">
        <f t="shared" si="21"/>
        <v>-0.51582336161813924</v>
      </c>
      <c r="CO38" s="64">
        <f t="shared" si="21"/>
        <v>-0.33970957679542052</v>
      </c>
      <c r="CP38" s="64">
        <f t="shared" si="21"/>
        <v>-0.3715975044457408</v>
      </c>
      <c r="CQ38" s="64">
        <f t="shared" ref="CQ38:CU38" si="35">IF(CQ28&lt;&gt;"",(CQ28-AVERAGE(CQ$24:CQ$32))/CQ$33,"")</f>
        <v>-0.37931781080516402</v>
      </c>
      <c r="CR38" s="64">
        <f t="shared" si="35"/>
        <v>-0.4326779745248126</v>
      </c>
      <c r="CS38" s="64">
        <f t="shared" si="35"/>
        <v>-0.51795751840946536</v>
      </c>
      <c r="CT38" s="64">
        <f t="shared" si="35"/>
        <v>-0.33970957679542052</v>
      </c>
      <c r="CU38" s="64">
        <f t="shared" si="35"/>
        <v>-0.37275651858702996</v>
      </c>
      <c r="CV38" s="64">
        <f t="shared" si="27"/>
        <v>-0.27526223523853932</v>
      </c>
      <c r="CW38" s="64">
        <f t="shared" si="27"/>
        <v>-0.4250557150617521</v>
      </c>
      <c r="CX38" s="64">
        <f t="shared" si="27"/>
        <v>-0.41434535605058354</v>
      </c>
      <c r="CY38" s="64">
        <f t="shared" si="27"/>
        <v>-0.41112059942565349</v>
      </c>
      <c r="CZ38" s="64">
        <f t="shared" si="27"/>
        <v>-0.4084838798243785</v>
      </c>
      <c r="DA38" s="155">
        <f t="shared" si="28"/>
        <v>0.77784340480069314</v>
      </c>
      <c r="DB38" s="155">
        <f t="shared" si="29"/>
        <v>0.91749009977775742</v>
      </c>
      <c r="DC38" s="155">
        <f t="shared" si="30"/>
        <v>0.96360235092617874</v>
      </c>
      <c r="DD38" s="155">
        <f t="shared" si="31"/>
        <v>0.95943550914282816</v>
      </c>
      <c r="DE38" s="155">
        <f t="shared" si="32"/>
        <v>0.96031821273064366</v>
      </c>
    </row>
    <row r="39" spans="1:109" x14ac:dyDescent="0.3">
      <c r="AR39" s="28" t="s">
        <v>384</v>
      </c>
      <c r="BG39" s="279"/>
      <c r="BH39" s="346"/>
      <c r="BI39" s="346"/>
      <c r="BJ39" s="346"/>
      <c r="BK39" s="346"/>
      <c r="BL39" s="346"/>
      <c r="BM39" s="287"/>
      <c r="BN39" s="287"/>
      <c r="BO39" s="287"/>
      <c r="BP39" s="287"/>
      <c r="BQ39" s="287"/>
      <c r="BR39" s="297"/>
      <c r="BS39" s="297"/>
      <c r="BT39" s="297"/>
      <c r="BU39" s="297"/>
      <c r="BV39" s="297"/>
      <c r="BW39" s="64">
        <f t="shared" si="25"/>
        <v>1.2699443438959945</v>
      </c>
      <c r="BX39" s="64">
        <f t="shared" si="21"/>
        <v>-0.17079660380719869</v>
      </c>
      <c r="BY39" s="64">
        <f t="shared" si="21"/>
        <v>-0.45395172170852421</v>
      </c>
      <c r="BZ39" s="64">
        <f t="shared" si="21"/>
        <v>-0.36761464220022866</v>
      </c>
      <c r="CA39" s="64">
        <f t="shared" si="21"/>
        <v>1.4367182000305045</v>
      </c>
      <c r="CB39" s="64">
        <f t="shared" si="21"/>
        <v>2.0694992307169109</v>
      </c>
      <c r="CC39" s="64">
        <f t="shared" si="21"/>
        <v>-0.28801727313413844</v>
      </c>
      <c r="CD39" s="64">
        <f t="shared" si="21"/>
        <v>-0.5248179075708802</v>
      </c>
      <c r="CE39" s="64">
        <f t="shared" si="21"/>
        <v>-0.13852614818168713</v>
      </c>
      <c r="CF39" s="64">
        <f t="shared" si="21"/>
        <v>2.1991445552157662</v>
      </c>
      <c r="CG39" s="64">
        <f t="shared" si="21"/>
        <v>2.2149951039420488</v>
      </c>
      <c r="CH39" s="64">
        <f t="shared" si="21"/>
        <v>-0.25535608256489184</v>
      </c>
      <c r="CI39" s="64">
        <f t="shared" si="21"/>
        <v>-0.46307550972235645</v>
      </c>
      <c r="CJ39" s="64">
        <f t="shared" si="21"/>
        <v>0.12955036625042968</v>
      </c>
      <c r="CK39" s="64">
        <f t="shared" si="21"/>
        <v>2.3362195628090836</v>
      </c>
      <c r="CL39" s="64">
        <f t="shared" si="21"/>
        <v>2.1199023517382289</v>
      </c>
      <c r="CM39" s="64">
        <f t="shared" si="21"/>
        <v>1.8107246953544029</v>
      </c>
      <c r="CN39" s="64">
        <f t="shared" si="21"/>
        <v>-0.51594662794704993</v>
      </c>
      <c r="CO39" s="64">
        <f t="shared" si="21"/>
        <v>-8.65754031419117E-2</v>
      </c>
      <c r="CP39" s="64">
        <f t="shared" si="21"/>
        <v>2.2180921699444505</v>
      </c>
      <c r="CQ39" s="64">
        <f t="shared" ref="CQ39:CU39" si="36">IF(CQ29&lt;&gt;"",(CQ29-AVERAGE(CQ$24:CQ$32))/CQ$33,"")</f>
        <v>2.1260183443752667</v>
      </c>
      <c r="CR39" s="64">
        <f t="shared" si="36"/>
        <v>1.9061383194533097</v>
      </c>
      <c r="CS39" s="64">
        <f t="shared" si="36"/>
        <v>-0.51813695978081808</v>
      </c>
      <c r="CT39" s="64">
        <f t="shared" si="36"/>
        <v>-8.65754031419117E-2</v>
      </c>
      <c r="CU39" s="64">
        <f t="shared" si="36"/>
        <v>2.2243865271461081</v>
      </c>
      <c r="CV39" s="64">
        <f t="shared" si="27"/>
        <v>0.34285991524210951</v>
      </c>
      <c r="CW39" s="64">
        <f t="shared" si="27"/>
        <v>0.66345649140919427</v>
      </c>
      <c r="CX39" s="64">
        <f t="shared" si="27"/>
        <v>0.79246668814286281</v>
      </c>
      <c r="CY39" s="64">
        <f t="shared" si="27"/>
        <v>1.1092394371896241</v>
      </c>
      <c r="CZ39" s="64">
        <f t="shared" si="27"/>
        <v>1.1303661656103909</v>
      </c>
      <c r="DA39" s="155">
        <f t="shared" si="28"/>
        <v>0.15408501243182041</v>
      </c>
      <c r="DB39" s="155">
        <f t="shared" si="29"/>
        <v>0</v>
      </c>
      <c r="DC39" s="155">
        <f t="shared" si="30"/>
        <v>0</v>
      </c>
      <c r="DD39" s="155">
        <f t="shared" si="31"/>
        <v>0</v>
      </c>
      <c r="DE39" s="155">
        <f t="shared" si="32"/>
        <v>0</v>
      </c>
    </row>
    <row r="40" spans="1:109" x14ac:dyDescent="0.3">
      <c r="AR40" s="28" t="s">
        <v>385</v>
      </c>
      <c r="BG40" s="279"/>
      <c r="BH40" s="346"/>
      <c r="BI40" s="346"/>
      <c r="BJ40" s="346"/>
      <c r="BK40" s="346"/>
      <c r="BL40" s="346"/>
      <c r="BM40" s="287"/>
      <c r="BN40" s="287"/>
      <c r="BO40" s="287"/>
      <c r="BP40" s="287"/>
      <c r="BQ40" s="287"/>
      <c r="BR40" s="297"/>
      <c r="BS40" s="297"/>
      <c r="BT40" s="297"/>
      <c r="BU40" s="297"/>
      <c r="BV40" s="297"/>
      <c r="BW40" s="64">
        <f t="shared" si="25"/>
        <v>-0.53728684270004257</v>
      </c>
      <c r="BX40" s="64">
        <f t="shared" si="21"/>
        <v>0.16058682832465448</v>
      </c>
      <c r="BY40" s="64">
        <f t="shared" si="21"/>
        <v>0.35435673650360927</v>
      </c>
      <c r="BZ40" s="64">
        <f t="shared" si="21"/>
        <v>-0.3799313074103875</v>
      </c>
      <c r="CA40" s="64">
        <f t="shared" si="21"/>
        <v>-0.51376812929911164</v>
      </c>
      <c r="CB40" s="64" t="str">
        <f t="shared" si="21"/>
        <v/>
      </c>
      <c r="CC40" s="64" t="str">
        <f t="shared" si="21"/>
        <v/>
      </c>
      <c r="CD40" s="64" t="str">
        <f t="shared" si="21"/>
        <v/>
      </c>
      <c r="CE40" s="64" t="str">
        <f t="shared" si="21"/>
        <v/>
      </c>
      <c r="CF40" s="64" t="str">
        <f t="shared" si="21"/>
        <v/>
      </c>
      <c r="CG40" s="64" t="str">
        <f t="shared" si="21"/>
        <v/>
      </c>
      <c r="CH40" s="64" t="str">
        <f t="shared" si="21"/>
        <v/>
      </c>
      <c r="CI40" s="64" t="str">
        <f t="shared" si="21"/>
        <v/>
      </c>
      <c r="CJ40" s="64" t="str">
        <f t="shared" si="21"/>
        <v/>
      </c>
      <c r="CK40" s="64" t="str">
        <f t="shared" si="21"/>
        <v/>
      </c>
      <c r="CL40" s="64" t="str">
        <f t="shared" si="21"/>
        <v/>
      </c>
      <c r="CM40" s="64" t="str">
        <f t="shared" si="21"/>
        <v/>
      </c>
      <c r="CN40" s="64" t="str">
        <f t="shared" si="21"/>
        <v/>
      </c>
      <c r="CO40" s="64" t="str">
        <f t="shared" si="21"/>
        <v/>
      </c>
      <c r="CP40" s="64" t="str">
        <f t="shared" si="21"/>
        <v/>
      </c>
      <c r="CQ40" s="64" t="str">
        <f t="shared" ref="CQ40:CU40" si="37">IF(CQ30&lt;&gt;"",(CQ30-AVERAGE(CQ$24:CQ$32))/CQ$33,"")</f>
        <v/>
      </c>
      <c r="CR40" s="64" t="str">
        <f t="shared" si="37"/>
        <v/>
      </c>
      <c r="CS40" s="64" t="str">
        <f t="shared" si="37"/>
        <v/>
      </c>
      <c r="CT40" s="64" t="str">
        <f t="shared" si="37"/>
        <v/>
      </c>
      <c r="CU40" s="64" t="str">
        <f t="shared" si="37"/>
        <v/>
      </c>
      <c r="CV40" s="64">
        <f t="shared" si="27"/>
        <v>-0.1832085429162556</v>
      </c>
      <c r="CW40" s="64" t="str">
        <f t="shared" si="27"/>
        <v/>
      </c>
      <c r="CX40" s="64" t="str">
        <f t="shared" si="27"/>
        <v/>
      </c>
      <c r="CY40" s="64" t="str">
        <f t="shared" si="27"/>
        <v/>
      </c>
      <c r="CZ40" s="64" t="str">
        <f t="shared" si="27"/>
        <v/>
      </c>
      <c r="DA40" s="155">
        <f t="shared" si="28"/>
        <v>0.68495033651327197</v>
      </c>
      <c r="DB40" s="155" t="str">
        <f t="shared" si="29"/>
        <v/>
      </c>
      <c r="DC40" s="155" t="str">
        <f t="shared" si="30"/>
        <v/>
      </c>
      <c r="DD40" s="155" t="str">
        <f t="shared" si="31"/>
        <v/>
      </c>
      <c r="DE40" s="155" t="str">
        <f t="shared" si="32"/>
        <v/>
      </c>
    </row>
    <row r="41" spans="1:109" x14ac:dyDescent="0.3">
      <c r="AR41" s="28" t="s">
        <v>93</v>
      </c>
      <c r="BG41" s="279"/>
      <c r="BH41" s="346"/>
      <c r="BI41" s="346"/>
      <c r="BJ41" s="346"/>
      <c r="BK41" s="346"/>
      <c r="BL41" s="346"/>
      <c r="BM41" s="287"/>
      <c r="BN41" s="287"/>
      <c r="BO41" s="287"/>
      <c r="BP41" s="287"/>
      <c r="BQ41" s="287"/>
      <c r="BR41" s="297"/>
      <c r="BS41" s="297"/>
      <c r="BT41" s="297"/>
      <c r="BU41" s="297"/>
      <c r="BV41" s="297"/>
      <c r="BW41" s="64">
        <f t="shared" si="25"/>
        <v>-0.60122751222457071</v>
      </c>
      <c r="BX41" s="64">
        <f t="shared" si="21"/>
        <v>-0.481427860024504</v>
      </c>
      <c r="BY41" s="64">
        <f t="shared" si="21"/>
        <v>-0.3603530142731467</v>
      </c>
      <c r="BZ41" s="64">
        <f t="shared" si="21"/>
        <v>-0.47137714454967228</v>
      </c>
      <c r="CA41" s="64">
        <f t="shared" si="21"/>
        <v>-0.56267165549951015</v>
      </c>
      <c r="CB41" s="64">
        <f t="shared" si="21"/>
        <v>-0.50031424396426261</v>
      </c>
      <c r="CC41" s="64">
        <f t="shared" si="21"/>
        <v>-0.53953458142497501</v>
      </c>
      <c r="CD41" s="64">
        <f t="shared" si="21"/>
        <v>-0.47767311430392012</v>
      </c>
      <c r="CE41" s="64">
        <f t="shared" si="21"/>
        <v>-0.55596503816544696</v>
      </c>
      <c r="CF41" s="64">
        <f t="shared" si="21"/>
        <v>-0.47991291681404413</v>
      </c>
      <c r="CG41" s="64">
        <f t="shared" si="21"/>
        <v>-0.42586013632592729</v>
      </c>
      <c r="CH41" s="64">
        <f t="shared" si="21"/>
        <v>-0.45551178685195159</v>
      </c>
      <c r="CI41" s="64">
        <f t="shared" si="21"/>
        <v>-0.40860102228336781</v>
      </c>
      <c r="CJ41" s="64">
        <f t="shared" si="21"/>
        <v>-0.50863814928076589</v>
      </c>
      <c r="CK41" s="64">
        <f t="shared" si="21"/>
        <v>-0.40967392521997198</v>
      </c>
      <c r="CL41" s="64">
        <f t="shared" si="21"/>
        <v>-0.43912144102105277</v>
      </c>
      <c r="CM41" s="64">
        <f t="shared" si="21"/>
        <v>-0.48790368455014427</v>
      </c>
      <c r="CN41" s="64">
        <f t="shared" si="21"/>
        <v>-0.49511461836113352</v>
      </c>
      <c r="CO41" s="64">
        <f t="shared" si="21"/>
        <v>-0.50846569256442609</v>
      </c>
      <c r="CP41" s="64">
        <f t="shared" si="21"/>
        <v>-0.42481989905192097</v>
      </c>
      <c r="CQ41" s="64">
        <f t="shared" ref="CQ41:CU41" si="38">IF(CQ31&lt;&gt;"",(CQ31-AVERAGE(CQ$24:CQ$32))/CQ$33,"")</f>
        <v>-0.43841099569877556</v>
      </c>
      <c r="CR41" s="64">
        <f t="shared" si="38"/>
        <v>-0.47158819711701855</v>
      </c>
      <c r="CS41" s="64">
        <f t="shared" si="38"/>
        <v>-0.48781136802221781</v>
      </c>
      <c r="CT41" s="64">
        <f t="shared" si="38"/>
        <v>-0.50846569256442609</v>
      </c>
      <c r="CU41" s="64">
        <f t="shared" si="38"/>
        <v>-0.42420724214591204</v>
      </c>
      <c r="CV41" s="64">
        <f t="shared" si="27"/>
        <v>-0.49541143731428072</v>
      </c>
      <c r="CW41" s="64">
        <f t="shared" si="27"/>
        <v>-0.51067997893452977</v>
      </c>
      <c r="CX41" s="64">
        <f t="shared" si="27"/>
        <v>-0.44165700399239693</v>
      </c>
      <c r="CY41" s="64">
        <f t="shared" si="27"/>
        <v>-0.47108506710973541</v>
      </c>
      <c r="CZ41" s="64">
        <f t="shared" si="27"/>
        <v>-0.46609669910967</v>
      </c>
      <c r="DA41" s="155">
        <f t="shared" si="28"/>
        <v>1</v>
      </c>
      <c r="DB41" s="155">
        <f t="shared" si="29"/>
        <v>0.98966146720663406</v>
      </c>
      <c r="DC41" s="155">
        <f t="shared" si="30"/>
        <v>0.98540986295013122</v>
      </c>
      <c r="DD41" s="155">
        <f t="shared" si="31"/>
        <v>0.99727657191572072</v>
      </c>
      <c r="DE41" s="155">
        <f t="shared" si="32"/>
        <v>0.99627144924680688</v>
      </c>
    </row>
    <row r="42" spans="1:109" x14ac:dyDescent="0.3">
      <c r="AR42" s="20" t="s">
        <v>92</v>
      </c>
      <c r="BH42" s="346"/>
      <c r="BI42" s="346"/>
      <c r="BJ42" s="346"/>
      <c r="BK42" s="346"/>
      <c r="BL42" s="346"/>
      <c r="BM42" s="287"/>
      <c r="BN42" s="287"/>
      <c r="BO42" s="287"/>
      <c r="BP42" s="287"/>
      <c r="BQ42" s="287"/>
      <c r="BR42" s="297"/>
      <c r="BS42" s="297"/>
      <c r="BT42" s="297"/>
      <c r="BU42" s="297"/>
      <c r="BV42" s="297"/>
      <c r="BW42" s="64">
        <f t="shared" si="25"/>
        <v>1.2340009856447027</v>
      </c>
      <c r="BX42" s="64">
        <f t="shared" si="21"/>
        <v>-0.24465898806763875</v>
      </c>
      <c r="BY42" s="64">
        <f t="shared" si="21"/>
        <v>-0.45721824131532507</v>
      </c>
      <c r="BZ42" s="64">
        <f t="shared" si="21"/>
        <v>0.44982298043189423</v>
      </c>
      <c r="CA42" s="64">
        <f t="shared" si="21"/>
        <v>1.1121978701326416</v>
      </c>
      <c r="CB42" s="64">
        <f t="shared" si="21"/>
        <v>0.22956700036792752</v>
      </c>
      <c r="CC42" s="64">
        <f t="shared" si="21"/>
        <v>-0.50897178329544734</v>
      </c>
      <c r="CD42" s="64">
        <f t="shared" si="21"/>
        <v>-0.5255852517028009</v>
      </c>
      <c r="CE42" s="64">
        <f t="shared" si="21"/>
        <v>1.7566161449190842</v>
      </c>
      <c r="CF42" s="64">
        <f t="shared" si="21"/>
        <v>6.5981038627423286E-2</v>
      </c>
      <c r="CG42" s="64">
        <f t="shared" si="21"/>
        <v>0.20030550062572941</v>
      </c>
      <c r="CH42" s="64">
        <f t="shared" si="21"/>
        <v>-0.45382443717839677</v>
      </c>
      <c r="CI42" s="64">
        <f t="shared" si="21"/>
        <v>-0.46431365941477865</v>
      </c>
      <c r="CJ42" s="64">
        <f t="shared" si="21"/>
        <v>1.6861619682377176</v>
      </c>
      <c r="CK42" s="64">
        <f t="shared" si="21"/>
        <v>4.7507571318065892E-2</v>
      </c>
      <c r="CL42" s="64">
        <f t="shared" si="21"/>
        <v>0.29435671613925068</v>
      </c>
      <c r="CM42" s="64">
        <f t="shared" si="21"/>
        <v>0.13273185549656669</v>
      </c>
      <c r="CN42" s="64">
        <f t="shared" si="21"/>
        <v>-0.51594662794704993</v>
      </c>
      <c r="CO42" s="64">
        <f t="shared" si="21"/>
        <v>1.6853638124326482</v>
      </c>
      <c r="CP42" s="64">
        <f t="shared" si="21"/>
        <v>0.17113086160412355</v>
      </c>
      <c r="CQ42" s="64">
        <f t="shared" ref="CQ42:CU42" si="39">IF(CQ32&lt;&gt;"",(CQ32-AVERAGE(CQ$24:CQ$32))/CQ$33,"")</f>
        <v>0.2926254225123765</v>
      </c>
      <c r="CR42" s="64">
        <f t="shared" si="39"/>
        <v>0.17040404207924967</v>
      </c>
      <c r="CS42" s="64">
        <f t="shared" si="39"/>
        <v>-0.51813695978081808</v>
      </c>
      <c r="CT42" s="64">
        <f t="shared" si="39"/>
        <v>1.6853638124326482</v>
      </c>
      <c r="CU42" s="64">
        <f t="shared" si="39"/>
        <v>0.16883004519067676</v>
      </c>
      <c r="CV42" s="64">
        <f t="shared" si="27"/>
        <v>0.4188289213652549</v>
      </c>
      <c r="CW42" s="64">
        <f t="shared" si="27"/>
        <v>0.20352142978323737</v>
      </c>
      <c r="CX42" s="64">
        <f t="shared" si="27"/>
        <v>0.20316738871766749</v>
      </c>
      <c r="CY42" s="64">
        <f t="shared" si="27"/>
        <v>0.35352732354510785</v>
      </c>
      <c r="CZ42" s="64">
        <f t="shared" si="27"/>
        <v>0.3598172724868266</v>
      </c>
      <c r="DA42" s="155">
        <f t="shared" si="28"/>
        <v>7.7423295823886448E-2</v>
      </c>
      <c r="DB42" s="155">
        <f t="shared" si="29"/>
        <v>0.38767214834512881</v>
      </c>
      <c r="DC42" s="155">
        <f t="shared" si="30"/>
        <v>0.47053739068769562</v>
      </c>
      <c r="DD42" s="155">
        <f t="shared" si="31"/>
        <v>0.47689824716393986</v>
      </c>
      <c r="DE42" s="155">
        <f t="shared" si="32"/>
        <v>0.48086045684648476</v>
      </c>
    </row>
    <row r="52" spans="39:39" x14ac:dyDescent="0.3">
      <c r="AM52" t="s">
        <v>372</v>
      </c>
    </row>
    <row r="53" spans="39:39" x14ac:dyDescent="0.3">
      <c r="AM53" t="s">
        <v>753</v>
      </c>
    </row>
    <row r="54" spans="39:39" x14ac:dyDescent="0.3">
      <c r="AM54" t="s">
        <v>90</v>
      </c>
    </row>
    <row r="55" spans="39:39" x14ac:dyDescent="0.3">
      <c r="AM55" t="s">
        <v>89</v>
      </c>
    </row>
    <row r="56" spans="39:39" x14ac:dyDescent="0.3">
      <c r="AM56" t="s">
        <v>93</v>
      </c>
    </row>
  </sheetData>
  <sortState ref="AR4:CX14">
    <sortCondition ref="AR4:AR14"/>
  </sortState>
  <mergeCells count="24">
    <mergeCell ref="W1:AF1"/>
    <mergeCell ref="W3:X3"/>
    <mergeCell ref="Y3:Z3"/>
    <mergeCell ref="AA3:AB3"/>
    <mergeCell ref="AC3:AD3"/>
    <mergeCell ref="AE3:AF3"/>
    <mergeCell ref="C1:L1"/>
    <mergeCell ref="M3:N3"/>
    <mergeCell ref="C3:D3"/>
    <mergeCell ref="E3:F3"/>
    <mergeCell ref="G3:H3"/>
    <mergeCell ref="I3:J3"/>
    <mergeCell ref="K3:L3"/>
    <mergeCell ref="M1:V1"/>
    <mergeCell ref="O3:P3"/>
    <mergeCell ref="Q3:R3"/>
    <mergeCell ref="S3:T3"/>
    <mergeCell ref="U3:V3"/>
    <mergeCell ref="DA33:DD33"/>
    <mergeCell ref="BH33:BL33"/>
    <mergeCell ref="BH24:BL32"/>
    <mergeCell ref="BH34:BL42"/>
    <mergeCell ref="CV1:CY1"/>
    <mergeCell ref="CV33:CY33"/>
  </mergeCells>
  <conditionalFormatting sqref="D4:D35">
    <cfRule type="colorScale" priority="166">
      <colorScale>
        <cfvo type="min"/>
        <cfvo type="max"/>
        <color rgb="FFFF0000"/>
        <color rgb="FF00B050"/>
      </colorScale>
    </cfRule>
  </conditionalFormatting>
  <conditionalFormatting sqref="Z6:Z10 Z12:Z31 Z33">
    <cfRule type="colorScale" priority="159">
      <colorScale>
        <cfvo type="min"/>
        <cfvo type="max"/>
        <color rgb="FFFF0000"/>
        <color rgb="FF00B050"/>
      </colorScale>
    </cfRule>
  </conditionalFormatting>
  <conditionalFormatting sqref="AB6:AB10 AB12:AB31 AB36 AB33">
    <cfRule type="colorScale" priority="158">
      <colorScale>
        <cfvo type="min"/>
        <cfvo type="max"/>
        <color rgb="FFFF0000"/>
        <color rgb="FF00B050"/>
      </colorScale>
    </cfRule>
  </conditionalFormatting>
  <conditionalFormatting sqref="Z4">
    <cfRule type="colorScale" priority="155">
      <colorScale>
        <cfvo type="min"/>
        <cfvo type="max"/>
        <color rgb="FFFF0000"/>
        <color rgb="FF00B050"/>
      </colorScale>
    </cfRule>
  </conditionalFormatting>
  <conditionalFormatting sqref="AB4">
    <cfRule type="colorScale" priority="154">
      <colorScale>
        <cfvo type="min"/>
        <cfvo type="max"/>
        <color rgb="FFFF0000"/>
        <color rgb="FF00B050"/>
      </colorScale>
    </cfRule>
  </conditionalFormatting>
  <conditionalFormatting sqref="Z5">
    <cfRule type="colorScale" priority="140">
      <colorScale>
        <cfvo type="min"/>
        <cfvo type="max"/>
        <color rgb="FFFF0000"/>
        <color rgb="FF00B050"/>
      </colorScale>
    </cfRule>
  </conditionalFormatting>
  <conditionalFormatting sqref="AB5">
    <cfRule type="colorScale" priority="139">
      <colorScale>
        <cfvo type="min"/>
        <cfvo type="max"/>
        <color rgb="FFFF0000"/>
        <color rgb="FF00B050"/>
      </colorScale>
    </cfRule>
  </conditionalFormatting>
  <conditionalFormatting sqref="Z11">
    <cfRule type="colorScale" priority="130">
      <colorScale>
        <cfvo type="min"/>
        <cfvo type="max"/>
        <color rgb="FFFF0000"/>
        <color rgb="FF00B050"/>
      </colorScale>
    </cfRule>
  </conditionalFormatting>
  <conditionalFormatting sqref="AB11">
    <cfRule type="colorScale" priority="129">
      <colorScale>
        <cfvo type="min"/>
        <cfvo type="max"/>
        <color rgb="FFFF0000"/>
        <color rgb="FF00B050"/>
      </colorScale>
    </cfRule>
  </conditionalFormatting>
  <conditionalFormatting sqref="Z32">
    <cfRule type="colorScale" priority="108">
      <colorScale>
        <cfvo type="min"/>
        <cfvo type="max"/>
        <color rgb="FFFF0000"/>
        <color rgb="FF00B050"/>
      </colorScale>
    </cfRule>
  </conditionalFormatting>
  <conditionalFormatting sqref="Z34">
    <cfRule type="colorScale" priority="107">
      <colorScale>
        <cfvo type="min"/>
        <cfvo type="max"/>
        <color rgb="FFFF0000"/>
        <color rgb="FF00B050"/>
      </colorScale>
    </cfRule>
  </conditionalFormatting>
  <conditionalFormatting sqref="Z35">
    <cfRule type="colorScale" priority="106">
      <colorScale>
        <cfvo type="min"/>
        <cfvo type="max"/>
        <color rgb="FFFF0000"/>
        <color rgb="FF00B050"/>
      </colorScale>
    </cfRule>
  </conditionalFormatting>
  <conditionalFormatting sqref="AB35">
    <cfRule type="colorScale" priority="105">
      <colorScale>
        <cfvo type="min"/>
        <cfvo type="max"/>
        <color rgb="FFFF0000"/>
        <color rgb="FF00B050"/>
      </colorScale>
    </cfRule>
  </conditionalFormatting>
  <conditionalFormatting sqref="AB34">
    <cfRule type="colorScale" priority="104">
      <colorScale>
        <cfvo type="min"/>
        <cfvo type="max"/>
        <color rgb="FFFF0000"/>
        <color rgb="FF00B050"/>
      </colorScale>
    </cfRule>
  </conditionalFormatting>
  <conditionalFormatting sqref="AB32">
    <cfRule type="colorScale" priority="103">
      <colorScale>
        <cfvo type="min"/>
        <cfvo type="max"/>
        <color rgb="FFFF0000"/>
        <color rgb="FF00B050"/>
      </colorScale>
    </cfRule>
  </conditionalFormatting>
  <conditionalFormatting sqref="N4:N35">
    <cfRule type="colorScale" priority="96">
      <colorScale>
        <cfvo type="min"/>
        <cfvo type="max"/>
        <color rgb="FFFF0000"/>
        <color rgb="FF00B050"/>
      </colorScale>
    </cfRule>
  </conditionalFormatting>
  <conditionalFormatting sqref="T4:T35 AD4:AD35 J4:J35">
    <cfRule type="colorScale" priority="93">
      <colorScale>
        <cfvo type="min"/>
        <cfvo type="max"/>
        <color rgb="FF00B050"/>
        <color rgb="FFFF0000"/>
      </colorScale>
    </cfRule>
  </conditionalFormatting>
  <conditionalFormatting sqref="L4:L35 V4:V35 AF4:AF35">
    <cfRule type="colorScale" priority="92">
      <colorScale>
        <cfvo type="min"/>
        <cfvo type="max"/>
        <color rgb="FF00B050"/>
        <color rgb="FFFF0000"/>
      </colorScale>
    </cfRule>
  </conditionalFormatting>
  <conditionalFormatting sqref="X4:X35">
    <cfRule type="colorScale" priority="91">
      <colorScale>
        <cfvo type="min"/>
        <cfvo type="max"/>
        <color rgb="FFFF0000"/>
        <color rgb="FF00B050"/>
      </colorScale>
    </cfRule>
  </conditionalFormatting>
  <conditionalFormatting sqref="AT4:AT23 AY4:AY23 BD4:BD23 BI4:BI7 BI10:BI23">
    <cfRule type="colorScale" priority="3452">
      <colorScale>
        <cfvo type="min"/>
        <cfvo type="max"/>
        <color rgb="FFFF0000"/>
        <color rgb="FF00B050"/>
      </colorScale>
    </cfRule>
  </conditionalFormatting>
  <conditionalFormatting sqref="AU4:AU23 AZ4:AZ23 BE4:BE23 BJ4:BJ7 BJ10:BJ23">
    <cfRule type="colorScale" priority="3464">
      <colorScale>
        <cfvo type="min"/>
        <cfvo type="max"/>
        <color rgb="FF00B050"/>
        <color rgb="FFFF0000"/>
      </colorScale>
    </cfRule>
  </conditionalFormatting>
  <conditionalFormatting sqref="AV4:AV23 BA4:BA23 BF4:BF23 BK4:BK7 BK10:BK23">
    <cfRule type="colorScale" priority="3476">
      <colorScale>
        <cfvo type="min"/>
        <cfvo type="max"/>
        <color rgb="FF00B050"/>
        <color rgb="FFFF0000"/>
      </colorScale>
    </cfRule>
  </conditionalFormatting>
  <conditionalFormatting sqref="AS4:AS23 AX4:AX23 BC4:BC23 BH4:BH7 BH10:BH23">
    <cfRule type="colorScale" priority="6464">
      <colorScale>
        <cfvo type="min"/>
        <cfvo type="max"/>
        <color rgb="FFFF0000"/>
        <color rgb="FF00B050"/>
      </colorScale>
    </cfRule>
  </conditionalFormatting>
  <conditionalFormatting sqref="AW4:AW23 BB4:BB23 BG4:BG23 BL4:BV6 BL10:BV12 BL7 BL13 BL14:BV23 BM9:BP9 BM8:BO8 BQ8">
    <cfRule type="colorScale" priority="61">
      <colorScale>
        <cfvo type="min"/>
        <cfvo type="max"/>
        <color rgb="FF00B050"/>
        <color rgb="FFFF0000"/>
      </colorScale>
    </cfRule>
  </conditionalFormatting>
  <conditionalFormatting sqref="DA34:DE4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:AS2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4:AT2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:AU2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4:AV23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:AW23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:AX2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AY2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:AZ2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4:BA2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4:BB2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4:AZ24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4:BC2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:BD2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:BE2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4:BF23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:BG2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:BH7 BH10:BH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7 BI10:BI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:BJ7 BJ10:BJ2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:BK7 BK10:BK2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4:BV6 BL10:BV12 BL7 BL13 BL14:BV23 BM9:BP9 BM8:BO8 BQ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3">
    <cfRule type="colorScale" priority="22">
      <colorScale>
        <cfvo type="min"/>
        <cfvo type="max"/>
        <color rgb="FFFF0000"/>
        <color rgb="FF00B050"/>
      </colorScale>
    </cfRule>
  </conditionalFormatting>
  <conditionalFormatting sqref="BO13">
    <cfRule type="colorScale" priority="23">
      <colorScale>
        <cfvo type="min"/>
        <cfvo type="max"/>
        <color rgb="FF00B050"/>
        <color rgb="FFFF0000"/>
      </colorScale>
    </cfRule>
  </conditionalFormatting>
  <conditionalFormatting sqref="BP13">
    <cfRule type="colorScale" priority="24">
      <colorScale>
        <cfvo type="min"/>
        <cfvo type="max"/>
        <color rgb="FF00B050"/>
        <color rgb="FFFF0000"/>
      </colorScale>
    </cfRule>
  </conditionalFormatting>
  <conditionalFormatting sqref="BM13">
    <cfRule type="colorScale" priority="25">
      <colorScale>
        <cfvo type="min"/>
        <cfvo type="max"/>
        <color rgb="FFFF0000"/>
        <color rgb="FF00B050"/>
      </colorScale>
    </cfRule>
  </conditionalFormatting>
  <conditionalFormatting sqref="BQ13:BV13">
    <cfRule type="colorScale" priority="21">
      <colorScale>
        <cfvo type="min"/>
        <cfvo type="max"/>
        <color rgb="FF00B050"/>
        <color rgb="FFFF0000"/>
      </colorScale>
    </cfRule>
  </conditionalFormatting>
  <conditionalFormatting sqref="BM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1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1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3:BV1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:BH9 BM4:BM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:BI9 BN4:BN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:BJ9 BO4:BO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4:BP7 BK8:BK9 BP9:BP2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4:BV7 BQ10:BV23 BL8:BL9 BQ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4:BV7 BQ10:BV14 BL8:BL9 BQ8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4:BP7 BK8:BK9 BP9:BP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:BJ9 BO4:BO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:BI9 BN4:BN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:BH9 BM4:BM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BM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:BN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:BO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4:BP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4:BQ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BF8B-DD93-4865-9D7B-D490DB752DDB}">
  <dimension ref="A1:AR4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7" sqref="Q7"/>
    </sheetView>
  </sheetViews>
  <sheetFormatPr defaultRowHeight="14.4" x14ac:dyDescent="0.3"/>
  <cols>
    <col min="1" max="1" width="14.77734375" bestFit="1" customWidth="1"/>
    <col min="2" max="2" width="8.109375" bestFit="1" customWidth="1"/>
    <col min="3" max="3" width="5.5546875" bestFit="1" customWidth="1"/>
    <col min="4" max="4" width="5" bestFit="1" customWidth="1"/>
    <col min="5" max="5" width="7.109375" bestFit="1" customWidth="1"/>
    <col min="6" max="6" width="5.5546875" bestFit="1" customWidth="1"/>
    <col min="7" max="7" width="5" bestFit="1" customWidth="1"/>
    <col min="8" max="8" width="5" customWidth="1"/>
    <col min="9" max="9" width="5.5546875" bestFit="1" customWidth="1"/>
    <col min="10" max="10" width="5" customWidth="1"/>
    <col min="11" max="11" width="7.109375" bestFit="1" customWidth="1"/>
    <col min="12" max="12" width="5.5546875" bestFit="1" customWidth="1"/>
    <col min="13" max="13" width="7.88671875" bestFit="1" customWidth="1"/>
    <col min="14" max="19" width="7.88671875" customWidth="1"/>
    <col min="20" max="20" width="7.109375" bestFit="1" customWidth="1"/>
    <col min="21" max="22" width="5.88671875" bestFit="1" customWidth="1"/>
    <col min="23" max="23" width="7.109375" bestFit="1" customWidth="1"/>
    <col min="24" max="25" width="5.88671875" bestFit="1" customWidth="1"/>
    <col min="26" max="26" width="7.109375" bestFit="1" customWidth="1"/>
    <col min="27" max="28" width="5.88671875" bestFit="1" customWidth="1"/>
  </cols>
  <sheetData>
    <row r="1" spans="1:39" x14ac:dyDescent="0.3">
      <c r="A1" s="73" t="s">
        <v>331</v>
      </c>
      <c r="B1" s="281">
        <v>1</v>
      </c>
      <c r="C1" s="281">
        <v>1</v>
      </c>
      <c r="D1" s="281">
        <v>1</v>
      </c>
      <c r="E1" s="281">
        <v>2</v>
      </c>
      <c r="F1" s="281">
        <v>2</v>
      </c>
      <c r="G1" s="281">
        <v>2</v>
      </c>
      <c r="H1" s="281">
        <v>3</v>
      </c>
      <c r="I1" s="281">
        <v>3</v>
      </c>
      <c r="J1" s="281">
        <v>3</v>
      </c>
      <c r="K1" t="s">
        <v>1083</v>
      </c>
      <c r="L1" t="s">
        <v>1083</v>
      </c>
      <c r="M1" t="s">
        <v>1083</v>
      </c>
      <c r="N1" t="s">
        <v>1127</v>
      </c>
      <c r="O1" t="s">
        <v>1127</v>
      </c>
      <c r="P1" t="s">
        <v>1127</v>
      </c>
      <c r="Q1" t="s">
        <v>1199</v>
      </c>
      <c r="R1" t="s">
        <v>1199</v>
      </c>
      <c r="S1" t="s">
        <v>1199</v>
      </c>
      <c r="T1">
        <v>1</v>
      </c>
      <c r="U1">
        <v>1</v>
      </c>
      <c r="V1">
        <v>1</v>
      </c>
      <c r="W1">
        <v>2</v>
      </c>
      <c r="X1">
        <v>2</v>
      </c>
      <c r="Y1">
        <v>2</v>
      </c>
      <c r="Z1">
        <v>3</v>
      </c>
      <c r="AA1">
        <v>3</v>
      </c>
      <c r="AB1">
        <v>3</v>
      </c>
      <c r="AC1" t="s">
        <v>1083</v>
      </c>
      <c r="AD1" t="s">
        <v>1083</v>
      </c>
      <c r="AE1" t="s">
        <v>1083</v>
      </c>
      <c r="AF1" t="s">
        <v>1127</v>
      </c>
      <c r="AG1" t="s">
        <v>1127</v>
      </c>
      <c r="AH1" t="s">
        <v>1127</v>
      </c>
    </row>
    <row r="2" spans="1:39" x14ac:dyDescent="0.3">
      <c r="A2" s="73"/>
      <c r="B2" s="234">
        <v>11</v>
      </c>
      <c r="C2" s="285">
        <v>11</v>
      </c>
      <c r="D2" s="285">
        <v>11</v>
      </c>
      <c r="E2" s="235">
        <v>19</v>
      </c>
      <c r="F2" s="286">
        <v>19</v>
      </c>
      <c r="G2" s="286">
        <v>19</v>
      </c>
      <c r="H2" s="235">
        <v>28</v>
      </c>
      <c r="I2" s="286">
        <v>28</v>
      </c>
      <c r="J2" s="286">
        <v>28</v>
      </c>
      <c r="K2" t="s">
        <v>1083</v>
      </c>
      <c r="L2" t="s">
        <v>1083</v>
      </c>
      <c r="M2" t="s">
        <v>1083</v>
      </c>
      <c r="N2" t="s">
        <v>1127</v>
      </c>
      <c r="O2" t="s">
        <v>1127</v>
      </c>
      <c r="P2" t="s">
        <v>1127</v>
      </c>
      <c r="Q2" t="s">
        <v>1199</v>
      </c>
      <c r="R2" t="s">
        <v>1199</v>
      </c>
      <c r="S2" t="s">
        <v>1199</v>
      </c>
      <c r="T2" t="s">
        <v>1085</v>
      </c>
      <c r="U2" t="s">
        <v>1085</v>
      </c>
      <c r="V2" t="s">
        <v>1085</v>
      </c>
      <c r="W2" t="s">
        <v>1085</v>
      </c>
      <c r="X2" t="s">
        <v>1085</v>
      </c>
      <c r="Y2" t="s">
        <v>1085</v>
      </c>
      <c r="Z2" t="s">
        <v>1085</v>
      </c>
      <c r="AA2" t="s">
        <v>1085</v>
      </c>
      <c r="AB2" t="s">
        <v>1085</v>
      </c>
      <c r="AC2" t="s">
        <v>1085</v>
      </c>
      <c r="AD2" t="s">
        <v>1085</v>
      </c>
      <c r="AE2" t="s">
        <v>1085</v>
      </c>
      <c r="AF2" t="s">
        <v>1085</v>
      </c>
      <c r="AG2" t="s">
        <v>1085</v>
      </c>
      <c r="AH2" t="s">
        <v>1085</v>
      </c>
    </row>
    <row r="3" spans="1:39" x14ac:dyDescent="0.3">
      <c r="A3" s="73" t="s">
        <v>398</v>
      </c>
      <c r="B3" s="75" t="s">
        <v>1091</v>
      </c>
      <c r="C3" s="75" t="s">
        <v>1092</v>
      </c>
      <c r="D3" t="s">
        <v>494</v>
      </c>
      <c r="E3" s="75" t="s">
        <v>1091</v>
      </c>
      <c r="F3" s="75" t="s">
        <v>1092</v>
      </c>
      <c r="G3" s="139" t="s">
        <v>494</v>
      </c>
      <c r="H3" s="75" t="s">
        <v>1091</v>
      </c>
      <c r="I3" s="75" t="s">
        <v>1092</v>
      </c>
      <c r="J3" s="139" t="s">
        <v>494</v>
      </c>
      <c r="K3" s="74" t="s">
        <v>1091</v>
      </c>
      <c r="L3" s="74" t="s">
        <v>1092</v>
      </c>
      <c r="M3" s="139" t="s">
        <v>494</v>
      </c>
      <c r="N3" s="74" t="s">
        <v>1091</v>
      </c>
      <c r="O3" s="74" t="s">
        <v>1092</v>
      </c>
      <c r="P3" s="139" t="s">
        <v>494</v>
      </c>
      <c r="Q3" s="74" t="s">
        <v>1091</v>
      </c>
      <c r="R3" s="74" t="s">
        <v>1092</v>
      </c>
      <c r="S3" s="139" t="s">
        <v>494</v>
      </c>
      <c r="T3" s="74" t="s">
        <v>1091</v>
      </c>
      <c r="U3" s="74" t="s">
        <v>1092</v>
      </c>
      <c r="V3" t="s">
        <v>494</v>
      </c>
      <c r="W3" s="74" t="s">
        <v>1091</v>
      </c>
      <c r="X3" s="74" t="s">
        <v>1092</v>
      </c>
      <c r="Y3" s="139" t="s">
        <v>494</v>
      </c>
      <c r="Z3" s="74" t="s">
        <v>1091</v>
      </c>
      <c r="AA3" s="74" t="s">
        <v>1092</v>
      </c>
      <c r="AB3" s="139" t="s">
        <v>494</v>
      </c>
      <c r="AC3" s="74" t="s">
        <v>1091</v>
      </c>
      <c r="AD3" s="74" t="s">
        <v>1092</v>
      </c>
      <c r="AE3" s="139" t="s">
        <v>494</v>
      </c>
      <c r="AF3" s="74" t="s">
        <v>1091</v>
      </c>
      <c r="AG3" s="74" t="s">
        <v>1092</v>
      </c>
      <c r="AH3" s="139" t="s">
        <v>494</v>
      </c>
      <c r="AI3">
        <v>1</v>
      </c>
      <c r="AJ3">
        <v>2</v>
      </c>
      <c r="AK3" s="139">
        <v>3</v>
      </c>
      <c r="AL3" t="s">
        <v>1083</v>
      </c>
      <c r="AM3" t="s">
        <v>1127</v>
      </c>
    </row>
    <row r="4" spans="1:39" x14ac:dyDescent="0.3">
      <c r="A4" s="25" t="s">
        <v>490</v>
      </c>
      <c r="B4" s="96">
        <f>'C LAI GenQC'!I3</f>
        <v>1.46</v>
      </c>
      <c r="C4" s="90">
        <f>'C LAI GenQC'!AU3</f>
        <v>95.657059209015401</v>
      </c>
      <c r="D4" s="13">
        <f>'C LAI GenQC'!K3</f>
        <v>0</v>
      </c>
      <c r="E4" s="96">
        <f>'C LAI GenQC'!I4</f>
        <v>1.39</v>
      </c>
      <c r="F4" s="90">
        <f>'C LAI GenQC'!AU4</f>
        <v>96.088175678924699</v>
      </c>
      <c r="G4" s="13">
        <f>'C LAI GenQC'!K4</f>
        <v>0</v>
      </c>
      <c r="H4" s="96">
        <f>'C LAI GenQC'!I5</f>
        <v>1.4</v>
      </c>
      <c r="I4" s="90">
        <f>'C LAI GenQC'!AU5</f>
        <v>96.121144367677701</v>
      </c>
      <c r="J4" s="26">
        <f>'C LAI GenQC'!K5</f>
        <v>0</v>
      </c>
      <c r="K4">
        <v>1.68</v>
      </c>
      <c r="L4">
        <v>94.475645116231703</v>
      </c>
      <c r="M4">
        <v>0.34</v>
      </c>
      <c r="N4" s="171">
        <v>1.67</v>
      </c>
      <c r="O4">
        <v>94.358861120206399</v>
      </c>
      <c r="P4" s="171">
        <v>0.66</v>
      </c>
      <c r="Q4" s="171"/>
      <c r="R4" s="171"/>
      <c r="S4" s="171"/>
      <c r="T4">
        <f>IF(ISNUMBER(B4),IF(T$2="x",(B4-MIN(B$4:B$14))/(MAX(B$4:B$14)-MIN(B$4:B$14)),(MAX(B$4:B$14)-B4)/(MAX(B$4:B$14)-MIN(B$4:B$14))),"")</f>
        <v>0.57843137254901955</v>
      </c>
      <c r="U4">
        <f>IF(ISNUMBER(C4),IF(U$2="x",(C4-MIN(C$4:C$14))/(MAX(C$4:C$14)-MIN(C$4:C$14)),(MAX(C$4:C$14)-C4)/(MAX(C$4:C$14)-MIN(C$4:C$14))),"")</f>
        <v>1</v>
      </c>
      <c r="V4">
        <f>IF(ISNUMBER(D4),IF(V$2="x",(D4-MIN(D$4:D$14))/(MAX(D$4:D$14)-MIN(D$4:D$14)),(MAX(D$4:D$14)-D4)/(MAX(D$4:D$14)-MIN(D$4:D$14))),"")</f>
        <v>0</v>
      </c>
      <c r="W4">
        <f>IF(ISNUMBER(E4),IF(W$2="x",(E4-MIN(E$4:E$14))/(MAX(E$4:E$14)-MIN(E$4:E$14)),(MAX(E$4:E$14)-E4)/(MAX(E$4:E$14)-MIN(E$4:E$14))),"")</f>
        <v>0.51685393258426948</v>
      </c>
      <c r="X4">
        <f>IF(ISNUMBER(F4),IF(X$2="x",(F4-MIN(F$4:F$14))/(MAX(F$4:F$14)-MIN(F$4:F$14)),(MAX(F$4:F$14)-F4)/(MAX(F$4:F$14)-MIN(F$4:F$14))),"")</f>
        <v>1</v>
      </c>
      <c r="Y4">
        <f>IF(ISNUMBER(G4),IF(Y$2="x",(G4-MIN(G$4:G$14))/(MAX(G$4:G$14)-MIN(G$4:G$14)),(MAX(G$4:G$14)-G4)/(MAX(G$4:G$14)-MIN(G$4:G$14))),"")</f>
        <v>0</v>
      </c>
      <c r="Z4">
        <f>IF(ISNUMBER(H4),IF(Z$2="x",(H4-MIN(H$4:H$14))/(MAX(H$4:H$14)-MIN(H$4:H$14)),(MAX(H$4:H$14)-H4)/(MAX(H$4:H$14)-MIN(H$4:H$14))),"")</f>
        <v>0.45882352941176452</v>
      </c>
      <c r="AA4">
        <f>IF(ISNUMBER(I4),IF(AA$2="x",(I4-MIN(I$4:I$14))/(MAX(I$4:I$14)-MIN(I$4:I$14)),(MAX(I$4:I$14)-I4)/(MAX(I$4:I$14)-MIN(I$4:I$14))),"")</f>
        <v>1</v>
      </c>
      <c r="AB4">
        <f>IF(ISNUMBER(J4),IF(AB$2="x",(J4-MIN(J$4:J$14))/(MAX(J$4:J$14)-MIN(J$4:J$14)),(MAX(J$4:J$14)-J4)/(MAX(J$4:J$14)-MIN(J$4:J$14))),"")</f>
        <v>0</v>
      </c>
      <c r="AC4">
        <f>IF(ISNUMBER(K4),IF(AC$2="x",(K4-MIN(K$4:K$14))/(MAX(K$4:K$14)-MIN(K$4:K$14)),(MAX(K$4:K$14)-K4)/(MAX(K$4:K$14)-MIN(K$4:K$14))),"")</f>
        <v>0.65625000000000011</v>
      </c>
      <c r="AD4">
        <f>IF(ISNUMBER(L4),IF(AD$2="x",(L4-MIN(L$4:L$14))/(MAX(L$4:L$14)-MIN(L$4:L$14)),(MAX(L$4:L$14)-L4)/(MAX(L$4:L$14)-MIN(L$4:L$14))),"")</f>
        <v>0.65926767696059274</v>
      </c>
      <c r="AE4">
        <f>IF(ISNUMBER(M4),IF(AE$2="x",(M4-MIN(M$4:M$14))/(MAX(M$4:M$14)-MIN(M$4:M$14)),(MAX(M$4:M$14)-M4)/(MAX(M$4:M$14)-MIN(M$4:M$14))),"")</f>
        <v>5.0898203592814377E-2</v>
      </c>
      <c r="AF4">
        <f>IF(ISNUMBER(N4),IF(AF$2="x",(N4-MIN(N$4:N$14))/(MAX(N$4:N$14)-MIN(N$4:N$14)),(MAX(N$4:N$14)-N4)/(MAX(N$4:N$14)-MIN(N$4:N$14))),"")</f>
        <v>0.64210526315789473</v>
      </c>
      <c r="AG4">
        <f>IF(ISNUMBER(O4),IF(AG$2="x",(O4-MIN(O$4:O$14))/(MAX(O$4:O$14)-MIN(O$4:O$14)),(MAX(O$4:O$14)-O4)/(MAX(O$4:O$14)-MIN(O$4:O$14))),"")</f>
        <v>0.81411148971553027</v>
      </c>
      <c r="AH4">
        <f>IF(ISNUMBER(P4),IF(AH$2="x",(P4-MIN(P$4:P$14))/(MAX(P$4:P$14)-MIN(P$4:P$14)),(MAX(P$4:P$14)-P4)/(MAX(P$4:P$14)-MIN(P$4:P$14))),"")</f>
        <v>9.8654708520179366E-2</v>
      </c>
      <c r="AI4" s="161">
        <f>IFERROR(AVERAGEIF($T$1:$AH$1,"="&amp;AI$3,$T4:$AH4),"")</f>
        <v>0.52614379084967322</v>
      </c>
      <c r="AJ4" s="161">
        <f t="shared" ref="AJ4:AM14" si="0">IFERROR(AVERAGEIF($T$1:$AH$1,"="&amp;AJ$3,$T4:$AH4),"")</f>
        <v>0.5056179775280899</v>
      </c>
      <c r="AK4" s="161">
        <f t="shared" si="0"/>
        <v>0.48627450980392145</v>
      </c>
      <c r="AL4" s="161">
        <f t="shared" si="0"/>
        <v>0.455471960184469</v>
      </c>
      <c r="AM4" s="161">
        <f t="shared" si="0"/>
        <v>0.51829048713120141</v>
      </c>
    </row>
    <row r="5" spans="1:39" x14ac:dyDescent="0.3">
      <c r="A5" s="142" t="s">
        <v>222</v>
      </c>
      <c r="B5" s="28"/>
      <c r="C5" s="76"/>
      <c r="D5" s="76"/>
      <c r="E5" s="28"/>
      <c r="F5" s="76"/>
      <c r="G5" s="76"/>
      <c r="H5" s="327">
        <f>'C LAI GenQC'!I6</f>
        <v>1.41</v>
      </c>
      <c r="I5" s="141">
        <f>'C LAI GenQC'!AU6</f>
        <v>95.989889522220295</v>
      </c>
      <c r="J5" s="30">
        <f>'C LAI GenQC'!K6</f>
        <v>0</v>
      </c>
      <c r="K5">
        <v>1.41</v>
      </c>
      <c r="L5">
        <v>95.934632209865399</v>
      </c>
      <c r="M5">
        <v>0</v>
      </c>
      <c r="N5" s="171">
        <v>1.56</v>
      </c>
      <c r="O5">
        <v>94.991915387131002</v>
      </c>
      <c r="P5" s="171">
        <v>0</v>
      </c>
      <c r="T5" t="str">
        <f>IF(ISNUMBER(B5),IF(T$2="x",(B5-MIN(B$4:B$14))/(MAX(B$4:B$14)-MIN(B$4:B$14)),(MAX(B$4:B$14)-B5)/(MAX(B$4:B$14)-MIN(B$4:B$14))),"")</f>
        <v/>
      </c>
      <c r="U5" t="str">
        <f>IF(ISNUMBER(C5),IF(U$2="x",(C5-MIN(C$4:C$14))/(MAX(C$4:C$14)-MIN(C$4:C$14)),(MAX(C$4:C$14)-C5)/(MAX(C$4:C$14)-MIN(C$4:C$14))),"")</f>
        <v/>
      </c>
      <c r="V5" t="str">
        <f>IF(ISNUMBER(D5),IF(V$2="x",(D5-MIN(D$4:D$14))/(MAX(D$4:D$14)-MIN(D$4:D$14)),(MAX(D$4:D$14)-D5)/(MAX(D$4:D$14)-MIN(D$4:D$14))),"")</f>
        <v/>
      </c>
      <c r="W5" t="str">
        <f>IF(ISNUMBER(E5),IF(W$2="x",(E5-MIN(E$4:E$14))/(MAX(E$4:E$14)-MIN(E$4:E$14)),(MAX(E$4:E$14)-E5)/(MAX(E$4:E$14)-MIN(E$4:E$14))),"")</f>
        <v/>
      </c>
      <c r="X5" t="str">
        <f>IF(ISNUMBER(F5),IF(X$2="x",(F5-MIN(F$4:F$14))/(MAX(F$4:F$14)-MIN(F$4:F$14)),(MAX(F$4:F$14)-F5)/(MAX(F$4:F$14)-MIN(F$4:F$14))),"")</f>
        <v/>
      </c>
      <c r="Y5" t="str">
        <f>IF(ISNUMBER(G5),IF(Y$2="x",(G5-MIN(G$4:G$14))/(MAX(G$4:G$14)-MIN(G$4:G$14)),(MAX(G$4:G$14)-G5)/(MAX(G$4:G$14)-MIN(G$4:G$14))),"")</f>
        <v/>
      </c>
      <c r="Z5">
        <f>IF(ISNUMBER(H5),IF(Z$2="x",(H5-MIN(H$4:H$14))/(MAX(H$4:H$14)-MIN(H$4:H$14)),(MAX(H$4:H$14)-H5)/(MAX(H$4:H$14)-MIN(H$4:H$14))),"")</f>
        <v>0.47058823529411747</v>
      </c>
      <c r="AA5">
        <f>IF(ISNUMBER(I5),IF(AA$2="x",(I5-MIN(I$4:I$14))/(MAX(I$4:I$14)-MIN(I$4:I$14)),(MAX(I$4:I$14)-I5)/(MAX(I$4:I$14)-MIN(I$4:I$14))),"")</f>
        <v>0.96057540109998496</v>
      </c>
      <c r="AB5">
        <f>IF(ISNUMBER(J5),IF(AB$2="x",(J5-MIN(J$4:J$14))/(MAX(J$4:J$14)-MIN(J$4:J$14)),(MAX(J$4:J$14)-J5)/(MAX(J$4:J$14)-MIN(J$4:J$14))),"")</f>
        <v>0</v>
      </c>
      <c r="AC5">
        <f>IF(ISNUMBER(K5),IF(AC$2="x",(K5-MIN(K$4:K$14))/(MAX(K$4:K$14)-MIN(K$4:K$14)),(MAX(K$4:K$14)-K5)/(MAX(K$4:K$14)-MIN(K$4:K$14))),"")</f>
        <v>0.37499999999999994</v>
      </c>
      <c r="AD5">
        <f>IF(ISNUMBER(L5),IF(AD$2="x",(L5-MIN(L$4:L$14))/(MAX(L$4:L$14)-MIN(L$4:L$14)),(MAX(L$4:L$14)-L5)/(MAX(L$4:L$14)-MIN(L$4:L$14))),"")</f>
        <v>1</v>
      </c>
      <c r="AE5">
        <f>IF(ISNUMBER(M5),IF(AE$2="x",(M5-MIN(M$4:M$14))/(MAX(M$4:M$14)-MIN(M$4:M$14)),(MAX(M$4:M$14)-M5)/(MAX(M$4:M$14)-MIN(M$4:M$14))),"")</f>
        <v>0</v>
      </c>
      <c r="AF5">
        <f>IF(ISNUMBER(N5),IF(AF$2="x",(N5-MIN(N$4:N$14))/(MAX(N$4:N$14)-MIN(N$4:N$14)),(MAX(N$4:N$14)-N5)/(MAX(N$4:N$14)-MIN(N$4:N$14))),"")</f>
        <v>0.5263157894736844</v>
      </c>
      <c r="AG5">
        <f>IF(ISNUMBER(O5),IF(AG$2="x",(O5-MIN(O$4:O$14))/(MAX(O$4:O$14)-MIN(O$4:O$14)),(MAX(O$4:O$14)-O5)/(MAX(O$4:O$14)-MIN(O$4:O$14))),"")</f>
        <v>1</v>
      </c>
      <c r="AH5">
        <f>IF(ISNUMBER(P5),IF(AH$2="x",(P5-MIN(P$4:P$14))/(MAX(P$4:P$14)-MIN(P$4:P$14)),(MAX(P$4:P$14)-P5)/(MAX(P$4:P$14)-MIN(P$4:P$14))),"")</f>
        <v>0</v>
      </c>
      <c r="AI5" s="161" t="str">
        <f t="shared" ref="AI5:AI14" si="1">IFERROR(AVERAGEIF($T$1:$AH$1,"="&amp;AI$3,$T5:$AH5),"")</f>
        <v/>
      </c>
      <c r="AJ5" s="161" t="str">
        <f t="shared" si="0"/>
        <v/>
      </c>
      <c r="AK5" s="161">
        <f t="shared" si="0"/>
        <v>0.47705454546470083</v>
      </c>
      <c r="AL5" s="161">
        <f t="shared" si="0"/>
        <v>0.45833333333333331</v>
      </c>
      <c r="AM5" s="161">
        <f t="shared" si="0"/>
        <v>0.50877192982456154</v>
      </c>
    </row>
    <row r="6" spans="1:39" x14ac:dyDescent="0.3">
      <c r="A6" s="28" t="s">
        <v>90</v>
      </c>
      <c r="B6" s="97">
        <f>'C LAI GenQC'!I8</f>
        <v>1.36</v>
      </c>
      <c r="C6" s="92">
        <f>'C LAI GenQC'!AU8</f>
        <v>94.901214536520399</v>
      </c>
      <c r="D6" s="76">
        <f>'C LAI GenQC'!K8</f>
        <v>0</v>
      </c>
      <c r="E6" s="97">
        <f>'C LAI GenQC'!I9</f>
        <v>1.47</v>
      </c>
      <c r="F6" s="92">
        <f>'C LAI GenQC'!AU9</f>
        <v>95.512467292129102</v>
      </c>
      <c r="G6" s="76">
        <f>'C LAI GenQC'!K9</f>
        <v>0</v>
      </c>
      <c r="H6" s="97">
        <f>'C LAI GenQC'!I10</f>
        <v>1.45</v>
      </c>
      <c r="I6" s="92">
        <f>'C LAI GenQC'!AU10</f>
        <v>95.790352467586402</v>
      </c>
      <c r="J6" s="30">
        <f>'C LAI GenQC'!K10</f>
        <v>0</v>
      </c>
      <c r="K6">
        <v>1.65</v>
      </c>
      <c r="L6">
        <v>93.6683486881536</v>
      </c>
      <c r="M6">
        <v>2.58</v>
      </c>
      <c r="N6" s="171">
        <v>1.7</v>
      </c>
      <c r="O6">
        <v>93.887323204607796</v>
      </c>
      <c r="P6" s="171">
        <v>2.02</v>
      </c>
      <c r="Q6" s="171"/>
      <c r="R6" s="171"/>
      <c r="S6" s="171"/>
      <c r="T6">
        <f>IF(ISNUMBER(B6),IF(T$2="x",(B6-MIN(B$4:B$14))/(MAX(B$4:B$14)-MIN(B$4:B$14)),(MAX(B$4:B$14)-B6)/(MAX(B$4:B$14)-MIN(B$4:B$14))),"")</f>
        <v>0.48039215686274517</v>
      </c>
      <c r="U6">
        <f>IF(ISNUMBER(C6),IF(U$2="x",(C6-MIN(C$4:C$14))/(MAX(C$4:C$14)-MIN(C$4:C$14)),(MAX(C$4:C$14)-C6)/(MAX(C$4:C$14)-MIN(C$4:C$14))),"")</f>
        <v>0.79246639612782366</v>
      </c>
      <c r="V6">
        <f>IF(ISNUMBER(D6),IF(V$2="x",(D6-MIN(D$4:D$14))/(MAX(D$4:D$14)-MIN(D$4:D$14)),(MAX(D$4:D$14)-D6)/(MAX(D$4:D$14)-MIN(D$4:D$14))),"")</f>
        <v>0</v>
      </c>
      <c r="W6">
        <f>IF(ISNUMBER(E6),IF(W$2="x",(E6-MIN(E$4:E$14))/(MAX(E$4:E$14)-MIN(E$4:E$14)),(MAX(E$4:E$14)-E6)/(MAX(E$4:E$14)-MIN(E$4:E$14))),"")</f>
        <v>0.60674157303370779</v>
      </c>
      <c r="X6">
        <f>IF(ISNUMBER(F6),IF(X$2="x",(F6-MIN(F$4:F$14))/(MAX(F$4:F$14)-MIN(F$4:F$14)),(MAX(F$4:F$14)-F6)/(MAX(F$4:F$14)-MIN(F$4:F$14))),"")</f>
        <v>0.869817363747309</v>
      </c>
      <c r="Y6">
        <f>IF(ISNUMBER(G6),IF(Y$2="x",(G6-MIN(G$4:G$14))/(MAX(G$4:G$14)-MIN(G$4:G$14)),(MAX(G$4:G$14)-G6)/(MAX(G$4:G$14)-MIN(G$4:G$14))),"")</f>
        <v>0</v>
      </c>
      <c r="Z6">
        <f>IF(ISNUMBER(H6),IF(Z$2="x",(H6-MIN(H$4:H$14))/(MAX(H$4:H$14)-MIN(H$4:H$14)),(MAX(H$4:H$14)-H6)/(MAX(H$4:H$14)-MIN(H$4:H$14))),"")</f>
        <v>0.51764705882352935</v>
      </c>
      <c r="AA6">
        <f>IF(ISNUMBER(I6),IF(AA$2="x",(I6-MIN(I$4:I$14))/(MAX(I$4:I$14)-MIN(I$4:I$14)),(MAX(I$4:I$14)-I6)/(MAX(I$4:I$14)-MIN(I$4:I$14))),"")</f>
        <v>0.90064109302002548</v>
      </c>
      <c r="AB6">
        <f>IF(ISNUMBER(J6),IF(AB$2="x",(J6-MIN(J$4:J$14))/(MAX(J$4:J$14)-MIN(J$4:J$14)),(MAX(J$4:J$14)-J6)/(MAX(J$4:J$14)-MIN(J$4:J$14))),"")</f>
        <v>0</v>
      </c>
      <c r="AC6">
        <f>IF(ISNUMBER(K6),IF(AC$2="x",(K6-MIN(K$4:K$14))/(MAX(K$4:K$14)-MIN(K$4:K$14)),(MAX(K$4:K$14)-K6)/(MAX(K$4:K$14)-MIN(K$4:K$14))),"")</f>
        <v>0.625</v>
      </c>
      <c r="AD6">
        <f>IF(ISNUMBER(L6),IF(AD$2="x",(L6-MIN(L$4:L$14))/(MAX(L$4:L$14)-MIN(L$4:L$14)),(MAX(L$4:L$14)-L6)/(MAX(L$4:L$14)-MIN(L$4:L$14))),"")</f>
        <v>0.47073140510407852</v>
      </c>
      <c r="AE6">
        <f>IF(ISNUMBER(M6),IF(AE$2="x",(M6-MIN(M$4:M$14))/(MAX(M$4:M$14)-MIN(M$4:M$14)),(MAX(M$4:M$14)-M6)/(MAX(M$4:M$14)-MIN(M$4:M$14))),"")</f>
        <v>0.38622754491017969</v>
      </c>
      <c r="AF6">
        <f>IF(ISNUMBER(N6),IF(AF$2="x",(N6-MIN(N$4:N$14))/(MAX(N$4:N$14)-MIN(N$4:N$14)),(MAX(N$4:N$14)-N6)/(MAX(N$4:N$14)-MIN(N$4:N$14))),"")</f>
        <v>0.67368421052631589</v>
      </c>
      <c r="AG6">
        <f>IF(ISNUMBER(O6),IF(AG$2="x",(O6-MIN(O$4:O$14))/(MAX(O$4:O$14)-MIN(O$4:O$14)),(MAX(O$4:O$14)-O6)/(MAX(O$4:O$14)-MIN(O$4:O$14))),"")</f>
        <v>0.67565024673380047</v>
      </c>
      <c r="AH6">
        <f>IF(ISNUMBER(P6),IF(AH$2="x",(P6-MIN(P$4:P$14))/(MAX(P$4:P$14)-MIN(P$4:P$14)),(MAX(P$4:P$14)-P6)/(MAX(P$4:P$14)-MIN(P$4:P$14))),"")</f>
        <v>0.30194319880418535</v>
      </c>
      <c r="AI6" s="161">
        <f t="shared" si="1"/>
        <v>0.42428618433018955</v>
      </c>
      <c r="AJ6" s="161">
        <f t="shared" si="0"/>
        <v>0.49218631226033893</v>
      </c>
      <c r="AK6" s="161">
        <f t="shared" si="0"/>
        <v>0.47276271728118496</v>
      </c>
      <c r="AL6" s="161">
        <f t="shared" si="0"/>
        <v>0.4939863166714194</v>
      </c>
      <c r="AM6" s="161">
        <f t="shared" si="0"/>
        <v>0.55042588535476722</v>
      </c>
    </row>
    <row r="7" spans="1:39" x14ac:dyDescent="0.3">
      <c r="A7" s="28" t="s">
        <v>89</v>
      </c>
      <c r="B7" s="97">
        <f>'C LAI GenQC'!I12</f>
        <v>1.84</v>
      </c>
      <c r="C7" s="92">
        <f>'C LAI GenQC'!AU11</f>
        <v>94.557071963010102</v>
      </c>
      <c r="D7" s="76">
        <f>'C LAI GenQC'!K12</f>
        <v>1.52</v>
      </c>
      <c r="E7" s="97">
        <f>'C LAI GenQC'!I14</f>
        <v>1.78</v>
      </c>
      <c r="F7" s="92">
        <f>'C LAI GenQC'!AU15</f>
        <v>95.0546602556621</v>
      </c>
      <c r="G7" s="76">
        <f>'C LAI GenQC'!K14</f>
        <v>2.64</v>
      </c>
      <c r="H7" s="328">
        <v>1.64</v>
      </c>
      <c r="I7" s="299">
        <v>93.966170110750099</v>
      </c>
      <c r="J7" s="329">
        <v>1.74</v>
      </c>
      <c r="K7" s="365">
        <v>1.73</v>
      </c>
      <c r="L7" s="365">
        <v>93.123000256344696</v>
      </c>
      <c r="M7" s="365">
        <v>4.2</v>
      </c>
      <c r="N7" s="366">
        <v>1.69</v>
      </c>
      <c r="O7" s="366">
        <v>94.1670104136372</v>
      </c>
      <c r="P7" s="366">
        <v>1.22</v>
      </c>
      <c r="Q7" s="366"/>
      <c r="R7" s="366"/>
      <c r="S7" s="366"/>
      <c r="T7">
        <f>IF(ISNUMBER(B7),IF(T$2="x",(B7-MIN(B$4:B$14))/(MAX(B$4:B$14)-MIN(B$4:B$14)),(MAX(B$4:B$14)-B7)/(MAX(B$4:B$14)-MIN(B$4:B$14))),"")</f>
        <v>0.95098039215686281</v>
      </c>
      <c r="U7">
        <f>IF(ISNUMBER(C7),IF(U$2="x",(C7-MIN(C$4:C$14))/(MAX(C$4:C$14)-MIN(C$4:C$14)),(MAX(C$4:C$14)-C7)/(MAX(C$4:C$14)-MIN(C$4:C$14))),"")</f>
        <v>0.6979745631819354</v>
      </c>
      <c r="V7">
        <f>IF(ISNUMBER(D7),IF(V$2="x",(D7-MIN(D$4:D$14))/(MAX(D$4:D$14)-MIN(D$4:D$14)),(MAX(D$4:D$14)-D7)/(MAX(D$4:D$14)-MIN(D$4:D$14))),"")</f>
        <v>0.23529411764705882</v>
      </c>
      <c r="W7">
        <f>IF(ISNUMBER(E7),IF(W$2="x",(E7-MIN(E$4:E$14))/(MAX(E$4:E$14)-MIN(E$4:E$14)),(MAX(E$4:E$14)-E7)/(MAX(E$4:E$14)-MIN(E$4:E$14))),"")</f>
        <v>0.9550561797752809</v>
      </c>
      <c r="X7">
        <f>IF(ISNUMBER(F7),IF(X$2="x",(F7-MIN(F$4:F$14))/(MAX(F$4:F$14)-MIN(F$4:F$14)),(MAX(F$4:F$14)-F7)/(MAX(F$4:F$14)-MIN(F$4:F$14))),"")</f>
        <v>0.76629528856262608</v>
      </c>
      <c r="Y7">
        <f>IF(ISNUMBER(G7),IF(Y$2="x",(G7-MIN(G$4:G$14))/(MAX(G$4:G$14)-MIN(G$4:G$14)),(MAX(G$4:G$14)-G7)/(MAX(G$4:G$14)-MIN(G$4:G$14))),"")</f>
        <v>0.40243902439024393</v>
      </c>
      <c r="Z7">
        <f>IF(ISNUMBER(H7),IF(Z$2="x",(H7-MIN(H$4:H$14))/(MAX(H$4:H$14)-MIN(H$4:H$14)),(MAX(H$4:H$14)-H7)/(MAX(H$4:H$14)-MIN(H$4:H$14))),"")</f>
        <v>0.7411764705882351</v>
      </c>
      <c r="AA7">
        <f>IF(ISNUMBER(I7),IF(AA$2="x",(I7-MIN(I$4:I$14))/(MAX(I$4:I$14)-MIN(I$4:I$14)),(MAX(I$4:I$14)-I7)/(MAX(I$4:I$14)-MIN(I$4:I$14))),"")</f>
        <v>0.35271726218443333</v>
      </c>
      <c r="AB7">
        <f>IF(ISNUMBER(J7),IF(AB$2="x",(J7-MIN(J$4:J$14))/(MAX(J$4:J$14)-MIN(J$4:J$14)),(MAX(J$4:J$14)-J7)/(MAX(J$4:J$14)-MIN(J$4:J$14))),"")</f>
        <v>0.39455782312925169</v>
      </c>
      <c r="AC7">
        <f>IF(ISNUMBER(K7),IF(AC$2="x",(K7-MIN(K$4:K$14))/(MAX(K$4:K$14)-MIN(K$4:K$14)),(MAX(K$4:K$14)-K7)/(MAX(K$4:K$14)-MIN(K$4:K$14))),"")</f>
        <v>0.70833333333333348</v>
      </c>
      <c r="AD7">
        <f>IF(ISNUMBER(L7),IF(AD$2="x",(L7-MIN(L$4:L$14))/(MAX(L$4:L$14)-MIN(L$4:L$14)),(MAX(L$4:L$14)-L7)/(MAX(L$4:L$14)-MIN(L$4:L$14))),"")</f>
        <v>0.34337055397183508</v>
      </c>
      <c r="AE7">
        <f>IF(ISNUMBER(M7),IF(AE$2="x",(M7-MIN(M$4:M$14))/(MAX(M$4:M$14)-MIN(M$4:M$14)),(MAX(M$4:M$14)-M7)/(MAX(M$4:M$14)-MIN(M$4:M$14))),"")</f>
        <v>0.62874251497005995</v>
      </c>
      <c r="AF7">
        <f>IF(ISNUMBER(N7),IF(AF$2="x",(N7-MIN(N$4:N$14))/(MAX(N$4:N$14)-MIN(N$4:N$14)),(MAX(N$4:N$14)-N7)/(MAX(N$4:N$14)-MIN(N$4:N$14))),"")</f>
        <v>0.66315789473684217</v>
      </c>
      <c r="AG7">
        <f>IF(ISNUMBER(O7),IF(AG$2="x",(O7-MIN(O$4:O$14))/(MAX(O$4:O$14)-MIN(O$4:O$14)),(MAX(O$4:O$14)-O7)/(MAX(O$4:O$14)-MIN(O$4:O$14))),"")</f>
        <v>0.75777691635514155</v>
      </c>
      <c r="AH7">
        <f>IF(ISNUMBER(P7),IF(AH$2="x",(P7-MIN(P$4:P$14))/(MAX(P$4:P$14)-MIN(P$4:P$14)),(MAX(P$4:P$14)-P7)/(MAX(P$4:P$14)-MIN(P$4:P$14))),"")</f>
        <v>0.18236173393124064</v>
      </c>
      <c r="AI7" s="161">
        <f t="shared" si="1"/>
        <v>0.62808302432861896</v>
      </c>
      <c r="AJ7" s="161">
        <f t="shared" si="0"/>
        <v>0.70793016424271693</v>
      </c>
      <c r="AK7" s="161">
        <f t="shared" si="0"/>
        <v>0.49615051863397336</v>
      </c>
      <c r="AL7" s="161">
        <f t="shared" si="0"/>
        <v>0.56014880075840956</v>
      </c>
      <c r="AM7" s="161">
        <f t="shared" si="0"/>
        <v>0.53443218167440809</v>
      </c>
    </row>
    <row r="8" spans="1:39" x14ac:dyDescent="0.3">
      <c r="A8" s="28" t="s">
        <v>1197</v>
      </c>
      <c r="B8" s="97"/>
      <c r="C8" s="92"/>
      <c r="D8" s="76"/>
      <c r="E8" s="97"/>
      <c r="F8" s="92"/>
      <c r="G8" s="76"/>
      <c r="H8" s="328"/>
      <c r="I8" s="299"/>
      <c r="J8" s="329"/>
      <c r="K8" s="365"/>
      <c r="L8" s="365"/>
      <c r="M8" s="365"/>
      <c r="N8" s="366">
        <v>1.64</v>
      </c>
      <c r="O8" s="366">
        <v>93.966170110750099</v>
      </c>
      <c r="P8" s="366">
        <v>1.74</v>
      </c>
      <c r="Q8" s="366"/>
      <c r="R8" s="366"/>
      <c r="S8" s="366"/>
      <c r="AF8" s="171">
        <f>IF(ISNUMBER(N8),IF(AF$2="x",(N8-MIN(N$4:N$14))/(MAX(N$4:N$14)-MIN(N$4:N$14)),(MAX(N$4:N$14)-N8)/(MAX(N$4:N$14)-MIN(N$4:N$14))),"")</f>
        <v>0.61052631578947369</v>
      </c>
      <c r="AH8" s="171">
        <f>IF(ISNUMBER(P8),IF(AH$2="x",(P8-MIN(P$4:P$14))/(MAX(P$4:P$14)-MIN(P$4:P$14)),(MAX(P$4:P$14)-P8)/(MAX(P$4:P$14)-MIN(P$4:P$14))),"")</f>
        <v>0.26008968609865468</v>
      </c>
      <c r="AI8" s="161"/>
      <c r="AJ8" s="161"/>
      <c r="AK8" s="161"/>
      <c r="AL8" s="161"/>
      <c r="AM8" s="161"/>
    </row>
    <row r="9" spans="1:39" x14ac:dyDescent="0.3">
      <c r="A9" s="28" t="s">
        <v>1198</v>
      </c>
      <c r="B9" s="97"/>
      <c r="C9" s="92"/>
      <c r="D9" s="76"/>
      <c r="E9" s="97"/>
      <c r="F9" s="92"/>
      <c r="G9" s="76"/>
      <c r="H9" s="328"/>
      <c r="I9" s="299"/>
      <c r="J9" s="329"/>
      <c r="K9" s="365"/>
      <c r="L9" s="365"/>
      <c r="M9" s="365"/>
      <c r="N9" s="366">
        <v>1.69</v>
      </c>
      <c r="O9" s="366">
        <v>94.219378338157497</v>
      </c>
      <c r="P9" s="366">
        <v>1.07</v>
      </c>
      <c r="Q9" s="366"/>
      <c r="R9" s="366"/>
      <c r="S9" s="366"/>
      <c r="AI9" s="161"/>
      <c r="AJ9" s="161"/>
      <c r="AK9" s="161"/>
      <c r="AL9" s="161"/>
      <c r="AM9" s="161"/>
    </row>
    <row r="10" spans="1:39" x14ac:dyDescent="0.3">
      <c r="A10" s="326" t="s">
        <v>461</v>
      </c>
      <c r="B10" s="97">
        <f>'C LAI GenQC'!I19</f>
        <v>1.89</v>
      </c>
      <c r="C10" s="92">
        <f>'C LAI GenQC'!AU19</f>
        <v>93.254091627530997</v>
      </c>
      <c r="D10" s="76">
        <f>'C LAI GenQC'!K19</f>
        <v>3.99</v>
      </c>
      <c r="E10" s="97">
        <f>'C LAI GenQC'!I21</f>
        <v>1.62</v>
      </c>
      <c r="F10" s="92">
        <f>'C LAI GenQC'!AU20</f>
        <v>95.203309868554399</v>
      </c>
      <c r="G10" s="76">
        <f>'C LAI GenQC'!K21</f>
        <v>2.96</v>
      </c>
      <c r="H10" s="97">
        <f>'C LAI GenQC'!I23</f>
        <v>1.49</v>
      </c>
      <c r="I10" s="92">
        <f>'C LAI GenQC'!AU22</f>
        <v>95.474299903412202</v>
      </c>
      <c r="J10" s="30">
        <f>'C LAI GenQC'!K23</f>
        <v>3.11</v>
      </c>
      <c r="K10">
        <v>1.57</v>
      </c>
      <c r="L10">
        <v>93.022481709773999</v>
      </c>
      <c r="M10">
        <v>4.32</v>
      </c>
      <c r="N10" s="171">
        <v>1.57</v>
      </c>
      <c r="O10">
        <v>93.054630229722207</v>
      </c>
      <c r="P10" s="171">
        <v>4.2300000000000004</v>
      </c>
      <c r="Q10" s="171"/>
      <c r="R10" s="171"/>
      <c r="S10" s="171"/>
      <c r="T10">
        <f>IF(ISNUMBER(B10),IF(T$2="x",(B10-MIN(B$4:B$14))/(MAX(B$4:B$14)-MIN(B$4:B$14)),(MAX(B$4:B$14)-B10)/(MAX(B$4:B$14)-MIN(B$4:B$14))),"")</f>
        <v>1</v>
      </c>
      <c r="U10">
        <f>IF(ISNUMBER(C10),IF(U$2="x",(C10-MIN(C$4:C$14))/(MAX(C$4:C$14)-MIN(C$4:C$14)),(MAX(C$4:C$14)-C10)/(MAX(C$4:C$14)-MIN(C$4:C$14))),"")</f>
        <v>0.34021295602005597</v>
      </c>
      <c r="V10">
        <f>IF(ISNUMBER(D10),IF(V$2="x",(D10-MIN(D$4:D$14))/(MAX(D$4:D$14)-MIN(D$4:D$14)),(MAX(D$4:D$14)-D10)/(MAX(D$4:D$14)-MIN(D$4:D$14))),"")</f>
        <v>0.61764705882352944</v>
      </c>
      <c r="W10">
        <f>IF(ISNUMBER(E10),IF(W$2="x",(E10-MIN(E$4:E$14))/(MAX(E$4:E$14)-MIN(E$4:E$14)),(MAX(E$4:E$14)-E10)/(MAX(E$4:E$14)-MIN(E$4:E$14))),"")</f>
        <v>0.7752808988764045</v>
      </c>
      <c r="X10">
        <f>IF(ISNUMBER(F10),IF(X$2="x",(F10-MIN(F$4:F$14))/(MAX(F$4:F$14)-MIN(F$4:F$14)),(MAX(F$4:F$14)-F10)/(MAX(F$4:F$14)-MIN(F$4:F$14))),"")</f>
        <v>0.79990883133550961</v>
      </c>
      <c r="Y10">
        <f>IF(ISNUMBER(G10),IF(Y$2="x",(G10-MIN(G$4:G$14))/(MAX(G$4:G$14)-MIN(G$4:G$14)),(MAX(G$4:G$14)-G10)/(MAX(G$4:G$14)-MIN(G$4:G$14))),"")</f>
        <v>0.45121951219512196</v>
      </c>
      <c r="Z10">
        <f>IF(ISNUMBER(H10),IF(Z$2="x",(H10-MIN(H$4:H$14))/(MAX(H$4:H$14)-MIN(H$4:H$14)),(MAX(H$4:H$14)-H10)/(MAX(H$4:H$14)-MIN(H$4:H$14))),"")</f>
        <v>0.56470588235294106</v>
      </c>
      <c r="AA10">
        <f>IF(ISNUMBER(I10),IF(AA$2="x",(I10-MIN(I$4:I$14))/(MAX(I$4:I$14)-MIN(I$4:I$14)),(MAX(I$4:I$14)-I10)/(MAX(I$4:I$14)-MIN(I$4:I$14))),"")</f>
        <v>0.80570939331426006</v>
      </c>
      <c r="AB10">
        <f>IF(ISNUMBER(J10),IF(AB$2="x",(J10-MIN(J$4:J$14))/(MAX(J$4:J$14)-MIN(J$4:J$14)),(MAX(J$4:J$14)-J10)/(MAX(J$4:J$14)-MIN(J$4:J$14))),"")</f>
        <v>0.70521541950113376</v>
      </c>
      <c r="AC10">
        <f>IF(ISNUMBER(K10),IF(AC$2="x",(K10-MIN(K$4:K$14))/(MAX(K$4:K$14)-MIN(K$4:K$14)),(MAX(K$4:K$14)-K10)/(MAX(K$4:K$14)-MIN(K$4:K$14))),"")</f>
        <v>0.54166666666666685</v>
      </c>
      <c r="AD10">
        <f>IF(ISNUMBER(L10),IF(AD$2="x",(L10-MIN(L$4:L$14))/(MAX(L$4:L$14)-MIN(L$4:L$14)),(MAX(L$4:L$14)-L10)/(MAX(L$4:L$14)-MIN(L$4:L$14))),"")</f>
        <v>0.31989541972902485</v>
      </c>
      <c r="AE10">
        <f>IF(ISNUMBER(M10),IF(AE$2="x",(M10-MIN(M$4:M$14))/(MAX(M$4:M$14)-MIN(M$4:M$14)),(MAX(M$4:M$14)-M10)/(MAX(M$4:M$14)-MIN(M$4:M$14))),"")</f>
        <v>0.64670658682634741</v>
      </c>
      <c r="AF10">
        <f>IF(ISNUMBER(N10),IF(AF$2="x",(N10-MIN(N$4:N$14))/(MAX(N$4:N$14)-MIN(N$4:N$14)),(MAX(N$4:N$14)-N10)/(MAX(N$4:N$14)-MIN(N$4:N$14))),"")</f>
        <v>0.53684210526315801</v>
      </c>
      <c r="AG10">
        <f>IF(ISNUMBER(O10),IF(AG$2="x",(O10-MIN(O$4:O$14))/(MAX(O$4:O$14)-MIN(O$4:O$14)),(MAX(O$4:O$14)-O10)/(MAX(O$4:O$14)-MIN(O$4:O$14))),"")</f>
        <v>0.43114031336301606</v>
      </c>
      <c r="AH10">
        <f>IF(ISNUMBER(P10),IF(AH$2="x",(P10-MIN(P$4:P$14))/(MAX(P$4:P$14)-MIN(P$4:P$14)),(MAX(P$4:P$14)-P10)/(MAX(P$4:P$14)-MIN(P$4:P$14))),"")</f>
        <v>0.63228699551569512</v>
      </c>
      <c r="AI10" s="161">
        <f t="shared" si="1"/>
        <v>0.65262000494786176</v>
      </c>
      <c r="AJ10" s="161">
        <f t="shared" si="0"/>
        <v>0.67546974746901201</v>
      </c>
      <c r="AK10" s="161">
        <f t="shared" si="0"/>
        <v>0.69187689838944488</v>
      </c>
      <c r="AL10" s="161">
        <f t="shared" si="0"/>
        <v>0.50275622440734635</v>
      </c>
      <c r="AM10" s="161">
        <f t="shared" si="0"/>
        <v>0.53342313804728969</v>
      </c>
    </row>
    <row r="11" spans="1:39" x14ac:dyDescent="0.3">
      <c r="A11" s="28" t="s">
        <v>384</v>
      </c>
      <c r="B11" s="97">
        <f>'C LAI GenQC'!I24</f>
        <v>1.75</v>
      </c>
      <c r="C11" s="92">
        <f>'C LAI GenQC'!AU24</f>
        <v>94.076564750160003</v>
      </c>
      <c r="D11" s="76">
        <f>'C LAI GenQC'!K24</f>
        <v>1.53</v>
      </c>
      <c r="E11" s="97">
        <f>'C LAI GenQC'!I25</f>
        <v>1.82</v>
      </c>
      <c r="F11" s="92">
        <f>'C LAI GenQC'!AU25</f>
        <v>94.032694291782505</v>
      </c>
      <c r="G11" s="76">
        <f>'C LAI GenQC'!K25</f>
        <v>1.73</v>
      </c>
      <c r="H11" s="97">
        <f>'C LAI GenQC'!I26</f>
        <v>1.86</v>
      </c>
      <c r="I11" s="92">
        <f>'C LAI GenQC'!AU26</f>
        <v>94.333524239858903</v>
      </c>
      <c r="J11" s="30">
        <f>'C LAI GenQC'!K26</f>
        <v>0.92</v>
      </c>
      <c r="K11">
        <v>2.0099999999999998</v>
      </c>
      <c r="L11">
        <v>93.2512015936057</v>
      </c>
      <c r="M11">
        <v>4.12</v>
      </c>
      <c r="N11" s="171">
        <v>2.0099999999999998</v>
      </c>
      <c r="O11">
        <v>93.259493379958499</v>
      </c>
      <c r="P11" s="171">
        <v>4.09</v>
      </c>
      <c r="Q11" s="171"/>
      <c r="R11" s="171"/>
      <c r="S11" s="171"/>
      <c r="T11">
        <f>IF(ISNUMBER(B11),IF(T$2="x",(B11-MIN(B$4:B$14))/(MAX(B$4:B$14)-MIN(B$4:B$14)),(MAX(B$4:B$14)-B11)/(MAX(B$4:B$14)-MIN(B$4:B$14))),"")</f>
        <v>0.86274509803921573</v>
      </c>
      <c r="U11">
        <f>IF(ISNUMBER(C11),IF(U$2="x",(C11-MIN(C$4:C$14))/(MAX(C$4:C$14)-MIN(C$4:C$14)),(MAX(C$4:C$14)-C11)/(MAX(C$4:C$14)-MIN(C$4:C$14))),"")</f>
        <v>0.56604085087543565</v>
      </c>
      <c r="V11">
        <f>IF(ISNUMBER(D11),IF(V$2="x",(D11-MIN(D$4:D$14))/(MAX(D$4:D$14)-MIN(D$4:D$14)),(MAX(D$4:D$14)-D11)/(MAX(D$4:D$14)-MIN(D$4:D$14))),"")</f>
        <v>0.23684210526315791</v>
      </c>
      <c r="W11">
        <f>IF(ISNUMBER(E11),IF(W$2="x",(E11-MIN(E$4:E$14))/(MAX(E$4:E$14)-MIN(E$4:E$14)),(MAX(E$4:E$14)-E11)/(MAX(E$4:E$14)-MIN(E$4:E$14))),"")</f>
        <v>1</v>
      </c>
      <c r="X11">
        <f>IF(ISNUMBER(F11),IF(X$2="x",(F11-MIN(F$4:F$14))/(MAX(F$4:F$14)-MIN(F$4:F$14)),(MAX(F$4:F$14)-F11)/(MAX(F$4:F$14)-MIN(F$4:F$14))),"")</f>
        <v>0.53520221020939351</v>
      </c>
      <c r="Y11">
        <f>IF(ISNUMBER(G11),IF(Y$2="x",(G11-MIN(G$4:G$14))/(MAX(G$4:G$14)-MIN(G$4:G$14)),(MAX(G$4:G$14)-G11)/(MAX(G$4:G$14)-MIN(G$4:G$14))),"")</f>
        <v>0.26371951219512196</v>
      </c>
      <c r="Z11">
        <f>IF(ISNUMBER(H11),IF(Z$2="x",(H11-MIN(H$4:H$14))/(MAX(H$4:H$14)-MIN(H$4:H$14)),(MAX(H$4:H$14)-H11)/(MAX(H$4:H$14)-MIN(H$4:H$14))),"")</f>
        <v>1</v>
      </c>
      <c r="AA11">
        <f>IF(ISNUMBER(I11),IF(AA$2="x",(I11-MIN(I$4:I$14))/(MAX(I$4:I$14)-MIN(I$4:I$14)),(MAX(I$4:I$14)-I11)/(MAX(I$4:I$14)-MIN(I$4:I$14))),"")</f>
        <v>0.46305824916977739</v>
      </c>
      <c r="AB11">
        <f>IF(ISNUMBER(J11),IF(AB$2="x",(J11-MIN(J$4:J$14))/(MAX(J$4:J$14)-MIN(J$4:J$14)),(MAX(J$4:J$14)-J11)/(MAX(J$4:J$14)-MIN(J$4:J$14))),"")</f>
        <v>0.20861678004535147</v>
      </c>
      <c r="AC11">
        <f>IF(ISNUMBER(K11),IF(AC$2="x",(K11-MIN(K$4:K$14))/(MAX(K$4:K$14)-MIN(K$4:K$14)),(MAX(K$4:K$14)-K11)/(MAX(K$4:K$14)-MIN(K$4:K$14))),"")</f>
        <v>1</v>
      </c>
      <c r="AD11">
        <f>IF(ISNUMBER(L11),IF(AD$2="x",(L11-MIN(L$4:L$14))/(MAX(L$4:L$14)-MIN(L$4:L$14)),(MAX(L$4:L$14)-L11)/(MAX(L$4:L$14)-MIN(L$4:L$14))),"")</f>
        <v>0.37331073620669419</v>
      </c>
      <c r="AE11">
        <f>IF(ISNUMBER(M11),IF(AE$2="x",(M11-MIN(M$4:M$14))/(MAX(M$4:M$14)-MIN(M$4:M$14)),(MAX(M$4:M$14)-M11)/(MAX(M$4:M$14)-MIN(M$4:M$14))),"")</f>
        <v>0.61676646706586835</v>
      </c>
      <c r="AF11">
        <f>IF(ISNUMBER(N11),IF(AF$2="x",(N11-MIN(N$4:N$14))/(MAX(N$4:N$14)-MIN(N$4:N$14)),(MAX(N$4:N$14)-N11)/(MAX(N$4:N$14)-MIN(N$4:N$14))),"")</f>
        <v>1</v>
      </c>
      <c r="AG11">
        <f>IF(ISNUMBER(O11),IF(AG$2="x",(O11-MIN(O$4:O$14))/(MAX(O$4:O$14)-MIN(O$4:O$14)),(MAX(O$4:O$14)-O11)/(MAX(O$4:O$14)-MIN(O$4:O$14))),"")</f>
        <v>0.49129582893138901</v>
      </c>
      <c r="AH11">
        <f>IF(ISNUMBER(P11),IF(AH$2="x",(P11-MIN(P$4:P$14))/(MAX(P$4:P$14)-MIN(P$4:P$14)),(MAX(P$4:P$14)-P11)/(MAX(P$4:P$14)-MIN(P$4:P$14))),"")</f>
        <v>0.6113602391629297</v>
      </c>
      <c r="AI11" s="161">
        <f t="shared" si="1"/>
        <v>0.55520935139260308</v>
      </c>
      <c r="AJ11" s="161">
        <f t="shared" si="0"/>
        <v>0.5996405741348384</v>
      </c>
      <c r="AK11" s="161">
        <f t="shared" si="0"/>
        <v>0.5572250097383763</v>
      </c>
      <c r="AL11" s="161">
        <f t="shared" si="0"/>
        <v>0.66335906775752085</v>
      </c>
      <c r="AM11" s="161">
        <f t="shared" si="0"/>
        <v>0.70088535603143953</v>
      </c>
    </row>
    <row r="12" spans="1:39" x14ac:dyDescent="0.3">
      <c r="A12" s="28" t="s">
        <v>94</v>
      </c>
      <c r="B12" s="97">
        <f>'C LAI GenQC'!I27</f>
        <v>1.51</v>
      </c>
      <c r="C12" s="92">
        <f>'C LAI GenQC'!AU27</f>
        <v>95.550034200166706</v>
      </c>
      <c r="D12" s="76">
        <f>'C LAI GenQC'!K27</f>
        <v>0</v>
      </c>
      <c r="E12" s="97"/>
      <c r="F12" s="92"/>
      <c r="G12" s="76"/>
      <c r="H12" s="97"/>
      <c r="I12" s="92"/>
      <c r="J12" s="30"/>
      <c r="T12">
        <f>IF(ISNUMBER(B12),IF(T$2="x",(B12-MIN(B$4:B$14))/(MAX(B$4:B$14)-MIN(B$4:B$14)),(MAX(B$4:B$14)-B12)/(MAX(B$4:B$14)-MIN(B$4:B$14))),"")</f>
        <v>0.62745098039215685</v>
      </c>
      <c r="U12">
        <f>IF(ISNUMBER(C12),IF(U$2="x",(C12-MIN(C$4:C$14))/(MAX(C$4:C$14)-MIN(C$4:C$14)),(MAX(C$4:C$14)-C12)/(MAX(C$4:C$14)-MIN(C$4:C$14))),"")</f>
        <v>0.97061395469322698</v>
      </c>
      <c r="V12">
        <f>IF(ISNUMBER(D12),IF(V$2="x",(D12-MIN(D$4:D$14))/(MAX(D$4:D$14)-MIN(D$4:D$14)),(MAX(D$4:D$14)-D12)/(MAX(D$4:D$14)-MIN(D$4:D$14))),"")</f>
        <v>0</v>
      </c>
      <c r="W12" t="str">
        <f>IF(ISNUMBER(E12),IF(W$2="x",(E12-MIN(E$4:E$14))/(MAX(E$4:E$14)-MIN(E$4:E$14)),(MAX(E$4:E$14)-E12)/(MAX(E$4:E$14)-MIN(E$4:E$14))),"")</f>
        <v/>
      </c>
      <c r="X12" t="str">
        <f>IF(ISNUMBER(F12),IF(X$2="x",(F12-MIN(F$4:F$14))/(MAX(F$4:F$14)-MIN(F$4:F$14)),(MAX(F$4:F$14)-F12)/(MAX(F$4:F$14)-MIN(F$4:F$14))),"")</f>
        <v/>
      </c>
      <c r="Y12" t="str">
        <f>IF(ISNUMBER(G12),IF(Y$2="x",(G12-MIN(G$4:G$14))/(MAX(G$4:G$14)-MIN(G$4:G$14)),(MAX(G$4:G$14)-G12)/(MAX(G$4:G$14)-MIN(G$4:G$14))),"")</f>
        <v/>
      </c>
      <c r="Z12" t="str">
        <f>IF(ISNUMBER(H12),IF(Z$2="x",(H12-MIN(H$4:H$14))/(MAX(H$4:H$14)-MIN(H$4:H$14)),(MAX(H$4:H$14)-H12)/(MAX(H$4:H$14)-MIN(H$4:H$14))),"")</f>
        <v/>
      </c>
      <c r="AA12" t="str">
        <f>IF(ISNUMBER(I12),IF(AA$2="x",(I12-MIN(I$4:I$14))/(MAX(I$4:I$14)-MIN(I$4:I$14)),(MAX(I$4:I$14)-I12)/(MAX(I$4:I$14)-MIN(I$4:I$14))),"")</f>
        <v/>
      </c>
      <c r="AB12" t="str">
        <f>IF(ISNUMBER(J12),IF(AB$2="x",(J12-MIN(J$4:J$14))/(MAX(J$4:J$14)-MIN(J$4:J$14)),(MAX(J$4:J$14)-J12)/(MAX(J$4:J$14)-MIN(J$4:J$14))),"")</f>
        <v/>
      </c>
      <c r="AC12" t="str">
        <f>IF(ISNUMBER(K12),IF(AC$2="x",(K12-MIN(K$4:K$14))/(MAX(K$4:K$14)-MIN(K$4:K$14)),(MAX(K$4:K$14)-K12)/(MAX(K$4:K$14)-MIN(K$4:K$14))),"")</f>
        <v/>
      </c>
      <c r="AD12" t="str">
        <f>IF(ISNUMBER(L12),IF(AD$2="x",(L12-MIN(L$4:L$14))/(MAX(L$4:L$14)-MIN(L$4:L$14)),(MAX(L$4:L$14)-L12)/(MAX(L$4:L$14)-MIN(L$4:L$14))),"")</f>
        <v/>
      </c>
      <c r="AE12" t="str">
        <f>IF(ISNUMBER(M12),IF(AE$2="x",(M12-MIN(M$4:M$14))/(MAX(M$4:M$14)-MIN(M$4:M$14)),(MAX(M$4:M$14)-M12)/(MAX(M$4:M$14)-MIN(M$4:M$14))),"")</f>
        <v/>
      </c>
      <c r="AF12" t="str">
        <f>IF(ISNUMBER(N12),IF(AF$2="x",(N12-MIN(N$4:N$14))/(MAX(N$4:N$14)-MIN(N$4:N$14)),(MAX(N$4:N$14)-N12)/(MAX(N$4:N$14)-MIN(N$4:N$14))),"")</f>
        <v/>
      </c>
      <c r="AG12" t="str">
        <f>IF(ISNUMBER(O12),IF(AG$2="x",(O12-MIN(O$4:O$14))/(MAX(O$4:O$14)-MIN(O$4:O$14)),(MAX(O$4:O$14)-O12)/(MAX(O$4:O$14)-MIN(O$4:O$14))),"")</f>
        <v/>
      </c>
      <c r="AH12" t="str">
        <f>IF(ISNUMBER(P12),IF(AH$2="x",(P12-MIN(P$4:P$14))/(MAX(P$4:P$14)-MIN(P$4:P$14)),(MAX(P$4:P$14)-P12)/(MAX(P$4:P$14)-MIN(P$4:P$14))),"")</f>
        <v/>
      </c>
      <c r="AI12" s="161">
        <f t="shared" si="1"/>
        <v>0.53268831169512787</v>
      </c>
      <c r="AJ12" s="161" t="str">
        <f t="shared" si="0"/>
        <v/>
      </c>
      <c r="AK12" s="161" t="str">
        <f t="shared" si="0"/>
        <v/>
      </c>
      <c r="AL12" s="161" t="str">
        <f t="shared" si="0"/>
        <v/>
      </c>
      <c r="AM12" s="161" t="str">
        <f t="shared" si="0"/>
        <v/>
      </c>
    </row>
    <row r="13" spans="1:39" x14ac:dyDescent="0.3">
      <c r="A13" s="28" t="s">
        <v>93</v>
      </c>
      <c r="B13" s="97">
        <f>'C LAI GenQC'!I29</f>
        <v>1.49</v>
      </c>
      <c r="C13" s="92">
        <f>'C LAI GenQC'!AU29</f>
        <v>95.101588610019405</v>
      </c>
      <c r="D13" s="76">
        <f>'C LAI GenQC'!K29</f>
        <v>0</v>
      </c>
      <c r="E13" s="97">
        <f>'C LAI GenQC'!I30</f>
        <v>1.52</v>
      </c>
      <c r="F13" s="92">
        <f>'C LAI GenQC'!AU30</f>
        <v>94.928690860849301</v>
      </c>
      <c r="G13" s="76">
        <f>'C LAI GenQC'!K30</f>
        <v>0</v>
      </c>
      <c r="H13" s="97">
        <f>'C LAI GenQC'!I31</f>
        <v>1.51</v>
      </c>
      <c r="I13" s="92">
        <f>'C LAI GenQC'!AU31</f>
        <v>95.301035415677006</v>
      </c>
      <c r="J13" s="30">
        <f>'C LAI GenQC'!K31</f>
        <v>0</v>
      </c>
      <c r="K13">
        <v>1.74</v>
      </c>
      <c r="L13">
        <v>93.614472652680504</v>
      </c>
      <c r="M13">
        <v>2.82</v>
      </c>
      <c r="N13" s="171">
        <v>1.75</v>
      </c>
      <c r="O13">
        <v>93.411784579329293</v>
      </c>
      <c r="P13" s="171">
        <v>3.41</v>
      </c>
      <c r="Q13" s="171"/>
      <c r="R13" s="171"/>
      <c r="S13" s="171"/>
      <c r="T13">
        <f>IF(ISNUMBER(B13),IF(T$2="x",(B13-MIN(B$4:B$14))/(MAX(B$4:B$14)-MIN(B$4:B$14)),(MAX(B$4:B$14)-B13)/(MAX(B$4:B$14)-MIN(B$4:B$14))),"")</f>
        <v>0.60784313725490191</v>
      </c>
      <c r="U13">
        <f>IF(ISNUMBER(C13),IF(U$2="x",(C13-MIN(C$4:C$14))/(MAX(C$4:C$14)-MIN(C$4:C$14)),(MAX(C$4:C$14)-C13)/(MAX(C$4:C$14)-MIN(C$4:C$14))),"")</f>
        <v>0.84748345863952912</v>
      </c>
      <c r="V13">
        <f>IF(ISNUMBER(D13),IF(V$2="x",(D13-MIN(D$4:D$14))/(MAX(D$4:D$14)-MIN(D$4:D$14)),(MAX(D$4:D$14)-D13)/(MAX(D$4:D$14)-MIN(D$4:D$14))),"")</f>
        <v>0</v>
      </c>
      <c r="W13">
        <f>IF(ISNUMBER(E13),IF(W$2="x",(E13-MIN(E$4:E$14))/(MAX(E$4:E$14)-MIN(E$4:E$14)),(MAX(E$4:E$14)-E13)/(MAX(E$4:E$14)-MIN(E$4:E$14))),"")</f>
        <v>0.6629213483146067</v>
      </c>
      <c r="X13">
        <f>IF(ISNUMBER(F13),IF(X$2="x",(F13-MIN(F$4:F$14))/(MAX(F$4:F$14)-MIN(F$4:F$14)),(MAX(F$4:F$14)-F13)/(MAX(F$4:F$14)-MIN(F$4:F$14))),"")</f>
        <v>0.73781033284543829</v>
      </c>
      <c r="Y13">
        <f>IF(ISNUMBER(G13),IF(Y$2="x",(G13-MIN(G$4:G$14))/(MAX(G$4:G$14)-MIN(G$4:G$14)),(MAX(G$4:G$14)-G13)/(MAX(G$4:G$14)-MIN(G$4:G$14))),"")</f>
        <v>0</v>
      </c>
      <c r="Z13">
        <f>IF(ISNUMBER(H13),IF(Z$2="x",(H13-MIN(H$4:H$14))/(MAX(H$4:H$14)-MIN(H$4:H$14)),(MAX(H$4:H$14)-H13)/(MAX(H$4:H$14)-MIN(H$4:H$14))),"")</f>
        <v>0.58823529411764697</v>
      </c>
      <c r="AA13">
        <f>IF(ISNUMBER(I13),IF(AA$2="x",(I13-MIN(I$4:I$14))/(MAX(I$4:I$14)-MIN(I$4:I$14)),(MAX(I$4:I$14)-I13)/(MAX(I$4:I$14)-MIN(I$4:I$14))),"")</f>
        <v>0.7536664922787063</v>
      </c>
      <c r="AB13">
        <f>IF(ISNUMBER(J13),IF(AB$2="x",(J13-MIN(J$4:J$14))/(MAX(J$4:J$14)-MIN(J$4:J$14)),(MAX(J$4:J$14)-J13)/(MAX(J$4:J$14)-MIN(J$4:J$14))),"")</f>
        <v>0</v>
      </c>
      <c r="AC13">
        <f>IF(ISNUMBER(K13),IF(AC$2="x",(K13-MIN(K$4:K$14))/(MAX(K$4:K$14)-MIN(K$4:K$14)),(MAX(K$4:K$14)-K13)/(MAX(K$4:K$14)-MIN(K$4:K$14))),"")</f>
        <v>0.71875000000000011</v>
      </c>
      <c r="AD13">
        <f>IF(ISNUMBER(L13),IF(AD$2="x",(L13-MIN(L$4:L$14))/(MAX(L$4:L$14)-MIN(L$4:L$14)),(MAX(L$4:L$14)-L13)/(MAX(L$4:L$14)-MIN(L$4:L$14))),"")</f>
        <v>0.45814917815840944</v>
      </c>
      <c r="AE13">
        <f>IF(ISNUMBER(M13),IF(AE$2="x",(M13-MIN(M$4:M$14))/(MAX(M$4:M$14)-MIN(M$4:M$14)),(MAX(M$4:M$14)-M13)/(MAX(M$4:M$14)-MIN(M$4:M$14))),"")</f>
        <v>0.42215568862275449</v>
      </c>
      <c r="AF13">
        <f>IF(ISNUMBER(N13),IF(AF$2="x",(N13-MIN(N$4:N$14))/(MAX(N$4:N$14)-MIN(N$4:N$14)),(MAX(N$4:N$14)-N13)/(MAX(N$4:N$14)-MIN(N$4:N$14))),"")</f>
        <v>0.72631578947368436</v>
      </c>
      <c r="AG13">
        <f>IF(ISNUMBER(O13),IF(AG$2="x",(O13-MIN(O$4:O$14))/(MAX(O$4:O$14)-MIN(O$4:O$14)),(MAX(O$4:O$14)-O13)/(MAX(O$4:O$14)-MIN(O$4:O$14))),"")</f>
        <v>0.53601424512341456</v>
      </c>
      <c r="AH13">
        <f>IF(ISNUMBER(P13),IF(AH$2="x",(P13-MIN(P$4:P$14))/(MAX(P$4:P$14)-MIN(P$4:P$14)),(MAX(P$4:P$14)-P13)/(MAX(P$4:P$14)-MIN(P$4:P$14))),"")</f>
        <v>0.50971599402092671</v>
      </c>
      <c r="AI13" s="161">
        <f t="shared" si="1"/>
        <v>0.48510886529814368</v>
      </c>
      <c r="AJ13" s="161">
        <f t="shared" si="0"/>
        <v>0.46691056038668166</v>
      </c>
      <c r="AK13" s="161">
        <f t="shared" si="0"/>
        <v>0.44730059546545115</v>
      </c>
      <c r="AL13" s="161">
        <f t="shared" si="0"/>
        <v>0.53301828892705461</v>
      </c>
      <c r="AM13" s="161">
        <f t="shared" si="0"/>
        <v>0.59068200953934191</v>
      </c>
    </row>
    <row r="14" spans="1:39" x14ac:dyDescent="0.3">
      <c r="A14" s="20" t="s">
        <v>92</v>
      </c>
      <c r="B14" s="98">
        <f>'C LAI GenQC'!I32</f>
        <v>0.87</v>
      </c>
      <c r="C14" s="94">
        <f>'C LAI GenQC'!AU32</f>
        <v>92.015024095701705</v>
      </c>
      <c r="D14" s="18">
        <f>'C LAI GenQC'!K32</f>
        <v>6.46</v>
      </c>
      <c r="E14" s="98">
        <f>'C LAI GenQC'!I33</f>
        <v>0.93</v>
      </c>
      <c r="F14" s="94">
        <f>'C LAI GenQC'!AU33</f>
        <v>91.665862509001499</v>
      </c>
      <c r="G14" s="18">
        <f>'C LAI GenQC'!K33</f>
        <v>6.56</v>
      </c>
      <c r="H14" s="98">
        <f>'C LAI GenQC'!I34</f>
        <v>1.01</v>
      </c>
      <c r="I14" s="94">
        <f>'C LAI GenQC'!AU34</f>
        <v>92.791881696159294</v>
      </c>
      <c r="J14" s="24">
        <f>'C LAI GenQC'!K34</f>
        <v>4.41</v>
      </c>
      <c r="K14">
        <v>1.05</v>
      </c>
      <c r="L14">
        <v>91.652716480182903</v>
      </c>
      <c r="M14">
        <v>6.68</v>
      </c>
      <c r="N14" s="171">
        <v>1.06</v>
      </c>
      <c r="O14">
        <v>91.586356506940803</v>
      </c>
      <c r="P14" s="171">
        <v>6.69</v>
      </c>
      <c r="Q14" s="171"/>
      <c r="R14" s="171"/>
      <c r="S14" s="171"/>
      <c r="T14">
        <f>IF(ISNUMBER(B14),IF(T$2="x",(B14-MIN(B$4:B$14))/(MAX(B$4:B$14)-MIN(B$4:B$14)),(MAX(B$4:B$14)-B14)/(MAX(B$4:B$14)-MIN(B$4:B$14))),"")</f>
        <v>0</v>
      </c>
      <c r="U14">
        <f>IF(ISNUMBER(C14),IF(U$2="x",(C14-MIN(C$4:C$14))/(MAX(C$4:C$14)-MIN(C$4:C$14)),(MAX(C$4:C$14)-C14)/(MAX(C$4:C$14)-MIN(C$4:C$14))),"")</f>
        <v>0</v>
      </c>
      <c r="V14">
        <f>IF(ISNUMBER(D14),IF(V$2="x",(D14-MIN(D$4:D$14))/(MAX(D$4:D$14)-MIN(D$4:D$14)),(MAX(D$4:D$14)-D14)/(MAX(D$4:D$14)-MIN(D$4:D$14))),"")</f>
        <v>1</v>
      </c>
      <c r="W14">
        <f>IF(ISNUMBER(E14),IF(W$2="x",(E14-MIN(E$4:E$14))/(MAX(E$4:E$14)-MIN(E$4:E$14)),(MAX(E$4:E$14)-E14)/(MAX(E$4:E$14)-MIN(E$4:E$14))),"")</f>
        <v>0</v>
      </c>
      <c r="X14">
        <f>IF(ISNUMBER(F14),IF(X$2="x",(F14-MIN(F$4:F$14))/(MAX(F$4:F$14)-MIN(F$4:F$14)),(MAX(F$4:F$14)-F14)/(MAX(F$4:F$14)-MIN(F$4:F$14))),"")</f>
        <v>0</v>
      </c>
      <c r="Y14">
        <f>IF(ISNUMBER(G14),IF(Y$2="x",(G14-MIN(G$4:G$14))/(MAX(G$4:G$14)-MIN(G$4:G$14)),(MAX(G$4:G$14)-G14)/(MAX(G$4:G$14)-MIN(G$4:G$14))),"")</f>
        <v>1</v>
      </c>
      <c r="Z14">
        <f>IF(ISNUMBER(H14),IF(Z$2="x",(H14-MIN(H$4:H$14))/(MAX(H$4:H$14)-MIN(H$4:H$14)),(MAX(H$4:H$14)-H14)/(MAX(H$4:H$14)-MIN(H$4:H$14))),"")</f>
        <v>0</v>
      </c>
      <c r="AA14">
        <f>IF(ISNUMBER(I14),IF(AA$2="x",(I14-MIN(I$4:I$14))/(MAX(I$4:I$14)-MIN(I$4:I$14)),(MAX(I$4:I$14)-I14)/(MAX(I$4:I$14)-MIN(I$4:I$14))),"")</f>
        <v>0</v>
      </c>
      <c r="AB14">
        <f>IF(ISNUMBER(J14),IF(AB$2="x",(J14-MIN(J$4:J$14))/(MAX(J$4:J$14)-MIN(J$4:J$14)),(MAX(J$4:J$14)-J14)/(MAX(J$4:J$14)-MIN(J$4:J$14))),"")</f>
        <v>1</v>
      </c>
      <c r="AC14">
        <f>IF(ISNUMBER(K14),IF(AC$2="x",(K14-MIN(K$4:K$14))/(MAX(K$4:K$14)-MIN(K$4:K$14)),(MAX(K$4:K$14)-K14)/(MAX(K$4:K$14)-MIN(K$4:K$14))),"")</f>
        <v>0</v>
      </c>
      <c r="AD14">
        <f>IF(ISNUMBER(L14),IF(AD$2="x",(L14-MIN(L$4:L$14))/(MAX(L$4:L$14)-MIN(L$4:L$14)),(MAX(L$4:L$14)-L14)/(MAX(L$4:L$14)-MIN(L$4:L$14))),"")</f>
        <v>0</v>
      </c>
      <c r="AE14">
        <f>IF(ISNUMBER(M14),IF(AE$2="x",(M14-MIN(M$4:M$14))/(MAX(M$4:M$14)-MIN(M$4:M$14)),(MAX(M$4:M$14)-M14)/(MAX(M$4:M$14)-MIN(M$4:M$14))),"")</f>
        <v>1</v>
      </c>
      <c r="AF14">
        <f>IF(ISNUMBER(N14),IF(AF$2="x",(N14-MIN(N$4:N$14))/(MAX(N$4:N$14)-MIN(N$4:N$14)),(MAX(N$4:N$14)-N14)/(MAX(N$4:N$14)-MIN(N$4:N$14))),"")</f>
        <v>0</v>
      </c>
      <c r="AG14">
        <f>IF(ISNUMBER(O14),IF(AG$2="x",(O14-MIN(O$4:O$14))/(MAX(O$4:O$14)-MIN(O$4:O$14)),(MAX(O$4:O$14)-O14)/(MAX(O$4:O$14)-MIN(O$4:O$14))),"")</f>
        <v>0</v>
      </c>
      <c r="AH14">
        <f>IF(ISNUMBER(P14),IF(AH$2="x",(P14-MIN(P$4:P$14))/(MAX(P$4:P$14)-MIN(P$4:P$14)),(MAX(P$4:P$14)-P14)/(MAX(P$4:P$14)-MIN(P$4:P$14))),"")</f>
        <v>1</v>
      </c>
      <c r="AI14" s="161">
        <f t="shared" si="1"/>
        <v>0.33333333333333331</v>
      </c>
      <c r="AJ14" s="161">
        <f t="shared" si="0"/>
        <v>0.33333333333333331</v>
      </c>
      <c r="AK14" s="161">
        <f t="shared" si="0"/>
        <v>0.33333333333333331</v>
      </c>
      <c r="AL14" s="161">
        <f t="shared" si="0"/>
        <v>0.33333333333333331</v>
      </c>
      <c r="AM14" s="161">
        <f t="shared" si="0"/>
        <v>0.33333333333333331</v>
      </c>
    </row>
    <row r="15" spans="1:39" x14ac:dyDescent="0.3">
      <c r="A15" t="s">
        <v>1140</v>
      </c>
      <c r="B15" s="92"/>
      <c r="C15" s="92"/>
      <c r="D15" s="76"/>
      <c r="E15" s="92"/>
      <c r="F15" s="92"/>
      <c r="G15" s="76"/>
      <c r="H15" s="92"/>
      <c r="I15" s="92"/>
      <c r="J15" s="76"/>
      <c r="N15" s="171">
        <v>2.97</v>
      </c>
      <c r="O15">
        <v>94.052796083576098</v>
      </c>
      <c r="P15" s="171">
        <v>2.82</v>
      </c>
      <c r="Q15" s="171"/>
      <c r="R15" s="171"/>
      <c r="S15" s="171"/>
      <c r="AF15">
        <f>IF(ISNUMBER(N15),IF(AF$2="x",(N15-MIN(N$4:N$14))/(MAX(N$4:N$14)-MIN(N$4:N$14)),(MAX(N$4:N$14)-N15)/(MAX(N$4:N$14)-MIN(N$4:N$14))),"")</f>
        <v>2.0105263157894746</v>
      </c>
      <c r="AH15">
        <f>IF(ISNUMBER(P15),IF(AH$2="x",(P15-MIN(P$4:P$14))/(MAX(P$4:P$14)-MIN(P$4:P$14)),(MAX(P$4:P$14)-P15)/(MAX(P$4:P$14)-MIN(P$4:P$14))),"")</f>
        <v>0.42152466367712998</v>
      </c>
      <c r="AI15" s="161"/>
      <c r="AJ15" s="161"/>
      <c r="AK15" s="161"/>
      <c r="AL15" s="161"/>
    </row>
    <row r="16" spans="1:39" x14ac:dyDescent="0.3">
      <c r="A16" t="s">
        <v>1141</v>
      </c>
      <c r="B16" s="92"/>
      <c r="C16" s="92"/>
      <c r="D16" s="76"/>
      <c r="E16" s="92"/>
      <c r="F16" s="92"/>
      <c r="G16" s="76"/>
      <c r="H16" s="92"/>
      <c r="I16" s="92"/>
      <c r="J16" s="76"/>
      <c r="K16" t="s">
        <v>380</v>
      </c>
      <c r="N16" s="171">
        <v>3.95</v>
      </c>
      <c r="O16">
        <v>92.786873912467001</v>
      </c>
      <c r="P16">
        <v>7.36</v>
      </c>
      <c r="AI16" s="161"/>
      <c r="AJ16" s="161"/>
      <c r="AK16" s="161"/>
      <c r="AL16" s="161"/>
    </row>
    <row r="17" spans="1:38" x14ac:dyDescent="0.3">
      <c r="A17" t="s">
        <v>1142</v>
      </c>
      <c r="B17" s="92"/>
      <c r="C17" s="92"/>
      <c r="D17" s="76"/>
      <c r="E17" s="92"/>
      <c r="F17" s="92"/>
      <c r="G17" s="76"/>
      <c r="H17" s="92"/>
      <c r="I17" s="92"/>
      <c r="J17" s="76"/>
      <c r="N17" s="171">
        <v>3.8</v>
      </c>
      <c r="O17">
        <v>93.325231846094496</v>
      </c>
      <c r="P17">
        <v>5.7</v>
      </c>
      <c r="AI17" s="161"/>
      <c r="AJ17" s="161"/>
      <c r="AK17" s="161"/>
      <c r="AL17" s="161"/>
    </row>
    <row r="18" spans="1:38" x14ac:dyDescent="0.3">
      <c r="A18" t="s">
        <v>1143</v>
      </c>
      <c r="B18" s="92"/>
      <c r="C18" s="92"/>
      <c r="D18" s="76"/>
      <c r="E18" s="92"/>
      <c r="F18" s="92"/>
      <c r="G18" s="76"/>
      <c r="H18" s="92"/>
      <c r="I18" s="92"/>
      <c r="J18" s="76"/>
      <c r="N18" s="171">
        <v>2.83</v>
      </c>
      <c r="O18">
        <v>93.102623369068596</v>
      </c>
      <c r="P18">
        <v>5.36</v>
      </c>
      <c r="AI18" s="161"/>
      <c r="AJ18" s="161"/>
      <c r="AK18" s="161"/>
      <c r="AL18" s="161"/>
    </row>
    <row r="19" spans="1:38" x14ac:dyDescent="0.3">
      <c r="A19" t="s">
        <v>1215</v>
      </c>
      <c r="B19" s="92"/>
      <c r="C19" s="92"/>
      <c r="D19" s="76"/>
      <c r="E19" s="92"/>
      <c r="F19" s="92"/>
      <c r="G19" s="76"/>
      <c r="H19" s="92"/>
      <c r="I19" s="92"/>
      <c r="J19" s="76"/>
      <c r="N19" s="171"/>
      <c r="AI19" s="161"/>
      <c r="AJ19" s="161"/>
      <c r="AK19" s="161"/>
      <c r="AL19" s="161"/>
    </row>
    <row r="20" spans="1:38" x14ac:dyDescent="0.3">
      <c r="A20" t="s">
        <v>1144</v>
      </c>
      <c r="B20" s="92"/>
      <c r="C20" s="92"/>
      <c r="D20" s="76"/>
      <c r="E20" s="92"/>
      <c r="F20" s="92"/>
      <c r="G20" s="76"/>
      <c r="H20" s="92"/>
      <c r="I20" s="92"/>
      <c r="J20" s="76"/>
      <c r="N20" s="171">
        <v>1.62</v>
      </c>
      <c r="O20">
        <v>92.597948848182</v>
      </c>
      <c r="P20">
        <v>5.57</v>
      </c>
      <c r="AI20" s="161"/>
      <c r="AJ20" s="161"/>
      <c r="AK20" s="161"/>
      <c r="AL20" s="161"/>
    </row>
    <row r="21" spans="1:38" x14ac:dyDescent="0.3">
      <c r="A21" t="s">
        <v>1145</v>
      </c>
      <c r="B21" s="92"/>
      <c r="C21" s="92"/>
      <c r="D21" s="76"/>
      <c r="E21" s="92"/>
      <c r="F21" s="92"/>
      <c r="G21" s="76"/>
      <c r="H21" s="92"/>
      <c r="I21" s="92"/>
      <c r="J21" s="76"/>
      <c r="N21" s="171"/>
      <c r="AI21" s="161"/>
      <c r="AJ21" s="161"/>
      <c r="AK21" s="161"/>
      <c r="AL21" s="161"/>
    </row>
    <row r="22" spans="1:38" x14ac:dyDescent="0.3">
      <c r="A22" t="s">
        <v>1146</v>
      </c>
      <c r="B22" s="92"/>
      <c r="C22" s="92"/>
      <c r="D22" s="76"/>
      <c r="E22" s="92"/>
      <c r="F22" s="92"/>
      <c r="G22" s="76"/>
      <c r="H22" s="92"/>
      <c r="I22" s="92"/>
      <c r="J22" s="76"/>
      <c r="N22" s="171">
        <v>0</v>
      </c>
      <c r="O22">
        <v>90.646430715434306</v>
      </c>
      <c r="P22">
        <v>0</v>
      </c>
      <c r="AI22" s="161"/>
      <c r="AJ22" s="161"/>
      <c r="AK22" s="161"/>
      <c r="AL22" s="161"/>
    </row>
    <row r="23" spans="1:38" x14ac:dyDescent="0.3">
      <c r="A23" t="s">
        <v>1147</v>
      </c>
      <c r="B23" s="92"/>
      <c r="C23" s="92"/>
      <c r="D23" s="76"/>
      <c r="E23" s="92"/>
      <c r="F23" s="92"/>
      <c r="G23" s="76"/>
      <c r="H23" s="92"/>
      <c r="I23" s="92"/>
      <c r="J23" s="76"/>
      <c r="N23" s="171">
        <v>1.91</v>
      </c>
      <c r="O23">
        <v>90.459504829882206</v>
      </c>
      <c r="P23">
        <v>7.45</v>
      </c>
      <c r="AI23" s="161"/>
      <c r="AJ23" s="161"/>
      <c r="AK23" s="161"/>
      <c r="AL23" s="161"/>
    </row>
    <row r="24" spans="1:38" x14ac:dyDescent="0.3">
      <c r="A24" s="75" t="s">
        <v>490</v>
      </c>
      <c r="B24" s="79"/>
      <c r="H24" t="s">
        <v>1132</v>
      </c>
      <c r="M24" s="64"/>
      <c r="N24" s="64"/>
      <c r="O24" s="64"/>
      <c r="P24" s="64"/>
      <c r="Q24" s="64"/>
      <c r="R24" s="64"/>
      <c r="S24" s="64"/>
      <c r="T24" s="64">
        <f>IF(T4&lt;&gt;"",(T4-MAX(T$4:T$14))^2,"")</f>
        <v>0.17772010765090354</v>
      </c>
      <c r="U24" s="64">
        <f t="shared" ref="U24:Y24" si="2">IF(U4&lt;&gt;"",(U4-MAX(U$4:U$14))^2,"")</f>
        <v>0</v>
      </c>
      <c r="V24" s="64">
        <f t="shared" si="2"/>
        <v>1</v>
      </c>
      <c r="W24" s="64">
        <f t="shared" si="2"/>
        <v>0.23343012245928563</v>
      </c>
      <c r="X24" s="64">
        <f t="shared" si="2"/>
        <v>0</v>
      </c>
      <c r="Y24" s="64">
        <f t="shared" si="2"/>
        <v>1</v>
      </c>
      <c r="Z24" s="64">
        <f>IF(Z4&lt;&gt;"",(Z4-MAX(Z$4:Z$14))^2,"")</f>
        <v>0.29287197231833928</v>
      </c>
      <c r="AA24" s="64">
        <f>IF(AA4&lt;&gt;"",(AA4-MAX(AA$4:AA$14))^2,"")</f>
        <v>0</v>
      </c>
      <c r="AB24" s="64">
        <f>IF(AB4&lt;&gt;"",(AB4-MAX(AB$4:AB$14))^2,"")</f>
        <v>1</v>
      </c>
      <c r="AC24" s="64">
        <f>IF(AC4&lt;&gt;"",(AC4-MAX(AC$4:AC$14))^2,"")</f>
        <v>0.11816406249999992</v>
      </c>
      <c r="AD24" s="64">
        <f t="shared" ref="AD24:AE24" si="3">IF(AD4&lt;&gt;"",(AD4-MAX(AD$4:AD$14))^2,"")</f>
        <v>0.11609851596383099</v>
      </c>
      <c r="AE24" s="64">
        <f>IF(AE4&lt;&gt;"",(AE4-MAX(AE$4:AE$14))^2,"")</f>
        <v>0.90079421994334685</v>
      </c>
      <c r="AF24" s="64">
        <f t="shared" ref="AF24:AH24" si="4">IF(AF4&lt;&gt;"",(AF4-MAX(AF$4:AF$14))^2,"")</f>
        <v>0.12808864265927977</v>
      </c>
      <c r="AG24" s="64">
        <f t="shared" si="4"/>
        <v>3.4554538255779407E-2</v>
      </c>
      <c r="AH24" s="64">
        <f t="shared" si="4"/>
        <v>0.81242333447284287</v>
      </c>
    </row>
    <row r="25" spans="1:38" x14ac:dyDescent="0.3">
      <c r="A25" s="139" t="s">
        <v>222</v>
      </c>
      <c r="M25" s="64"/>
      <c r="N25" s="64"/>
      <c r="O25" s="64"/>
      <c r="P25" s="64"/>
      <c r="Q25" s="64"/>
      <c r="R25" s="64"/>
      <c r="S25" s="64"/>
      <c r="T25" s="64" t="str">
        <f t="shared" ref="T25:Y25" si="5">IF(T5&lt;&gt;"",(T5-MAX(T$4:T$14))^2,"")</f>
        <v/>
      </c>
      <c r="U25" s="64" t="str">
        <f t="shared" si="5"/>
        <v/>
      </c>
      <c r="V25" s="64" t="str">
        <f t="shared" si="5"/>
        <v/>
      </c>
      <c r="W25" s="64" t="str">
        <f t="shared" si="5"/>
        <v/>
      </c>
      <c r="X25" s="64" t="str">
        <f t="shared" si="5"/>
        <v/>
      </c>
      <c r="Y25" s="64" t="str">
        <f t="shared" si="5"/>
        <v/>
      </c>
      <c r="Z25" s="64">
        <f>IF(Z5&lt;&gt;"",(Z5-MAX(Z$4:Z$14))^2,"")</f>
        <v>0.28027681660899667</v>
      </c>
      <c r="AA25" s="64">
        <f>IF(AA5&lt;&gt;"",(AA5-MAX(AA$4:AA$14))^2,"")</f>
        <v>1.5542989984270671E-3</v>
      </c>
      <c r="AB25" s="64">
        <f>IF(AB5&lt;&gt;"",(AB5-MAX(AB$4:AB$14))^2,"")</f>
        <v>1</v>
      </c>
      <c r="AC25" s="64">
        <f t="shared" ref="AC25:AE25" si="6">IF(AC5&lt;&gt;"",(AC5-MAX(AC$4:AC$14))^2,"")</f>
        <v>0.390625</v>
      </c>
      <c r="AD25" s="64">
        <f t="shared" si="6"/>
        <v>0</v>
      </c>
      <c r="AE25" s="64">
        <f t="shared" si="6"/>
        <v>1</v>
      </c>
      <c r="AF25" s="64">
        <f t="shared" ref="AF25:AH25" si="7">IF(AF5&lt;&gt;"",(AF5-MAX(AF$4:AF$14))^2,"")</f>
        <v>0.22437673130193889</v>
      </c>
      <c r="AG25" s="64">
        <f t="shared" si="7"/>
        <v>0</v>
      </c>
      <c r="AH25" s="64">
        <f t="shared" si="7"/>
        <v>1</v>
      </c>
    </row>
    <row r="26" spans="1:38" x14ac:dyDescent="0.3">
      <c r="A26" s="99" t="s">
        <v>90</v>
      </c>
      <c r="M26" s="64"/>
      <c r="N26" s="64"/>
      <c r="O26" s="64"/>
      <c r="P26" s="64"/>
      <c r="Q26" s="64"/>
      <c r="R26" s="64"/>
      <c r="S26" s="64"/>
      <c r="T26" s="64">
        <f t="shared" ref="T26:Y26" si="8">IF(T6&lt;&gt;"",(T6-MAX(T$4:T$14))^2,"")</f>
        <v>0.26999231064975004</v>
      </c>
      <c r="U26" s="64">
        <f t="shared" si="8"/>
        <v>4.3070196736173405E-2</v>
      </c>
      <c r="V26" s="64">
        <f t="shared" si="8"/>
        <v>1</v>
      </c>
      <c r="W26" s="64">
        <f t="shared" si="8"/>
        <v>0.15465219038000258</v>
      </c>
      <c r="X26" s="64">
        <f t="shared" si="8"/>
        <v>1.6947518781700456E-2</v>
      </c>
      <c r="Y26" s="64">
        <f t="shared" si="8"/>
        <v>1</v>
      </c>
      <c r="Z26" s="64">
        <f>IF(Z6&lt;&gt;"",(Z6-MAX(Z$4:Z$14))^2,"")</f>
        <v>0.23266435986159176</v>
      </c>
      <c r="AA26" s="64">
        <f>IF(AA6&lt;&gt;"",(AA6-MAX(AA$4:AA$14))^2,"")</f>
        <v>9.8721923962552284E-3</v>
      </c>
      <c r="AB26" s="64">
        <f>IF(AB6&lt;&gt;"",(AB6-MAX(AB$4:AB$14))^2,"")</f>
        <v>1</v>
      </c>
      <c r="AC26" s="64">
        <f>IF(AC6&lt;&gt;"",(AC6-MAX(AC$4:AC$14))^2,"")</f>
        <v>0.140625</v>
      </c>
      <c r="AD26" s="64">
        <f t="shared" ref="AD26:AE26" si="9">IF(AD6&lt;&gt;"",(AD6-MAX(AD$4:AD$14))^2,"")</f>
        <v>0.28012524554310303</v>
      </c>
      <c r="AE26" s="64">
        <f t="shared" si="9"/>
        <v>0.37671662662698541</v>
      </c>
      <c r="AF26" s="64">
        <f t="shared" ref="AF26:AH26" si="10">IF(AF6&lt;&gt;"",(AF6-MAX(AF$4:AF$14))^2,"")</f>
        <v>0.10648199445983374</v>
      </c>
      <c r="AG26" s="64">
        <f t="shared" si="10"/>
        <v>0.10520276244384451</v>
      </c>
      <c r="AH26" s="64">
        <f t="shared" si="10"/>
        <v>0.48728329769573303</v>
      </c>
    </row>
    <row r="27" spans="1:38" x14ac:dyDescent="0.3">
      <c r="A27" s="99" t="s">
        <v>89</v>
      </c>
      <c r="M27" s="64"/>
      <c r="N27" s="64"/>
      <c r="O27" s="64"/>
      <c r="P27" s="64"/>
      <c r="Q27" s="64"/>
      <c r="R27" s="64"/>
      <c r="S27" s="64"/>
      <c r="T27" s="64">
        <f t="shared" ref="T27:Y27" si="11">IF(T7&lt;&gt;"",(T7-MAX(T$4:T$14))^2,"")</f>
        <v>2.4029219530949573E-3</v>
      </c>
      <c r="U27" s="64">
        <f t="shared" si="11"/>
        <v>9.1219364485142729E-2</v>
      </c>
      <c r="V27" s="64">
        <f t="shared" si="11"/>
        <v>0.58477508650519028</v>
      </c>
      <c r="W27" s="64">
        <f t="shared" si="11"/>
        <v>2.0199469763918696E-3</v>
      </c>
      <c r="X27" s="64">
        <f t="shared" si="11"/>
        <v>5.4617892148026218E-2</v>
      </c>
      <c r="Y27" s="64">
        <f t="shared" si="11"/>
        <v>0.35707911957168348</v>
      </c>
      <c r="Z27" s="64">
        <f>IF(Z7&lt;&gt;"",(Z7-MAX(Z$4:Z$14))^2,"")</f>
        <v>6.6989619377162732E-2</v>
      </c>
      <c r="AA27" s="64">
        <f>IF(AA7&lt;&gt;"",(AA7-MAX(AA$4:AA$14))^2,"")</f>
        <v>0.41897494267401564</v>
      </c>
      <c r="AB27" s="64">
        <f>IF(AB7&lt;&gt;"",(AB7-MAX(AB$4:AB$14))^2,"")</f>
        <v>0.36656022953399048</v>
      </c>
      <c r="AC27" s="64">
        <f t="shared" ref="AC27:AE27" si="12">IF(AC7&lt;&gt;"",(AC7-MAX(AC$4:AC$14))^2,"")</f>
        <v>8.5069444444444364E-2</v>
      </c>
      <c r="AD27" s="64">
        <f t="shared" si="12"/>
        <v>0.43116222939125481</v>
      </c>
      <c r="AE27" s="64">
        <f t="shared" si="12"/>
        <v>0.13783212019075616</v>
      </c>
      <c r="AF27" s="64">
        <f t="shared" ref="AF27:AH27" si="13">IF(AF7&lt;&gt;"",(AF7-MAX(AF$4:AF$14))^2,"")</f>
        <v>0.1134626038781163</v>
      </c>
      <c r="AG27" s="64">
        <f t="shared" si="13"/>
        <v>5.8672022250424095E-2</v>
      </c>
      <c r="AH27" s="64">
        <f t="shared" si="13"/>
        <v>0.6685323341399273</v>
      </c>
    </row>
    <row r="28" spans="1:38" x14ac:dyDescent="0.3">
      <c r="A28" s="74" t="s">
        <v>461</v>
      </c>
      <c r="G28" t="s">
        <v>1134</v>
      </c>
      <c r="H28">
        <v>1.78</v>
      </c>
      <c r="J28">
        <v>2.89</v>
      </c>
      <c r="M28" s="64"/>
      <c r="N28" s="64"/>
      <c r="O28" s="64"/>
      <c r="P28" s="64"/>
      <c r="Q28" s="64"/>
      <c r="R28" s="64"/>
      <c r="S28" s="64"/>
      <c r="T28" s="64">
        <f t="shared" ref="T28:Y28" si="14">IF(T10&lt;&gt;"",(T10-MAX(T$4:T$14))^2,"")</f>
        <v>0</v>
      </c>
      <c r="U28" s="64">
        <f t="shared" si="14"/>
        <v>0.43531894340379262</v>
      </c>
      <c r="V28" s="64">
        <f t="shared" si="14"/>
        <v>0.14619377162629757</v>
      </c>
      <c r="W28" s="64">
        <f t="shared" si="14"/>
        <v>5.0498674409796739E-2</v>
      </c>
      <c r="X28" s="64">
        <f t="shared" si="14"/>
        <v>4.0036475777521542E-2</v>
      </c>
      <c r="Y28" s="64">
        <f t="shared" si="14"/>
        <v>0.30116002379535994</v>
      </c>
      <c r="Z28" s="64">
        <f>IF(Z10&lt;&gt;"",(Z10-MAX(Z$4:Z$14))^2,"")</f>
        <v>0.18948096885813159</v>
      </c>
      <c r="AA28" s="64">
        <f>IF(AA10&lt;&gt;"",(AA10-MAX(AA$4:AA$14))^2,"")</f>
        <v>3.7748839846312894E-2</v>
      </c>
      <c r="AB28" s="64">
        <f>IF(AB10&lt;&gt;"",(AB10-MAX(AB$4:AB$14))^2,"")</f>
        <v>8.6897948899892552E-2</v>
      </c>
      <c r="AC28" s="64">
        <f>IF(AC10&lt;&gt;"",(AC10-MAX(AC$4:AC$14))^2,"")</f>
        <v>0.21006944444444428</v>
      </c>
      <c r="AD28" s="64">
        <f t="shared" ref="AD28:AE28" si="15">IF(AD10&lt;&gt;"",(AD10-MAX(AD$4:AD$14))^2,"")</f>
        <v>0.46254224010555922</v>
      </c>
      <c r="AE28" s="64">
        <f t="shared" si="15"/>
        <v>0.1248162357918892</v>
      </c>
      <c r="AF28" s="64">
        <f t="shared" ref="AF28:AH28" si="16">IF(AF10&lt;&gt;"",(AF10-MAX(AF$4:AF$14))^2,"")</f>
        <v>0.21451523545706361</v>
      </c>
      <c r="AG28" s="64">
        <f t="shared" si="16"/>
        <v>0.32360134308072758</v>
      </c>
      <c r="AH28" s="64">
        <f t="shared" si="16"/>
        <v>0.13521285366687441</v>
      </c>
    </row>
    <row r="29" spans="1:38" x14ac:dyDescent="0.3">
      <c r="A29" s="99" t="s">
        <v>384</v>
      </c>
      <c r="M29" s="64"/>
      <c r="N29" s="64"/>
      <c r="O29" s="64"/>
      <c r="P29" s="64"/>
      <c r="Q29" s="64"/>
      <c r="R29" s="64"/>
      <c r="S29" s="64"/>
      <c r="T29" s="64">
        <f t="shared" ref="T29:Y29" si="17">IF(T11&lt;&gt;"",(T11-MAX(T$4:T$14))^2,"")</f>
        <v>1.8838908112264501E-2</v>
      </c>
      <c r="U29" s="64">
        <f t="shared" si="17"/>
        <v>0.18832054310891588</v>
      </c>
      <c r="V29" s="64">
        <f t="shared" si="17"/>
        <v>0.58240997229916891</v>
      </c>
      <c r="W29" s="64">
        <f t="shared" si="17"/>
        <v>0</v>
      </c>
      <c r="X29" s="64">
        <f t="shared" si="17"/>
        <v>0.21603698539423283</v>
      </c>
      <c r="Y29" s="64">
        <f t="shared" si="17"/>
        <v>0.54210895672218928</v>
      </c>
      <c r="Z29" s="64">
        <f>IF(Z11&lt;&gt;"",(Z11-MAX(Z$4:Z$14))^2,"")</f>
        <v>0</v>
      </c>
      <c r="AA29" s="64">
        <f>IF(AA11&lt;&gt;"",(AA11-MAX(AA$4:AA$14))^2,"")</f>
        <v>0.28830644378462478</v>
      </c>
      <c r="AB29" s="64">
        <f>IF(AB11&lt;&gt;"",(AB11-MAX(AB$4:AB$14))^2,"")</f>
        <v>0.6262874008257876</v>
      </c>
      <c r="AC29" s="64">
        <f>IF(AC11&lt;&gt;"",(AC11-MAX(AC$4:AC$14))^2,"")</f>
        <v>0</v>
      </c>
      <c r="AD29" s="64">
        <f>IF(AD11&lt;&gt;"",(AD11-MAX(AD$4:AD$14))^2,"")</f>
        <v>0.39273943335379563</v>
      </c>
      <c r="AE29" s="64">
        <f t="shared" ref="AE29:AH29" si="18">IF(AE11&lt;&gt;"",(AE11-MAX(AE$4:AE$14))^2,"")</f>
        <v>0.14686794076517617</v>
      </c>
      <c r="AF29" s="64">
        <f t="shared" si="18"/>
        <v>0</v>
      </c>
      <c r="AG29" s="64">
        <f t="shared" si="18"/>
        <v>0.25877993366260266</v>
      </c>
      <c r="AH29" s="64">
        <f t="shared" si="18"/>
        <v>0.1510408637034952</v>
      </c>
    </row>
    <row r="30" spans="1:38" x14ac:dyDescent="0.3">
      <c r="A30" s="99" t="s">
        <v>94</v>
      </c>
      <c r="M30" s="64"/>
      <c r="N30" s="64"/>
      <c r="O30" s="64"/>
      <c r="P30" s="64"/>
      <c r="Q30" s="64"/>
      <c r="R30" s="64"/>
      <c r="S30" s="64"/>
      <c r="T30" s="64">
        <f t="shared" ref="T30:Y30" si="19">IF(T12&lt;&gt;"",(T12-MAX(T$4:T$14))^2,"")</f>
        <v>0.13879277201076509</v>
      </c>
      <c r="U30" s="64">
        <f t="shared" si="19"/>
        <v>8.6353965877171684E-4</v>
      </c>
      <c r="V30" s="64">
        <f t="shared" si="19"/>
        <v>1</v>
      </c>
      <c r="W30" s="64" t="str">
        <f t="shared" si="19"/>
        <v/>
      </c>
      <c r="X30" s="64" t="str">
        <f t="shared" si="19"/>
        <v/>
      </c>
      <c r="Y30" s="64" t="str">
        <f t="shared" si="19"/>
        <v/>
      </c>
      <c r="Z30" s="64" t="str">
        <f>IF(Z12&lt;&gt;"",(Z12-MAX(Z$4:Z$14))^2,"")</f>
        <v/>
      </c>
      <c r="AA30" s="64" t="str">
        <f>IF(AA12&lt;&gt;"",(AA12-MAX(AA$4:AA$14))^2,"")</f>
        <v/>
      </c>
      <c r="AB30" s="64" t="str">
        <f>IF(AB12&lt;&gt;"",(AB12-MAX(AB$4:AB$14))^2,"")</f>
        <v/>
      </c>
      <c r="AC30" s="64" t="str">
        <f t="shared" ref="AC30:AE30" si="20">IF(AC12&lt;&gt;"",(AC12-MAX(AC$4:AC$14))^2,"")</f>
        <v/>
      </c>
      <c r="AD30" s="64" t="str">
        <f t="shared" si="20"/>
        <v/>
      </c>
      <c r="AE30" s="64" t="str">
        <f t="shared" si="20"/>
        <v/>
      </c>
      <c r="AF30" s="64" t="str">
        <f t="shared" ref="AF30:AH30" si="21">IF(AF12&lt;&gt;"",(AF12-MAX(AF$4:AF$14))^2,"")</f>
        <v/>
      </c>
      <c r="AG30" s="64" t="str">
        <f t="shared" si="21"/>
        <v/>
      </c>
      <c r="AH30" s="64" t="str">
        <f t="shared" si="21"/>
        <v/>
      </c>
    </row>
    <row r="31" spans="1:38" x14ac:dyDescent="0.3">
      <c r="A31" s="99" t="s">
        <v>93</v>
      </c>
      <c r="M31" s="64"/>
      <c r="N31" s="64"/>
      <c r="O31" s="64"/>
      <c r="P31" s="64"/>
      <c r="Q31" s="64"/>
      <c r="R31" s="64"/>
      <c r="S31" s="64"/>
      <c r="T31" s="64">
        <f t="shared" ref="T31:Y31" si="22">IF(T13&lt;&gt;"",(T13-MAX(T$4:T$14))^2,"")</f>
        <v>0.15378700499807771</v>
      </c>
      <c r="U31" s="64">
        <f t="shared" si="22"/>
        <v>2.3261295388560223E-2</v>
      </c>
      <c r="V31" s="64">
        <f t="shared" si="22"/>
        <v>1</v>
      </c>
      <c r="W31" s="64">
        <f t="shared" si="22"/>
        <v>0.1136220174220427</v>
      </c>
      <c r="X31" s="64">
        <f t="shared" si="22"/>
        <v>6.8743421562619852E-2</v>
      </c>
      <c r="Y31" s="64">
        <f t="shared" si="22"/>
        <v>1</v>
      </c>
      <c r="Z31" s="64">
        <f>IF(Z13&lt;&gt;"",(Z13-MAX(Z$4:Z$14))^2,"")</f>
        <v>0.16955017301038069</v>
      </c>
      <c r="AA31" s="64">
        <f>IF(AA13&lt;&gt;"",(AA13-MAX(AA$4:AA$14))^2,"")</f>
        <v>6.068019702627666E-2</v>
      </c>
      <c r="AB31" s="64">
        <f>IF(AB13&lt;&gt;"",(AB13-MAX(AB$4:AB$14))^2,"")</f>
        <v>1</v>
      </c>
      <c r="AC31" s="64">
        <f t="shared" ref="AC31:AE31" si="23">IF(AC13&lt;&gt;"",(AC13-MAX(AC$4:AC$14))^2,"")</f>
        <v>7.9101562499999944E-2</v>
      </c>
      <c r="AD31" s="64">
        <f t="shared" si="23"/>
        <v>0.29360231313040708</v>
      </c>
      <c r="AE31" s="64">
        <f t="shared" si="23"/>
        <v>0.33390404819104313</v>
      </c>
      <c r="AF31" s="64">
        <f t="shared" ref="AF31:AH31" si="24">IF(AF13&lt;&gt;"",(AF13-MAX(AF$4:AF$14))^2,"")</f>
        <v>7.4903047091412656E-2</v>
      </c>
      <c r="AG31" s="64">
        <f t="shared" si="24"/>
        <v>0.21528278072839482</v>
      </c>
      <c r="AH31" s="64">
        <f t="shared" si="24"/>
        <v>0.24037840651888798</v>
      </c>
    </row>
    <row r="32" spans="1:38" x14ac:dyDescent="0.3">
      <c r="A32" s="100" t="s">
        <v>92</v>
      </c>
      <c r="M32" s="64"/>
      <c r="N32" s="64"/>
      <c r="O32" s="64"/>
      <c r="P32" s="64"/>
      <c r="Q32" s="64"/>
      <c r="R32" s="64"/>
      <c r="S32" s="64"/>
      <c r="T32" s="64">
        <f t="shared" ref="T32:Y32" si="25">IF(T14&lt;&gt;"",(T14-MAX(T$4:T$14))^2,"")</f>
        <v>1</v>
      </c>
      <c r="U32" s="64">
        <f t="shared" si="25"/>
        <v>1</v>
      </c>
      <c r="V32" s="64">
        <f t="shared" si="25"/>
        <v>0</v>
      </c>
      <c r="W32" s="64">
        <f t="shared" si="25"/>
        <v>1</v>
      </c>
      <c r="X32" s="64">
        <f t="shared" si="25"/>
        <v>1</v>
      </c>
      <c r="Y32" s="64">
        <f t="shared" si="25"/>
        <v>0</v>
      </c>
      <c r="Z32" s="64">
        <f>IF(Z14&lt;&gt;"",(Z14-MAX(Z$4:Z$14))^2,"")</f>
        <v>1</v>
      </c>
      <c r="AA32" s="64">
        <f>IF(AA14&lt;&gt;"",(AA14-MAX(AA$4:AA$14))^2,"")</f>
        <v>1</v>
      </c>
      <c r="AB32" s="64">
        <f>IF(AB14&lt;&gt;"",(AB14-MAX(AB$4:AB$14))^2,"")</f>
        <v>0</v>
      </c>
      <c r="AC32" s="64">
        <f t="shared" ref="AC32:AE32" si="26">IF(AC14&lt;&gt;"",(AC14-MAX(AC$4:AC$14))^2,"")</f>
        <v>1</v>
      </c>
      <c r="AD32" s="64">
        <f t="shared" si="26"/>
        <v>1</v>
      </c>
      <c r="AE32" s="64">
        <f t="shared" si="26"/>
        <v>0</v>
      </c>
      <c r="AF32" s="64">
        <f t="shared" ref="AF32:AH32" si="27">IF(AF14&lt;&gt;"",(AF14-MAX(AF$4:AF$14))^2,"")</f>
        <v>1</v>
      </c>
      <c r="AG32" s="64">
        <f t="shared" si="27"/>
        <v>1</v>
      </c>
      <c r="AH32" s="64">
        <f t="shared" si="27"/>
        <v>0</v>
      </c>
    </row>
    <row r="33" spans="1:44" x14ac:dyDescent="0.3">
      <c r="A33" s="139" t="s">
        <v>290</v>
      </c>
      <c r="M33" s="64" t="s">
        <v>559</v>
      </c>
      <c r="N33" s="64"/>
      <c r="O33" s="64"/>
      <c r="P33" s="64"/>
      <c r="Q33" s="64"/>
      <c r="R33" s="64"/>
      <c r="S33" s="64"/>
      <c r="T33" s="64">
        <f>SQRT(SUM(T$24:T$32)/COUNTIF(T$24:T$32,"&lt;&gt;"))</f>
        <v>0.44240931592748861</v>
      </c>
      <c r="U33" s="64">
        <f t="shared" ref="U33:Y33" si="28">SQRT(SUM(U$24:U$32)/COUNTIF(U$24:U$32,"&lt;&gt;"))</f>
        <v>0.44497863653854924</v>
      </c>
      <c r="V33" s="64">
        <f t="shared" si="28"/>
        <v>0.76835891717569482</v>
      </c>
      <c r="W33" s="64">
        <f t="shared" si="28"/>
        <v>0.41556159479907023</v>
      </c>
      <c r="X33" s="64">
        <f t="shared" si="28"/>
        <v>0.39389540259426753</v>
      </c>
      <c r="Y33" s="64">
        <f t="shared" si="28"/>
        <v>0.68315835971929606</v>
      </c>
      <c r="Z33" s="64">
        <f>SQRT(SUM(Z$24:Z$32)/COUNTIF(Z$24:Z$32,"&lt;&gt;"))</f>
        <v>0.49797745487059986</v>
      </c>
      <c r="AA33" s="64">
        <f>SQRT(SUM(AA$24:AA$32)/COUNTIF(AA$24:AA$32,"&lt;&gt;"))</f>
        <v>0.4493374028903141</v>
      </c>
      <c r="AB33" s="64">
        <f>SQRT(SUM(AB$24:AB$32)/COUNTIF(AB$24:AB$32,"&lt;&gt;"))</f>
        <v>0.75127636424507371</v>
      </c>
      <c r="AC33" s="64">
        <f>SQRT(SUM(AC$24:AC$32)/COUNTIF(AC$24:AC$32,"&lt;&gt;"))</f>
        <v>0.47418403763012712</v>
      </c>
      <c r="AD33" s="64">
        <f t="shared" ref="AD33:AH33" si="29">SQRT(SUM(AD$24:AD$32)/COUNTIF(AD$24:AD$32,"&lt;&gt;"))</f>
        <v>0.57506231328902779</v>
      </c>
      <c r="AE33" s="64">
        <f>SQRT(SUM(AE$24:AE$32)/COUNTIF(AE$24:AE$32,"&lt;&gt;"))</f>
        <v>0.57936087309965945</v>
      </c>
      <c r="AF33" s="64">
        <f t="shared" si="29"/>
        <v>0.45482942527301684</v>
      </c>
      <c r="AG33" s="64">
        <f t="shared" si="29"/>
        <v>0.47094389621291088</v>
      </c>
      <c r="AH33" s="64">
        <f t="shared" si="29"/>
        <v>0.62315247734561185</v>
      </c>
    </row>
    <row r="34" spans="1:44" x14ac:dyDescent="0.3">
      <c r="A34" s="75" t="s">
        <v>490</v>
      </c>
      <c r="M34" s="64"/>
      <c r="N34" s="64"/>
      <c r="O34" s="64"/>
      <c r="P34" s="64"/>
      <c r="Q34" s="64"/>
      <c r="R34" s="64"/>
      <c r="S34" s="64"/>
      <c r="T34" s="64">
        <f>IF(T24&lt;&gt;"",(T24-AVERAGE(T$24:T$32))/T$33,"")</f>
        <v>-9.6000793816725535E-2</v>
      </c>
      <c r="U34" s="64">
        <f t="shared" ref="U34:Y34" si="30">IF(U24&lt;&gt;"",(U24-AVERAGE(U$24:U$32))/U$33,"")</f>
        <v>-0.5006009661058678</v>
      </c>
      <c r="V34" s="64">
        <f t="shared" si="30"/>
        <v>0.43707132004218902</v>
      </c>
      <c r="W34" s="64">
        <f t="shared" si="30"/>
        <v>2.7428598712152214E-2</v>
      </c>
      <c r="X34" s="64">
        <f t="shared" si="30"/>
        <v>-0.50643694619262958</v>
      </c>
      <c r="Y34" s="64">
        <f t="shared" si="30"/>
        <v>0.58544298803598038</v>
      </c>
      <c r="Z34" s="64">
        <f>IF(Z24&lt;&gt;"",(Z24-AVERAGE(Z$24:Z$32))/Z$33,"")</f>
        <v>2.7898318343797277E-2</v>
      </c>
      <c r="AA34" s="64">
        <f>IF(AA24&lt;&gt;"",(AA24-AVERAGE(AA$24:AA$32))/AA$33,"")</f>
        <v>-0.50550457825160344</v>
      </c>
      <c r="AB34" s="64">
        <f>IF(AB24&lt;&gt;"",(AB24-AVERAGE(AB$24:AB$32))/AB$33,"")</f>
        <v>0.48588218658967985</v>
      </c>
      <c r="AC34" s="64">
        <f>IF(AC24&lt;&gt;"",(AC24-AVERAGE(AC$24:AC$32))/AC$33,"")</f>
        <v>-0.28426252475679525</v>
      </c>
      <c r="AD34" s="64">
        <f t="shared" ref="AD34" si="31">IF(AD24&lt;&gt;"",(AD24-AVERAGE(AD$24:AD$32))/AD$33,"")</f>
        <v>-0.44505651875943603</v>
      </c>
      <c r="AE34" s="64">
        <f>IF(AE24&lt;&gt;"",(AE24-AVERAGE(AE$24:AE$32))/AE$33,"")</f>
        <v>0.90302580877722161</v>
      </c>
      <c r="AF34" s="64">
        <f t="shared" ref="AF34:AH34" si="32">IF(AF24&lt;&gt;"",(AF24-AVERAGE(AF$24:AF$32))/AF$33,"")</f>
        <v>-0.23006402704456622</v>
      </c>
      <c r="AG34" s="64">
        <f t="shared" si="32"/>
        <v>-0.45643894320643541</v>
      </c>
      <c r="AH34" s="64">
        <f t="shared" si="32"/>
        <v>0.60268467486141097</v>
      </c>
      <c r="AI34" s="64">
        <f>IFERROR(AVERAGEIF($T$1:$AH$1,"="&amp;AI$3,$T34:$AH34),"")</f>
        <v>-5.3176813293468107E-2</v>
      </c>
      <c r="AJ34" s="64">
        <f t="shared" ref="AJ34:AM42" si="33">IFERROR(AVERAGEIF($T$1:$AH$1,"="&amp;AJ$3,$T34:$AH34),"")</f>
        <v>3.5478213518501001E-2</v>
      </c>
      <c r="AK34" s="64">
        <f t="shared" si="33"/>
        <v>2.7586422272912379E-3</v>
      </c>
      <c r="AL34" s="64">
        <f t="shared" si="33"/>
        <v>5.7902255086996757E-2</v>
      </c>
      <c r="AM34" s="64">
        <f t="shared" si="33"/>
        <v>-2.7939431796530207E-2</v>
      </c>
      <c r="AN34" s="79">
        <f>IF(AI34&lt;&gt;"",(MAX(AI$34:AI$42)-AI34)/(MAX(AI$34:AI$42)-MIN(AI$34:AI$42)),"")</f>
        <v>0.79308403492644164</v>
      </c>
      <c r="AO34" s="79">
        <f>IF(AJ34&lt;&gt;"",(MAX(AJ$34:AJ$42)-AJ34)/(MAX(AJ$34:AJ$42)-MIN(AJ$34:AJ$42)),"")</f>
        <v>0.68197300840334729</v>
      </c>
      <c r="AP34" s="79">
        <f>IF(AK34&lt;&gt;"",(MAX(AK$34:AK$42)-AK34)/(MAX(AK$34:AK$42)-MIN(AK$34:AK$42)),"")</f>
        <v>0.63349298244388641</v>
      </c>
      <c r="AQ34" s="79">
        <f>IF(AL34&lt;&gt;"",(MAX(AL$34:AL$42)-AL34)/(MAX(AL$34:AL$42)-MIN(AL$34:AL$42)),"")</f>
        <v>0.63266902685901882</v>
      </c>
      <c r="AR34" s="79">
        <f>IF(AM34&lt;&gt;"",(MAX(AM$34:AM$42)-AM34)/(MAX(AM$34:AM$42)-MIN(AM$34:AM$42)),"")</f>
        <v>0.75444390157177699</v>
      </c>
    </row>
    <row r="35" spans="1:44" x14ac:dyDescent="0.3">
      <c r="A35" s="139" t="s">
        <v>222</v>
      </c>
      <c r="M35" s="64"/>
      <c r="N35" s="64"/>
      <c r="O35" s="64"/>
      <c r="P35" s="64"/>
      <c r="Q35" s="64"/>
      <c r="R35" s="64"/>
      <c r="S35" s="64"/>
      <c r="T35" s="64" t="str">
        <f t="shared" ref="T35:Y35" si="34">IF(T25&lt;&gt;"",(T25-AVERAGE(T$24:T$32))/T$33,"")</f>
        <v/>
      </c>
      <c r="U35" s="64" t="str">
        <f t="shared" si="34"/>
        <v/>
      </c>
      <c r="V35" s="64" t="str">
        <f t="shared" si="34"/>
        <v/>
      </c>
      <c r="W35" s="64" t="str">
        <f t="shared" si="34"/>
        <v/>
      </c>
      <c r="X35" s="64" t="str">
        <f t="shared" si="34"/>
        <v/>
      </c>
      <c r="Y35" s="64" t="str">
        <f t="shared" si="34"/>
        <v/>
      </c>
      <c r="Z35" s="64">
        <f t="shared" ref="Z35:AB42" si="35">IF(Z25&lt;&gt;"",(Z25-AVERAGE(Z$24:Z$32))/Z$33,"")</f>
        <v>2.6056959847881173E-3</v>
      </c>
      <c r="AA35" s="64">
        <f t="shared" si="35"/>
        <v>-0.50204548718010744</v>
      </c>
      <c r="AB35" s="64">
        <f t="shared" si="35"/>
        <v>0.48588218658967985</v>
      </c>
      <c r="AC35" s="64">
        <f t="shared" ref="AC35:AE35" si="36">IF(AC25&lt;&gt;"",(AC25-AVERAGE(AC$24:AC$32))/AC$33,"")</f>
        <v>0.29032648684659612</v>
      </c>
      <c r="AD35" s="64">
        <f t="shared" si="36"/>
        <v>-0.64694510245015613</v>
      </c>
      <c r="AE35" s="64">
        <f t="shared" si="36"/>
        <v>1.0742589462963101</v>
      </c>
      <c r="AF35" s="64">
        <f t="shared" ref="AF35:AH35" si="37">IF(AF25&lt;&gt;"",(AF25-AVERAGE(AF$24:AF$32))/AF$33,"")</f>
        <v>-1.8362489517918662E-2</v>
      </c>
      <c r="AG35" s="64">
        <f t="shared" si="37"/>
        <v>-0.52981188323952477</v>
      </c>
      <c r="AH35" s="64">
        <f t="shared" si="37"/>
        <v>0.90369714347288321</v>
      </c>
      <c r="AI35" s="64" t="str">
        <f t="shared" ref="AI35:AI42" si="38">IFERROR(AVERAGEIF($T$1:$AH$1,"="&amp;AI$3,$T35:$AH35),"")</f>
        <v/>
      </c>
      <c r="AJ35" s="64" t="str">
        <f t="shared" si="33"/>
        <v/>
      </c>
      <c r="AK35" s="64">
        <f t="shared" si="33"/>
        <v>-4.5192015352131616E-3</v>
      </c>
      <c r="AL35" s="64">
        <f t="shared" si="33"/>
        <v>0.23921344356425003</v>
      </c>
      <c r="AM35" s="64">
        <f t="shared" si="33"/>
        <v>0.11850759023847994</v>
      </c>
      <c r="AN35" s="79" t="str">
        <f>IF(AI35&lt;&gt;"",(MAX(AI$34:AI$42)-AI35)/(MAX(AI$34:AI$42)-MIN(AI$34:AI$42)),"")</f>
        <v/>
      </c>
      <c r="AO35" s="79" t="str">
        <f>IF(AJ35&lt;&gt;"",(MAX(AJ$34:AJ$42)-AJ35)/(MAX(AJ$34:AJ$42)-MIN(AJ$34:AJ$42)),"")</f>
        <v/>
      </c>
      <c r="AP35" s="79">
        <f>IF(AK35&lt;&gt;"",(MAX(AK$34:AK$42)-AK35)/(MAX(AK$34:AK$42)-MIN(AK$34:AK$42)),"")</f>
        <v>0.63946913301387998</v>
      </c>
      <c r="AQ35" s="79">
        <f>IF(AL35&lt;&gt;"",(MAX(AL$34:AL$42)-AL35)/(MAX(AL$34:AL$42)-MIN(AL$34:AL$42)),"")</f>
        <v>0.44583867031994845</v>
      </c>
      <c r="AR35" s="79">
        <f>IF(AM35&lt;&gt;"",(MAX(AM$34:AM$42)-AM35)/(MAX(AM$34:AM$42)-MIN(AM$34:AM$42)),"")</f>
        <v>0.62998988286388247</v>
      </c>
    </row>
    <row r="36" spans="1:44" x14ac:dyDescent="0.3">
      <c r="A36" s="99" t="s">
        <v>90</v>
      </c>
      <c r="M36" s="64"/>
      <c r="N36" s="64"/>
      <c r="O36" s="64"/>
      <c r="P36" s="64"/>
      <c r="Q36" s="64"/>
      <c r="R36" s="64"/>
      <c r="S36" s="64"/>
      <c r="T36" s="64">
        <f t="shared" ref="T36:Y36" si="39">IF(T26&lt;&gt;"",(T26-AVERAGE(T$24:T$32))/T$33,"")</f>
        <v>0.11256670166063015</v>
      </c>
      <c r="U36" s="64">
        <f t="shared" si="39"/>
        <v>-0.40380936039820337</v>
      </c>
      <c r="V36" s="64">
        <f t="shared" si="39"/>
        <v>0.43707132004218902</v>
      </c>
      <c r="W36" s="64">
        <f t="shared" si="39"/>
        <v>-0.16214121010854321</v>
      </c>
      <c r="X36" s="64">
        <f t="shared" si="39"/>
        <v>-0.46341151692871596</v>
      </c>
      <c r="Y36" s="64">
        <f t="shared" si="39"/>
        <v>0.58544298803598038</v>
      </c>
      <c r="Z36" s="64">
        <f t="shared" si="35"/>
        <v>-9.3005975350367157E-2</v>
      </c>
      <c r="AA36" s="64">
        <f t="shared" si="35"/>
        <v>-0.48353402264516288</v>
      </c>
      <c r="AB36" s="64">
        <f t="shared" si="35"/>
        <v>0.48588218658967985</v>
      </c>
      <c r="AC36" s="64">
        <f t="shared" ref="AC36:AE36" si="40">IF(AC26&lt;&gt;"",(AC26-AVERAGE(AC$24:AC$32))/AC$33,"")</f>
        <v>-0.23689497182891692</v>
      </c>
      <c r="AD36" s="64">
        <f t="shared" si="40"/>
        <v>-0.1598235521942426</v>
      </c>
      <c r="AE36" s="64">
        <f t="shared" si="40"/>
        <v>-1.5530429365212585E-3</v>
      </c>
      <c r="AF36" s="64">
        <f t="shared" ref="AF36:AH36" si="41">IF(AF26&lt;&gt;"",(AF26-AVERAGE(AF$24:AF$32))/AF$33,"")</f>
        <v>-0.27756897505112144</v>
      </c>
      <c r="AG36" s="64">
        <f t="shared" si="41"/>
        <v>-0.30642484438026552</v>
      </c>
      <c r="AH36" s="64">
        <f t="shared" si="41"/>
        <v>8.0918255570131825E-2</v>
      </c>
      <c r="AI36" s="64">
        <f t="shared" si="38"/>
        <v>4.860955376820527E-2</v>
      </c>
      <c r="AJ36" s="64">
        <f t="shared" si="33"/>
        <v>-1.3369913000426262E-2</v>
      </c>
      <c r="AK36" s="64">
        <f t="shared" si="33"/>
        <v>-3.0219270468616721E-2</v>
      </c>
      <c r="AL36" s="64">
        <f t="shared" si="33"/>
        <v>-0.13275718898656028</v>
      </c>
      <c r="AM36" s="64">
        <f t="shared" si="33"/>
        <v>-0.16769185462041838</v>
      </c>
      <c r="AN36" s="79">
        <f>IF(AI36&lt;&gt;"",(MAX(AI$34:AI$42)-AI36)/(MAX(AI$34:AI$42)-MIN(AI$34:AI$42)),"")</f>
        <v>0.70673049340675242</v>
      </c>
      <c r="AO36" s="79">
        <f>IF(AJ36&lt;&gt;"",(MAX(AJ$34:AJ$42)-AJ36)/(MAX(AJ$34:AJ$42)-MIN(AJ$34:AJ$42)),"")</f>
        <v>0.71620330555954637</v>
      </c>
      <c r="AP36" s="79">
        <f>IF(AK36&lt;&gt;"",(MAX(AK$34:AK$42)-AK36)/(MAX(AK$34:AK$42)-MIN(AK$34:AK$42)),"")</f>
        <v>0.66057256510409867</v>
      </c>
      <c r="AQ36" s="79">
        <f>IF(AL36&lt;&gt;"",(MAX(AL$34:AL$42)-AL36)/(MAX(AL$34:AL$42)-MIN(AL$34:AL$42)),"")</f>
        <v>0.82913220275548327</v>
      </c>
      <c r="AR36" s="79">
        <f>IF(AM36&lt;&gt;"",(MAX(AM$34:AM$42)-AM36)/(MAX(AM$34:AM$42)-MIN(AM$34:AM$42)),"")</f>
        <v>0.87320869721534966</v>
      </c>
    </row>
    <row r="37" spans="1:44" x14ac:dyDescent="0.3">
      <c r="A37" s="99" t="s">
        <v>89</v>
      </c>
      <c r="M37" s="64"/>
      <c r="N37" s="64"/>
      <c r="O37" s="64"/>
      <c r="P37" s="64"/>
      <c r="Q37" s="64"/>
      <c r="R37" s="64"/>
      <c r="S37" s="64"/>
      <c r="T37" s="64">
        <f t="shared" ref="T37:Y37" si="42">IF(T27&lt;&gt;"",(T27-AVERAGE(T$24:T$32))/T$33,"")</f>
        <v>-0.49227903522370181</v>
      </c>
      <c r="U37" s="64">
        <f t="shared" si="42"/>
        <v>-0.29560378872510557</v>
      </c>
      <c r="V37" s="64">
        <f t="shared" si="42"/>
        <v>-0.10333356654529026</v>
      </c>
      <c r="W37" s="64">
        <f t="shared" si="42"/>
        <v>-0.52943271469864017</v>
      </c>
      <c r="X37" s="64">
        <f t="shared" si="42"/>
        <v>-0.36777604335318859</v>
      </c>
      <c r="Y37" s="64">
        <f t="shared" si="42"/>
        <v>-0.35565781426187515</v>
      </c>
      <c r="Z37" s="64">
        <f t="shared" si="35"/>
        <v>-0.42570123868810167</v>
      </c>
      <c r="AA37" s="64">
        <f t="shared" si="35"/>
        <v>0.4269237928989057</v>
      </c>
      <c r="AB37" s="64">
        <f t="shared" si="35"/>
        <v>-0.35726928284663967</v>
      </c>
      <c r="AC37" s="64">
        <f t="shared" ref="AC37:AE37" si="43">IF(AC27&lt;&gt;"",(AC27-AVERAGE(AC$24:AC$32))/AC$33,"")</f>
        <v>-0.35405529597903113</v>
      </c>
      <c r="AD37" s="64">
        <f t="shared" si="43"/>
        <v>0.10282100015749568</v>
      </c>
      <c r="AE37" s="64">
        <f t="shared" si="43"/>
        <v>-0.41387723935345333</v>
      </c>
      <c r="AF37" s="64">
        <f t="shared" ref="AF37:AH37" si="44">IF(AF27&lt;&gt;"",(AF27-AVERAGE(AF$24:AF$32))/AF$33,"")</f>
        <v>-0.26222122261823433</v>
      </c>
      <c r="AG37" s="64">
        <f t="shared" si="44"/>
        <v>-0.4052279939010402</v>
      </c>
      <c r="AH37" s="64">
        <f t="shared" si="44"/>
        <v>0.37177650139825552</v>
      </c>
      <c r="AI37" s="64">
        <f t="shared" si="38"/>
        <v>-0.29707213016469919</v>
      </c>
      <c r="AJ37" s="64">
        <f t="shared" si="33"/>
        <v>-0.41762219077123469</v>
      </c>
      <c r="AK37" s="64">
        <f t="shared" si="33"/>
        <v>-0.11868224287861188</v>
      </c>
      <c r="AL37" s="64">
        <f t="shared" si="33"/>
        <v>-0.2217038450583296</v>
      </c>
      <c r="AM37" s="64">
        <f t="shared" si="33"/>
        <v>-9.8557571707006311E-2</v>
      </c>
      <c r="AN37" s="79">
        <f>IF(AI37&lt;&gt;"",(MAX(AI$34:AI$42)-AI37)/(MAX(AI$34:AI$42)-MIN(AI$34:AI$42)),"")</f>
        <v>1</v>
      </c>
      <c r="AO37" s="79">
        <f>IF(AJ37&lt;&gt;"",(MAX(AJ$34:AJ$42)-AJ37)/(MAX(AJ$34:AJ$42)-MIN(AJ$34:AJ$42)),"")</f>
        <v>0.99948286160973288</v>
      </c>
      <c r="AP37" s="79">
        <f>IF(AK37&lt;&gt;"",(MAX(AK$34:AK$42)-AK37)/(MAX(AK$34:AK$42)-MIN(AK$34:AK$42)),"")</f>
        <v>0.73321331698654824</v>
      </c>
      <c r="AQ37" s="79">
        <f>IF(AL37&lt;&gt;"",(MAX(AL$34:AL$42)-AL37)/(MAX(AL$34:AL$42)-MIN(AL$34:AL$42)),"")</f>
        <v>0.92078642225739538</v>
      </c>
      <c r="AR37" s="79">
        <f>IF(AM37&lt;&gt;"",(MAX(AM$34:AM$42)-AM37)/(MAX(AM$34:AM$42)-MIN(AM$34:AM$42)),"")</f>
        <v>0.81445680714956359</v>
      </c>
    </row>
    <row r="38" spans="1:44" x14ac:dyDescent="0.3">
      <c r="A38" s="74" t="s">
        <v>461</v>
      </c>
      <c r="M38" s="64"/>
      <c r="N38" s="64"/>
      <c r="O38" s="64"/>
      <c r="P38" s="64"/>
      <c r="Q38" s="64"/>
      <c r="R38" s="64"/>
      <c r="S38" s="64"/>
      <c r="T38" s="64">
        <f t="shared" ref="T38:Y38" si="45">IF(T28&lt;&gt;"",(T28-AVERAGE(T$24:T$32))/T$33,"")</f>
        <v>-0.49771048041842464</v>
      </c>
      <c r="U38" s="64">
        <f t="shared" si="45"/>
        <v>0.4776908161470993</v>
      </c>
      <c r="V38" s="64">
        <f t="shared" si="45"/>
        <v>-0.67413622800331519</v>
      </c>
      <c r="W38" s="64">
        <f t="shared" si="45"/>
        <v>-0.41277437080898161</v>
      </c>
      <c r="X38" s="64">
        <f t="shared" si="45"/>
        <v>-0.40479454185423436</v>
      </c>
      <c r="Y38" s="64">
        <f t="shared" si="45"/>
        <v>-0.43751159674255824</v>
      </c>
      <c r="Z38" s="64">
        <f t="shared" si="35"/>
        <v>-0.17972353772411243</v>
      </c>
      <c r="AA38" s="64">
        <f t="shared" si="35"/>
        <v>-0.42149456794866053</v>
      </c>
      <c r="AB38" s="64">
        <f t="shared" si="35"/>
        <v>-0.72951882235547127</v>
      </c>
      <c r="AC38" s="64">
        <f t="shared" ref="AC38:AE38" si="46">IF(AC28&lt;&gt;"",(AC28-AVERAGE(AC$24:AC$32))/AC$33,"")</f>
        <v>-9.044456664127476E-2</v>
      </c>
      <c r="AD38" s="64">
        <f t="shared" si="46"/>
        <v>0.15738901824727222</v>
      </c>
      <c r="AE38" s="64">
        <f t="shared" si="46"/>
        <v>-0.43634317553107299</v>
      </c>
      <c r="AF38" s="64">
        <f t="shared" ref="AF38:AH38" si="47">IF(AF28&lt;&gt;"",(AF28-AVERAGE(AF$24:AF$32))/AF$33,"")</f>
        <v>-4.0044235018346204E-2</v>
      </c>
      <c r="AG38" s="64">
        <f t="shared" si="47"/>
        <v>0.15732164940197133</v>
      </c>
      <c r="AH38" s="64">
        <f t="shared" si="47"/>
        <v>-0.4840645645713243</v>
      </c>
      <c r="AI38" s="64">
        <f t="shared" si="38"/>
        <v>-0.23138529742488015</v>
      </c>
      <c r="AJ38" s="64">
        <f t="shared" si="33"/>
        <v>-0.41836016980192475</v>
      </c>
      <c r="AK38" s="64">
        <f t="shared" si="33"/>
        <v>-0.44357897600941482</v>
      </c>
      <c r="AL38" s="64">
        <f t="shared" si="33"/>
        <v>-0.12313290797502519</v>
      </c>
      <c r="AM38" s="64">
        <f t="shared" si="33"/>
        <v>-0.12226238339589972</v>
      </c>
      <c r="AN38" s="79">
        <f>IF(AI38&lt;&gt;"",(MAX(AI$34:AI$42)-AI38)/(MAX(AI$34:AI$42)-MIN(AI$34:AI$42)),"")</f>
        <v>0.94427258971864136</v>
      </c>
      <c r="AO38" s="79">
        <f>IF(AJ38&lt;&gt;"",(MAX(AJ$34:AJ$42)-AJ38)/(MAX(AJ$34:AJ$42)-MIN(AJ$34:AJ$42)),"")</f>
        <v>1</v>
      </c>
      <c r="AP38" s="79">
        <f>IF(AK38&lt;&gt;"",(MAX(AK$34:AK$42)-AK38)/(MAX(AK$34:AK$42)-MIN(AK$34:AK$42)),"")</f>
        <v>1</v>
      </c>
      <c r="AQ38" s="79">
        <f>IF(AL38&lt;&gt;"",(MAX(AL$34:AL$42)-AL38)/(MAX(AL$34:AL$42)-MIN(AL$34:AL$42)),"")</f>
        <v>0.81921495568474945</v>
      </c>
      <c r="AR38" s="79">
        <f>IF(AM38&lt;&gt;"",(MAX(AM$34:AM$42)-AM38)/(MAX(AM$34:AM$42)-MIN(AM$34:AM$42)),"")</f>
        <v>0.83460169665569084</v>
      </c>
    </row>
    <row r="39" spans="1:44" x14ac:dyDescent="0.3">
      <c r="A39" s="99" t="s">
        <v>384</v>
      </c>
      <c r="M39" s="64"/>
      <c r="N39" s="64"/>
      <c r="O39" s="64"/>
      <c r="P39" s="64"/>
      <c r="Q39" s="64"/>
      <c r="R39" s="64"/>
      <c r="S39" s="64"/>
      <c r="T39" s="64">
        <f t="shared" ref="T39:Y39" si="48">IF(T29&lt;&gt;"",(T29-AVERAGE(T$24:T$32))/T$33,"")</f>
        <v>-0.45512795009179785</v>
      </c>
      <c r="U39" s="64">
        <f t="shared" si="48"/>
        <v>-7.7388416906101112E-2</v>
      </c>
      <c r="V39" s="64">
        <f t="shared" si="48"/>
        <v>-0.10641170379749391</v>
      </c>
      <c r="W39" s="64">
        <f t="shared" si="48"/>
        <v>-0.53429347902737589</v>
      </c>
      <c r="X39" s="64">
        <f t="shared" si="48"/>
        <v>4.2025879144689693E-2</v>
      </c>
      <c r="Y39" s="64">
        <f t="shared" si="48"/>
        <v>-8.4813090607270381E-2</v>
      </c>
      <c r="Z39" s="64">
        <f t="shared" si="35"/>
        <v>-0.5602246367294248</v>
      </c>
      <c r="AA39" s="64">
        <f t="shared" si="35"/>
        <v>0.1361211620720929</v>
      </c>
      <c r="AB39" s="64">
        <f t="shared" si="35"/>
        <v>-1.1554731380900253E-2</v>
      </c>
      <c r="AC39" s="64">
        <f>IF(AC29&lt;&gt;"",(AC29-AVERAGE(AC$24:AC$32))/AC$33,"")</f>
        <v>-0.53345704233389302</v>
      </c>
      <c r="AD39" s="64">
        <f t="shared" ref="AD39:AE39" si="49">IF(AD29&lt;&gt;"",(AD29-AVERAGE(AD$24:AD$32))/AD$33,"")</f>
        <v>3.6005986984918352E-2</v>
      </c>
      <c r="AE39" s="64">
        <f t="shared" si="49"/>
        <v>-0.39828105225494054</v>
      </c>
      <c r="AF39" s="64">
        <f t="shared" ref="AF39:AH39" si="50">IF(AF29&lt;&gt;"",(AF29-AVERAGE(AF$24:AF$32))/AF$33,"")</f>
        <v>-0.51168310343214385</v>
      </c>
      <c r="AG39" s="64">
        <f t="shared" si="50"/>
        <v>1.9680180982090692E-2</v>
      </c>
      <c r="AH39" s="64">
        <f t="shared" si="50"/>
        <v>-0.45866466549037699</v>
      </c>
      <c r="AI39" s="64">
        <f t="shared" si="38"/>
        <v>-0.21297602359846426</v>
      </c>
      <c r="AJ39" s="64">
        <f t="shared" si="33"/>
        <v>-0.19236023016331885</v>
      </c>
      <c r="AK39" s="64">
        <f t="shared" si="33"/>
        <v>-0.14521940201274405</v>
      </c>
      <c r="AL39" s="64">
        <f t="shared" si="33"/>
        <v>-0.29857736920130507</v>
      </c>
      <c r="AM39" s="64">
        <f t="shared" si="33"/>
        <v>-0.31688919598014337</v>
      </c>
      <c r="AN39" s="79">
        <f>IF(AI39&lt;&gt;"",(MAX(AI$34:AI$42)-AI39)/(MAX(AI$34:AI$42)-MIN(AI$34:AI$42)),"")</f>
        <v>0.92865452575184793</v>
      </c>
      <c r="AO39" s="79">
        <f>IF(AJ39&lt;&gt;"",(MAX(AJ$34:AJ$42)-AJ39)/(MAX(AJ$34:AJ$42)-MIN(AJ$34:AJ$42)),"")</f>
        <v>0.84163066953826748</v>
      </c>
      <c r="AP39" s="79">
        <f>IF(AK39&lt;&gt;"",(MAX(AK$34:AK$42)-AK39)/(MAX(AK$34:AK$42)-MIN(AK$34:AK$42)),"")</f>
        <v>0.75500411984803761</v>
      </c>
      <c r="AQ39" s="79">
        <f>IF(AL39&lt;&gt;"",(MAX(AL$34:AL$42)-AL39)/(MAX(AL$34:AL$42)-MIN(AL$34:AL$42)),"")</f>
        <v>1</v>
      </c>
      <c r="AR39" s="79">
        <f>IF(AM39&lt;&gt;"",(MAX(AM$34:AM$42)-AM39)/(MAX(AM$34:AM$42)-MIN(AM$34:AM$42)),"")</f>
        <v>1</v>
      </c>
    </row>
    <row r="40" spans="1:44" x14ac:dyDescent="0.3">
      <c r="A40" s="99" t="s">
        <v>94</v>
      </c>
      <c r="M40" s="64"/>
      <c r="N40" s="64"/>
      <c r="O40" s="64"/>
      <c r="P40" s="64"/>
      <c r="Q40" s="64"/>
      <c r="R40" s="64"/>
      <c r="S40" s="64"/>
      <c r="T40" s="64">
        <f t="shared" ref="T40:Y40" si="51">IF(T30&lt;&gt;"",(T30-AVERAGE(T$24:T$32))/T$33,"")</f>
        <v>-0.18399020597123514</v>
      </c>
      <c r="U40" s="64">
        <f t="shared" si="51"/>
        <v>-0.49866033438141216</v>
      </c>
      <c r="V40" s="64">
        <f t="shared" si="51"/>
        <v>0.43707132004218902</v>
      </c>
      <c r="W40" s="64" t="str">
        <f t="shared" si="51"/>
        <v/>
      </c>
      <c r="X40" s="64" t="str">
        <f t="shared" si="51"/>
        <v/>
      </c>
      <c r="Y40" s="64" t="str">
        <f t="shared" si="51"/>
        <v/>
      </c>
      <c r="Z40" s="64" t="str">
        <f t="shared" si="35"/>
        <v/>
      </c>
      <c r="AA40" s="64" t="str">
        <f t="shared" si="35"/>
        <v/>
      </c>
      <c r="AB40" s="64" t="str">
        <f t="shared" si="35"/>
        <v/>
      </c>
      <c r="AC40" s="64" t="str">
        <f t="shared" ref="AC40:AE40" si="52">IF(AC30&lt;&gt;"",(AC30-AVERAGE(AC$24:AC$32))/AC$33,"")</f>
        <v/>
      </c>
      <c r="AD40" s="64" t="str">
        <f t="shared" si="52"/>
        <v/>
      </c>
      <c r="AE40" s="64" t="str">
        <f t="shared" si="52"/>
        <v/>
      </c>
      <c r="AF40" s="64" t="str">
        <f t="shared" ref="AF40:AH40" si="53">IF(AF30&lt;&gt;"",(AF30-AVERAGE(AF$24:AF$32))/AF$33,"")</f>
        <v/>
      </c>
      <c r="AG40" s="64" t="str">
        <f t="shared" si="53"/>
        <v/>
      </c>
      <c r="AH40" s="64" t="str">
        <f t="shared" si="53"/>
        <v/>
      </c>
      <c r="AI40" s="64">
        <f t="shared" si="38"/>
        <v>-8.1859740103486081E-2</v>
      </c>
      <c r="AJ40" s="64" t="str">
        <f t="shared" si="33"/>
        <v/>
      </c>
      <c r="AK40" s="64" t="str">
        <f t="shared" si="33"/>
        <v/>
      </c>
      <c r="AL40" s="64" t="str">
        <f t="shared" si="33"/>
        <v/>
      </c>
      <c r="AM40" s="64" t="str">
        <f t="shared" si="33"/>
        <v/>
      </c>
      <c r="AN40" s="79">
        <f>IF(AI40&lt;&gt;"",(MAX(AI$34:AI$42)-AI40)/(MAX(AI$34:AI$42)-MIN(AI$34:AI$42)),"")</f>
        <v>0.81741806297652753</v>
      </c>
      <c r="AO40" s="79" t="str">
        <f>IF(AJ40&lt;&gt;"",(MAX(AJ$34:AJ$42)-AJ40)/(MAX(AJ$34:AJ$42)-MIN(AJ$34:AJ$42)),"")</f>
        <v/>
      </c>
      <c r="AP40" s="79" t="str">
        <f>IF(AK40&lt;&gt;"",(MAX(AK$34:AK$42)-AK40)/(MAX(AK$34:AK$42)-MIN(AK$34:AK$42)),"")</f>
        <v/>
      </c>
      <c r="AQ40" s="79" t="str">
        <f>IF(AL40&lt;&gt;"",(MAX(AL$34:AL$42)-AL40)/(MAX(AL$34:AL$42)-MIN(AL$34:AL$42)),"")</f>
        <v/>
      </c>
      <c r="AR40" s="79" t="str">
        <f>IF(AM40&lt;&gt;"",(MAX(AM$34:AM$42)-AM40)/(MAX(AM$34:AM$42)-MIN(AM$34:AM$42)),"")</f>
        <v/>
      </c>
    </row>
    <row r="41" spans="1:44" x14ac:dyDescent="0.3">
      <c r="A41" s="99" t="s">
        <v>93</v>
      </c>
      <c r="T41" s="64">
        <f>IF(T31&lt;&gt;"",(T31-AVERAGE(T$24:T$32))/T$33,"")</f>
        <v>-0.15009798795616472</v>
      </c>
      <c r="U41" s="64">
        <f t="shared" ref="U41:Y41" si="54">IF(U31&lt;&gt;"",(U31-AVERAGE(U$24:U$32))/U$33,"")</f>
        <v>-0.4483258825883582</v>
      </c>
      <c r="V41" s="64">
        <f t="shared" si="54"/>
        <v>0.43707132004218902</v>
      </c>
      <c r="W41" s="64">
        <f t="shared" si="54"/>
        <v>-0.26087548553598866</v>
      </c>
      <c r="X41" s="64">
        <f t="shared" si="54"/>
        <v>-0.33191492560070845</v>
      </c>
      <c r="Y41" s="64">
        <f t="shared" si="54"/>
        <v>0.58544298803598038</v>
      </c>
      <c r="Z41" s="64">
        <f t="shared" si="35"/>
        <v>-0.21974702805045651</v>
      </c>
      <c r="AA41" s="64">
        <f t="shared" si="35"/>
        <v>-0.37046085245455673</v>
      </c>
      <c r="AB41" s="64">
        <f t="shared" si="35"/>
        <v>0.48588218658967985</v>
      </c>
      <c r="AC41" s="64">
        <f t="shared" ref="AC41:AE41" si="55">IF(AC31&lt;&gt;"",(AC31-AVERAGE(AC$24:AC$32))/AC$33,"")</f>
        <v>-0.3666408776748441</v>
      </c>
      <c r="AD41" s="64">
        <f t="shared" si="55"/>
        <v>-0.13638771354534399</v>
      </c>
      <c r="AE41" s="64">
        <f t="shared" si="55"/>
        <v>-7.5449262760426794E-2</v>
      </c>
      <c r="AF41" s="64">
        <f t="shared" ref="AF41:AH41" si="56">IF(AF31&lt;&gt;"",(AF31-AVERAGE(AF$24:AF$32))/AF$33,"")</f>
        <v>-0.34699928367608651</v>
      </c>
      <c r="AG41" s="64">
        <f t="shared" si="56"/>
        <v>-7.2681463969653276E-2</v>
      </c>
      <c r="AH41" s="64">
        <f t="shared" si="56"/>
        <v>-0.31530080822716583</v>
      </c>
      <c r="AI41" s="64">
        <f t="shared" si="38"/>
        <v>-5.3784183500777981E-2</v>
      </c>
      <c r="AJ41" s="64">
        <f t="shared" si="33"/>
        <v>-2.4491410335722255E-3</v>
      </c>
      <c r="AK41" s="64">
        <f t="shared" si="33"/>
        <v>-3.4775231305111141E-2</v>
      </c>
      <c r="AL41" s="64">
        <f t="shared" si="33"/>
        <v>-0.19282595132687161</v>
      </c>
      <c r="AM41" s="64">
        <f t="shared" si="33"/>
        <v>-0.24499385195763521</v>
      </c>
      <c r="AN41" s="79">
        <f>IF(AI41&lt;&gt;"",(MAX(AI$34:AI$42)-AI41)/(MAX(AI$34:AI$42)-MIN(AI$34:AI$42)),"")</f>
        <v>0.7935993158027399</v>
      </c>
      <c r="AO41" s="79">
        <f>IF(AJ41&lt;&gt;"",(MAX(AJ$34:AJ$42)-AJ41)/(MAX(AJ$34:AJ$42)-MIN(AJ$34:AJ$42)),"")</f>
        <v>0.70855058075226729</v>
      </c>
      <c r="AP41" s="79">
        <f>IF(AK41&lt;&gt;"",(MAX(AK$34:AK$42)-AK41)/(MAX(AK$34:AK$42)-MIN(AK$34:AK$42)),"")</f>
        <v>0.6643136605216946</v>
      </c>
      <c r="AQ41" s="79">
        <f>IF(AL41&lt;&gt;"",(MAX(AL$34:AL$42)-AL41)/(MAX(AL$34:AL$42)-MIN(AL$34:AL$42)),"")</f>
        <v>0.89102947660358345</v>
      </c>
      <c r="AR41" s="79">
        <f>IF(AM41&lt;&gt;"",(MAX(AM$34:AM$42)-AM41)/(MAX(AM$34:AM$42)-MIN(AM$34:AM$42)),"")</f>
        <v>0.93890169724414962</v>
      </c>
    </row>
    <row r="42" spans="1:44" x14ac:dyDescent="0.3">
      <c r="A42" s="100" t="s">
        <v>92</v>
      </c>
      <c r="T42" s="64">
        <f>IF(T32&lt;&gt;"",(T32-AVERAGE(T$24:T$32))/T$33,"")</f>
        <v>1.7626397518174199</v>
      </c>
      <c r="U42" s="64">
        <f t="shared" ref="U42:Y42" si="57">IF(U32&lt;&gt;"",(U32-AVERAGE(U$24:U$32))/U$33,"")</f>
        <v>1.7466979329579488</v>
      </c>
      <c r="V42" s="64">
        <f t="shared" si="57"/>
        <v>-0.86440378182265676</v>
      </c>
      <c r="W42" s="64">
        <f t="shared" si="57"/>
        <v>1.8720886614673773</v>
      </c>
      <c r="X42" s="64">
        <f t="shared" si="57"/>
        <v>2.0323080947847876</v>
      </c>
      <c r="Y42" s="64">
        <f t="shared" si="57"/>
        <v>-0.87834646249623805</v>
      </c>
      <c r="Z42" s="64">
        <f t="shared" si="35"/>
        <v>1.4478984022138772</v>
      </c>
      <c r="AA42" s="64">
        <f t="shared" si="35"/>
        <v>1.7199945535090924</v>
      </c>
      <c r="AB42" s="64">
        <f t="shared" si="35"/>
        <v>-0.84518590977570796</v>
      </c>
      <c r="AC42" s="64">
        <f t="shared" ref="AC42:AE42" si="58">IF(AC32&lt;&gt;"",(AC32-AVERAGE(AC$24:AC$32))/AC$33,"")</f>
        <v>1.5754287923681594</v>
      </c>
      <c r="AD42" s="64">
        <f t="shared" si="58"/>
        <v>1.0919968815594925</v>
      </c>
      <c r="AE42" s="64">
        <f t="shared" si="58"/>
        <v>-0.65178098223711678</v>
      </c>
      <c r="AF42" s="64">
        <f t="shared" ref="AF42:AH42" si="59">IF(AF32&lt;&gt;"",(AF32-AVERAGE(AF$24:AF$32))/AF$33,"")</f>
        <v>1.686943336358417</v>
      </c>
      <c r="AG42" s="64">
        <f t="shared" si="59"/>
        <v>1.5935832983128571</v>
      </c>
      <c r="AH42" s="64">
        <f t="shared" si="59"/>
        <v>-0.70104653701381348</v>
      </c>
      <c r="AI42" s="64">
        <f t="shared" si="38"/>
        <v>0.88164463431757067</v>
      </c>
      <c r="AJ42" s="64">
        <f t="shared" si="33"/>
        <v>1.0086834312519757</v>
      </c>
      <c r="AK42" s="64">
        <f t="shared" si="33"/>
        <v>0.77423568198242043</v>
      </c>
      <c r="AL42" s="64">
        <f t="shared" si="33"/>
        <v>0.67188156389684506</v>
      </c>
      <c r="AM42" s="64">
        <f t="shared" si="33"/>
        <v>0.85982669921915333</v>
      </c>
      <c r="AN42" s="79">
        <f>IF(AI42&lt;&gt;"",(MAX(AI$34:AI$42)-AI42)/(MAX(AI$34:AI$42)-MIN(AI$34:AI$42)),"")</f>
        <v>0</v>
      </c>
      <c r="AO42" s="79">
        <f>IF(AJ42&lt;&gt;"",(MAX(AJ$34:AJ$42)-AJ42)/(MAX(AJ$34:AJ$42)-MIN(AJ$34:AJ$42)),"")</f>
        <v>0</v>
      </c>
      <c r="AP42" s="79">
        <f>IF(AK42&lt;&gt;"",(MAX(AK$34:AK$42)-AK42)/(MAX(AK$34:AK$42)-MIN(AK$34:AK$42)),"")</f>
        <v>0</v>
      </c>
      <c r="AQ42" s="79">
        <f>IF(AL42&lt;&gt;"",(MAX(AL$34:AL$42)-AL42)/(MAX(AL$34:AL$42)-MIN(AL$34:AL$42)),"")</f>
        <v>0</v>
      </c>
      <c r="AR42" s="79">
        <f>IF(AM42&lt;&gt;"",(MAX(AM$34:AM$42)-AM42)/(MAX(AM$34:AM$42)-MIN(AM$34:AM$42)),"")</f>
        <v>0</v>
      </c>
    </row>
  </sheetData>
  <conditionalFormatting sqref="H10">
    <cfRule type="colorScale" priority="32">
      <colorScale>
        <cfvo type="min"/>
        <cfvo type="max"/>
        <color rgb="FFFF0000"/>
        <color rgb="FF00B050"/>
      </colorScale>
    </cfRule>
  </conditionalFormatting>
  <conditionalFormatting sqref="H4:H9 B4:B9 B11:B23 E4:E9 E11:E23 H11:H23">
    <cfRule type="colorScale" priority="33">
      <colorScale>
        <cfvo type="min"/>
        <cfvo type="max"/>
        <color rgb="FFFF0000"/>
        <color rgb="FF00B050"/>
      </colorScale>
    </cfRule>
  </conditionalFormatting>
  <conditionalFormatting sqref="I4:I23 F4:F23 C4:C23">
    <cfRule type="colorScale" priority="34">
      <colorScale>
        <cfvo type="min"/>
        <cfvo type="max"/>
        <color rgb="FFFF0000"/>
        <color rgb="FF00B050"/>
      </colorScale>
    </cfRule>
  </conditionalFormatting>
  <conditionalFormatting sqref="AI15:AL23 AI4:AM14">
    <cfRule type="colorScale" priority="30">
      <colorScale>
        <cfvo type="min"/>
        <cfvo type="max"/>
        <color rgb="FFFF0000"/>
        <color rgb="FF00B050"/>
      </colorScale>
    </cfRule>
  </conditionalFormatting>
  <conditionalFormatting sqref="B4:J23 AI15:AL23 AI4:AM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4:AR42">
    <cfRule type="colorScale" priority="8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S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C2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D2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G2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J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3 AI4:AM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:AJ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5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5:AL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149A-A3BF-4B59-A7BD-1482580DA267}">
  <dimension ref="A1:BF37"/>
  <sheetViews>
    <sheetView workbookViewId="0">
      <pane xSplit="1" ySplit="2" topLeftCell="AO3" activePane="bottomRight" state="frozen"/>
      <selection pane="topRight" activeCell="B1" sqref="B1"/>
      <selection pane="bottomLeft" activeCell="A2" sqref="A2"/>
      <selection pane="bottomRight" activeCell="AT16" sqref="AT16"/>
    </sheetView>
  </sheetViews>
  <sheetFormatPr defaultRowHeight="14.4" x14ac:dyDescent="0.3"/>
  <cols>
    <col min="1" max="1" width="13.33203125" style="5" bestFit="1" customWidth="1"/>
    <col min="2" max="2" width="6" customWidth="1"/>
    <col min="3" max="3" width="6" bestFit="1" customWidth="1"/>
    <col min="4" max="4" width="7.77734375" bestFit="1" customWidth="1"/>
    <col min="5" max="5" width="6" bestFit="1" customWidth="1"/>
    <col min="6" max="8" width="6" customWidth="1"/>
    <col min="9" max="9" width="6" style="28" customWidth="1"/>
    <col min="10" max="10" width="6" style="76" customWidth="1"/>
    <col min="11" max="11" width="6" style="30" customWidth="1"/>
    <col min="12" max="12" width="9.44140625" bestFit="1" customWidth="1"/>
    <col min="13" max="13" width="9.44140625" customWidth="1"/>
    <col min="14" max="14" width="9.109375" bestFit="1" customWidth="1"/>
    <col min="15" max="15" width="9.109375" customWidth="1"/>
    <col min="16" max="19" width="6" customWidth="1"/>
    <col min="20" max="20" width="11" bestFit="1" customWidth="1"/>
    <col min="21" max="21" width="11" customWidth="1"/>
    <col min="22" max="22" width="9.109375" bestFit="1" customWidth="1"/>
    <col min="23" max="23" width="9.109375" customWidth="1"/>
    <col min="24" max="25" width="7.33203125" customWidth="1"/>
    <col min="26" max="26" width="8" bestFit="1" customWidth="1"/>
    <col min="27" max="31" width="8" customWidth="1"/>
    <col min="32" max="32" width="8.88671875" bestFit="1" customWidth="1"/>
    <col min="33" max="33" width="8.88671875" customWidth="1"/>
    <col min="34" max="34" width="12.88671875" bestFit="1" customWidth="1"/>
    <col min="35" max="35" width="12.88671875" customWidth="1"/>
    <col min="36" max="37" width="8.88671875" customWidth="1"/>
    <col min="38" max="38" width="10.77734375" bestFit="1" customWidth="1"/>
    <col min="39" max="43" width="10.77734375" customWidth="1"/>
    <col min="44" max="44" width="14.88671875" bestFit="1" customWidth="1"/>
    <col min="45" max="45" width="14.88671875" customWidth="1"/>
    <col min="46" max="46" width="12" bestFit="1" customWidth="1"/>
    <col min="47" max="47" width="12" customWidth="1"/>
    <col min="48" max="48" width="5.33203125" bestFit="1" customWidth="1"/>
    <col min="49" max="49" width="4.21875" bestFit="1" customWidth="1"/>
    <col min="50" max="50" width="9" bestFit="1" customWidth="1"/>
    <col min="51" max="51" width="9.44140625" bestFit="1" customWidth="1"/>
    <col min="60" max="60" width="9.6640625" bestFit="1" customWidth="1"/>
  </cols>
  <sheetData>
    <row r="1" spans="1:58" x14ac:dyDescent="0.3">
      <c r="I1" s="349" t="s">
        <v>976</v>
      </c>
      <c r="J1" s="350"/>
      <c r="K1" s="351"/>
    </row>
    <row r="2" spans="1:58" x14ac:dyDescent="0.3">
      <c r="B2" s="5" t="s">
        <v>964</v>
      </c>
      <c r="C2" s="5" t="s">
        <v>378</v>
      </c>
      <c r="D2" s="5" t="s">
        <v>496</v>
      </c>
      <c r="E2" s="5" t="s">
        <v>494</v>
      </c>
      <c r="F2" s="5" t="s">
        <v>965</v>
      </c>
      <c r="G2" s="5" t="s">
        <v>494</v>
      </c>
      <c r="H2" s="5" t="s">
        <v>966</v>
      </c>
      <c r="I2" s="243" t="s">
        <v>965</v>
      </c>
      <c r="J2" s="244" t="s">
        <v>977</v>
      </c>
      <c r="K2" s="245" t="s">
        <v>494</v>
      </c>
      <c r="L2" s="5" t="s">
        <v>947</v>
      </c>
      <c r="M2" s="5"/>
      <c r="N2" s="5" t="s">
        <v>946</v>
      </c>
      <c r="O2" s="5"/>
      <c r="P2" s="5" t="s">
        <v>948</v>
      </c>
      <c r="Q2" s="5"/>
      <c r="R2" s="5" t="s">
        <v>949</v>
      </c>
      <c r="S2" s="5"/>
      <c r="T2" s="5" t="s">
        <v>951</v>
      </c>
      <c r="U2" s="5"/>
      <c r="V2" s="5" t="s">
        <v>952</v>
      </c>
      <c r="W2" s="5"/>
      <c r="X2" s="5" t="s">
        <v>950</v>
      </c>
      <c r="Y2" s="5"/>
      <c r="Z2" s="5" t="s">
        <v>953</v>
      </c>
      <c r="AA2" s="5"/>
      <c r="AB2" s="5" t="s">
        <v>954</v>
      </c>
      <c r="AC2" s="5"/>
      <c r="AD2" s="5" t="s">
        <v>955</v>
      </c>
      <c r="AE2" s="5"/>
      <c r="AF2" s="5" t="s">
        <v>956</v>
      </c>
      <c r="AG2" s="5"/>
      <c r="AH2" s="5" t="s">
        <v>962</v>
      </c>
      <c r="AI2" s="5"/>
      <c r="AJ2" s="5" t="s">
        <v>963</v>
      </c>
      <c r="AK2" s="5"/>
      <c r="AL2" s="5" t="s">
        <v>957</v>
      </c>
      <c r="AM2" s="5"/>
      <c r="AN2" s="5" t="s">
        <v>958</v>
      </c>
      <c r="AO2" s="5"/>
      <c r="AP2" s="5" t="s">
        <v>959</v>
      </c>
      <c r="AQ2" s="5"/>
      <c r="AR2" s="5" t="s">
        <v>960</v>
      </c>
      <c r="AS2" s="5"/>
      <c r="AT2" s="5" t="s">
        <v>961</v>
      </c>
      <c r="AU2" s="5"/>
      <c r="AV2" s="5" t="s">
        <v>315</v>
      </c>
      <c r="AW2" s="5" t="s">
        <v>908</v>
      </c>
      <c r="AX2" s="5" t="s">
        <v>944</v>
      </c>
      <c r="AY2" s="5" t="s">
        <v>333</v>
      </c>
      <c r="AZ2" s="5" t="s">
        <v>973</v>
      </c>
      <c r="BA2" s="5" t="s">
        <v>974</v>
      </c>
      <c r="BF2" t="s">
        <v>942</v>
      </c>
    </row>
    <row r="3" spans="1:58" x14ac:dyDescent="0.3">
      <c r="A3" s="4" t="s">
        <v>916</v>
      </c>
      <c r="D3">
        <v>1.44</v>
      </c>
      <c r="E3">
        <v>0</v>
      </c>
      <c r="I3" s="28">
        <v>1.46</v>
      </c>
      <c r="J3" s="76">
        <f t="shared" ref="J3:J34" si="0">I3+2.8138*(94-AU3)</f>
        <v>-3.2026332023275348</v>
      </c>
      <c r="K3" s="30">
        <v>0</v>
      </c>
      <c r="L3">
        <v>49107</v>
      </c>
      <c r="M3">
        <v>49107</v>
      </c>
      <c r="N3">
        <v>48090</v>
      </c>
      <c r="O3">
        <v>48090</v>
      </c>
      <c r="P3">
        <v>17990</v>
      </c>
      <c r="Q3">
        <v>48090</v>
      </c>
      <c r="R3">
        <v>1611</v>
      </c>
      <c r="S3">
        <v>1729</v>
      </c>
      <c r="T3">
        <v>468</v>
      </c>
      <c r="U3">
        <v>463</v>
      </c>
      <c r="V3">
        <v>137</v>
      </c>
      <c r="W3">
        <v>130</v>
      </c>
      <c r="X3">
        <v>1432</v>
      </c>
      <c r="Y3">
        <v>1538</v>
      </c>
      <c r="Z3">
        <v>1426</v>
      </c>
      <c r="AA3">
        <v>1532</v>
      </c>
      <c r="AB3">
        <v>1371</v>
      </c>
      <c r="AC3">
        <v>1480</v>
      </c>
      <c r="AD3">
        <v>4795043</v>
      </c>
      <c r="AE3">
        <v>5110678</v>
      </c>
      <c r="AF3">
        <v>4243971</v>
      </c>
      <c r="AG3">
        <v>4441389</v>
      </c>
      <c r="AH3">
        <v>4958</v>
      </c>
      <c r="AI3">
        <v>5280</v>
      </c>
      <c r="AJ3">
        <v>11022137</v>
      </c>
      <c r="AK3">
        <v>11752108</v>
      </c>
      <c r="AL3">
        <v>1287</v>
      </c>
      <c r="AM3">
        <v>1367</v>
      </c>
      <c r="AN3">
        <v>4615674</v>
      </c>
      <c r="AO3">
        <v>4926433</v>
      </c>
      <c r="AP3">
        <v>1577</v>
      </c>
      <c r="AQ3">
        <v>1692</v>
      </c>
      <c r="AR3">
        <v>245</v>
      </c>
      <c r="AS3">
        <v>258</v>
      </c>
      <c r="AT3">
        <v>96.044651684640598</v>
      </c>
      <c r="AU3">
        <v>95.657059209015401</v>
      </c>
      <c r="AV3">
        <v>1</v>
      </c>
      <c r="AX3">
        <v>29872220</v>
      </c>
      <c r="AY3" t="s">
        <v>945</v>
      </c>
      <c r="AZ3">
        <v>50558</v>
      </c>
      <c r="BA3">
        <v>49135</v>
      </c>
    </row>
    <row r="4" spans="1:58" x14ac:dyDescent="0.3">
      <c r="A4" s="4" t="s">
        <v>917</v>
      </c>
      <c r="D4">
        <v>1.35</v>
      </c>
      <c r="E4">
        <v>0</v>
      </c>
      <c r="I4" s="28">
        <v>1.39</v>
      </c>
      <c r="J4" s="76">
        <f t="shared" si="0"/>
        <v>-4.485708725358319</v>
      </c>
      <c r="K4" s="30">
        <v>0</v>
      </c>
      <c r="L4">
        <v>56555</v>
      </c>
      <c r="M4">
        <v>56555</v>
      </c>
      <c r="N4">
        <v>55342</v>
      </c>
      <c r="O4">
        <v>55342</v>
      </c>
      <c r="P4">
        <v>20959</v>
      </c>
      <c r="Q4">
        <v>55342</v>
      </c>
      <c r="R4">
        <v>1857</v>
      </c>
      <c r="S4">
        <v>1996</v>
      </c>
      <c r="T4">
        <v>546</v>
      </c>
      <c r="U4">
        <v>528</v>
      </c>
      <c r="V4">
        <v>131</v>
      </c>
      <c r="W4">
        <v>114</v>
      </c>
      <c r="X4">
        <v>1515</v>
      </c>
      <c r="Y4">
        <v>1634</v>
      </c>
      <c r="Z4">
        <v>1509</v>
      </c>
      <c r="AA4">
        <v>1627</v>
      </c>
      <c r="AB4">
        <v>1464</v>
      </c>
      <c r="AC4">
        <v>1593</v>
      </c>
      <c r="AD4">
        <v>5316413</v>
      </c>
      <c r="AE4">
        <v>5674081</v>
      </c>
      <c r="AF4">
        <v>4690386</v>
      </c>
      <c r="AG4">
        <v>4881352</v>
      </c>
      <c r="AH4">
        <v>5696</v>
      </c>
      <c r="AI4">
        <v>6064</v>
      </c>
      <c r="AJ4">
        <v>12807760</v>
      </c>
      <c r="AK4">
        <v>13622943</v>
      </c>
      <c r="AL4">
        <v>1367</v>
      </c>
      <c r="AM4">
        <v>1458</v>
      </c>
      <c r="AN4">
        <v>5085018</v>
      </c>
      <c r="AO4">
        <v>5398089</v>
      </c>
      <c r="AP4">
        <v>1822</v>
      </c>
      <c r="AQ4">
        <v>1958</v>
      </c>
      <c r="AR4">
        <v>274</v>
      </c>
      <c r="AS4">
        <v>297</v>
      </c>
      <c r="AT4">
        <v>96.202181067083501</v>
      </c>
      <c r="AU4">
        <v>96.088175678924699</v>
      </c>
      <c r="AV4">
        <v>2</v>
      </c>
      <c r="AX4">
        <v>29868963</v>
      </c>
      <c r="AY4" t="s">
        <v>945</v>
      </c>
      <c r="AZ4">
        <v>62618</v>
      </c>
      <c r="BA4">
        <v>56583</v>
      </c>
    </row>
    <row r="5" spans="1:58" x14ac:dyDescent="0.3">
      <c r="A5" s="5" t="s">
        <v>918</v>
      </c>
      <c r="D5">
        <v>1.35</v>
      </c>
      <c r="E5">
        <v>0</v>
      </c>
      <c r="I5" s="28">
        <v>1.4</v>
      </c>
      <c r="J5" s="76">
        <f t="shared" si="0"/>
        <v>-4.5684760217715148</v>
      </c>
      <c r="K5" s="30">
        <v>0</v>
      </c>
      <c r="L5">
        <v>59619</v>
      </c>
      <c r="M5">
        <v>59619</v>
      </c>
      <c r="N5">
        <v>58316</v>
      </c>
      <c r="O5">
        <v>58316</v>
      </c>
      <c r="P5">
        <v>22224</v>
      </c>
      <c r="Q5">
        <v>58316</v>
      </c>
      <c r="R5">
        <v>1977</v>
      </c>
      <c r="S5">
        <v>2114</v>
      </c>
      <c r="T5">
        <v>577</v>
      </c>
      <c r="U5">
        <v>554</v>
      </c>
      <c r="V5">
        <v>132</v>
      </c>
      <c r="W5">
        <v>112</v>
      </c>
      <c r="X5">
        <v>1544</v>
      </c>
      <c r="Y5">
        <v>1639</v>
      </c>
      <c r="Z5">
        <v>1536</v>
      </c>
      <c r="AA5">
        <v>1631</v>
      </c>
      <c r="AB5">
        <v>1487</v>
      </c>
      <c r="AC5">
        <v>1597</v>
      </c>
      <c r="AD5">
        <v>5372488</v>
      </c>
      <c r="AE5">
        <v>5674961</v>
      </c>
      <c r="AF5">
        <v>4741081</v>
      </c>
      <c r="AG5">
        <v>4915940</v>
      </c>
      <c r="AH5">
        <v>6065</v>
      </c>
      <c r="AI5">
        <v>6426</v>
      </c>
      <c r="AJ5">
        <v>13574121</v>
      </c>
      <c r="AK5">
        <v>14328116</v>
      </c>
      <c r="AL5">
        <v>1385</v>
      </c>
      <c r="AM5">
        <v>1468</v>
      </c>
      <c r="AN5">
        <v>5125672</v>
      </c>
      <c r="AO5">
        <v>5414562</v>
      </c>
      <c r="AP5">
        <v>1942</v>
      </c>
      <c r="AQ5">
        <v>2075</v>
      </c>
      <c r="AR5">
        <v>293</v>
      </c>
      <c r="AS5">
        <v>311</v>
      </c>
      <c r="AT5">
        <v>95.876379766767897</v>
      </c>
      <c r="AU5">
        <v>96.121144367677701</v>
      </c>
      <c r="AV5">
        <v>3</v>
      </c>
      <c r="AX5">
        <v>29859364</v>
      </c>
      <c r="AY5" t="s">
        <v>945</v>
      </c>
      <c r="AZ5">
        <v>65576</v>
      </c>
      <c r="BA5">
        <v>56647</v>
      </c>
    </row>
    <row r="6" spans="1:58" x14ac:dyDescent="0.3">
      <c r="A6" s="4" t="s">
        <v>910</v>
      </c>
      <c r="D6">
        <v>1.33</v>
      </c>
      <c r="E6">
        <v>0</v>
      </c>
      <c r="I6" s="28">
        <v>1.41</v>
      </c>
      <c r="J6" s="76">
        <f t="shared" si="0"/>
        <v>-4.1891511376234671</v>
      </c>
      <c r="K6" s="30">
        <v>0</v>
      </c>
      <c r="M6">
        <v>49925</v>
      </c>
      <c r="O6">
        <v>48810</v>
      </c>
      <c r="Q6">
        <v>48810</v>
      </c>
      <c r="S6">
        <v>1525</v>
      </c>
      <c r="U6">
        <v>387</v>
      </c>
      <c r="W6">
        <v>95</v>
      </c>
      <c r="Y6">
        <v>1489</v>
      </c>
      <c r="AA6">
        <v>1482</v>
      </c>
      <c r="AC6">
        <v>1462</v>
      </c>
      <c r="AE6">
        <v>4966784</v>
      </c>
      <c r="AG6">
        <v>4280971</v>
      </c>
      <c r="AI6">
        <v>4634</v>
      </c>
      <c r="AK6">
        <v>10638352</v>
      </c>
      <c r="AM6">
        <v>1342</v>
      </c>
      <c r="AO6">
        <v>4806535</v>
      </c>
      <c r="AQ6">
        <v>1499</v>
      </c>
      <c r="AS6">
        <v>211</v>
      </c>
      <c r="AU6">
        <v>95.989889522220295</v>
      </c>
      <c r="AV6">
        <v>3</v>
      </c>
      <c r="AW6" t="s">
        <v>792</v>
      </c>
      <c r="BA6">
        <v>49953</v>
      </c>
    </row>
    <row r="7" spans="1:58" x14ac:dyDescent="0.3">
      <c r="A7" s="5" t="s">
        <v>911</v>
      </c>
      <c r="D7">
        <v>6.79</v>
      </c>
      <c r="E7">
        <v>12.42</v>
      </c>
      <c r="I7" s="28">
        <v>6.79</v>
      </c>
      <c r="J7" s="76">
        <f t="shared" si="0"/>
        <v>35.184859742857114</v>
      </c>
      <c r="K7" s="30">
        <v>12.42</v>
      </c>
      <c r="L7">
        <v>95</v>
      </c>
      <c r="M7">
        <v>95</v>
      </c>
      <c r="N7">
        <v>94</v>
      </c>
      <c r="O7">
        <v>94</v>
      </c>
      <c r="P7">
        <v>24</v>
      </c>
      <c r="Q7">
        <v>94</v>
      </c>
      <c r="R7">
        <v>3</v>
      </c>
      <c r="S7">
        <v>3</v>
      </c>
      <c r="T7">
        <v>0</v>
      </c>
      <c r="U7">
        <v>0</v>
      </c>
      <c r="V7">
        <v>0</v>
      </c>
      <c r="W7">
        <v>0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19518</v>
      </c>
      <c r="AE7">
        <v>19518</v>
      </c>
      <c r="AF7">
        <v>17111</v>
      </c>
      <c r="AG7">
        <v>17111</v>
      </c>
      <c r="AH7">
        <v>8</v>
      </c>
      <c r="AI7">
        <v>8</v>
      </c>
      <c r="AJ7">
        <v>21369</v>
      </c>
      <c r="AK7">
        <v>21369</v>
      </c>
      <c r="AL7">
        <v>6</v>
      </c>
      <c r="AM7">
        <v>6</v>
      </c>
      <c r="AN7">
        <v>18462</v>
      </c>
      <c r="AO7">
        <v>18462</v>
      </c>
      <c r="AP7">
        <v>3</v>
      </c>
      <c r="AQ7">
        <v>3</v>
      </c>
      <c r="AR7">
        <v>0</v>
      </c>
      <c r="AS7">
        <v>0</v>
      </c>
      <c r="AT7">
        <v>83.908714285714296</v>
      </c>
      <c r="AU7">
        <v>83.908714285714296</v>
      </c>
      <c r="AV7">
        <v>3</v>
      </c>
      <c r="AW7" t="s">
        <v>909</v>
      </c>
      <c r="AX7">
        <v>29831916</v>
      </c>
      <c r="AY7" t="s">
        <v>943</v>
      </c>
      <c r="BA7">
        <v>123</v>
      </c>
    </row>
    <row r="8" spans="1:58" x14ac:dyDescent="0.3">
      <c r="A8" s="5" t="s">
        <v>912</v>
      </c>
      <c r="D8">
        <v>1.39</v>
      </c>
      <c r="E8">
        <v>0</v>
      </c>
      <c r="I8" s="28">
        <v>1.36</v>
      </c>
      <c r="J8" s="76">
        <f t="shared" si="0"/>
        <v>-1.175837462861099</v>
      </c>
      <c r="K8" s="30">
        <v>0</v>
      </c>
      <c r="L8">
        <v>37606</v>
      </c>
      <c r="M8">
        <v>37606</v>
      </c>
      <c r="N8">
        <v>36857</v>
      </c>
      <c r="O8">
        <v>36857</v>
      </c>
      <c r="P8">
        <v>12721</v>
      </c>
      <c r="Q8">
        <v>36857</v>
      </c>
      <c r="R8">
        <v>1088</v>
      </c>
      <c r="S8">
        <v>1149</v>
      </c>
      <c r="T8">
        <v>339</v>
      </c>
      <c r="U8">
        <v>334</v>
      </c>
      <c r="V8">
        <v>102</v>
      </c>
      <c r="W8">
        <v>93</v>
      </c>
      <c r="X8">
        <v>1198</v>
      </c>
      <c r="Y8">
        <v>1272</v>
      </c>
      <c r="Z8">
        <v>1192</v>
      </c>
      <c r="AA8">
        <v>1266</v>
      </c>
      <c r="AB8">
        <v>1171</v>
      </c>
      <c r="AC8">
        <v>1247</v>
      </c>
      <c r="AD8">
        <v>3984984</v>
      </c>
      <c r="AE8">
        <v>4238074</v>
      </c>
      <c r="AF8">
        <v>3561516</v>
      </c>
      <c r="AG8">
        <v>3754350</v>
      </c>
      <c r="AH8">
        <v>3347</v>
      </c>
      <c r="AI8">
        <v>3494</v>
      </c>
      <c r="AJ8">
        <v>7382015</v>
      </c>
      <c r="AK8">
        <v>7808044</v>
      </c>
      <c r="AL8">
        <v>1118</v>
      </c>
      <c r="AM8">
        <v>1176</v>
      </c>
      <c r="AN8">
        <v>3845544</v>
      </c>
      <c r="AO8">
        <v>4097051</v>
      </c>
      <c r="AP8">
        <v>1061</v>
      </c>
      <c r="AQ8">
        <v>1118</v>
      </c>
      <c r="AR8">
        <v>144</v>
      </c>
      <c r="AS8">
        <v>152</v>
      </c>
      <c r="AT8">
        <v>95.025536420988999</v>
      </c>
      <c r="AU8">
        <v>94.901214536520399</v>
      </c>
      <c r="AV8">
        <v>1</v>
      </c>
      <c r="AX8">
        <v>29879756</v>
      </c>
      <c r="AY8" t="s">
        <v>945</v>
      </c>
      <c r="AZ8">
        <v>32740</v>
      </c>
      <c r="BA8">
        <v>37634</v>
      </c>
    </row>
    <row r="9" spans="1:58" x14ac:dyDescent="0.3">
      <c r="A9" s="4" t="s">
        <v>913</v>
      </c>
      <c r="D9">
        <v>1.44</v>
      </c>
      <c r="E9">
        <v>0</v>
      </c>
      <c r="I9" s="28">
        <v>1.47</v>
      </c>
      <c r="J9" s="171">
        <f t="shared" si="0"/>
        <v>-2.7857804665928683</v>
      </c>
      <c r="K9" s="30">
        <v>0</v>
      </c>
      <c r="L9">
        <v>46900</v>
      </c>
      <c r="M9">
        <v>46900</v>
      </c>
      <c r="N9">
        <v>45886</v>
      </c>
      <c r="O9">
        <v>45886</v>
      </c>
      <c r="P9">
        <v>17007</v>
      </c>
      <c r="Q9">
        <v>45886</v>
      </c>
      <c r="R9">
        <v>1567</v>
      </c>
      <c r="S9">
        <v>1650</v>
      </c>
      <c r="T9">
        <v>477</v>
      </c>
      <c r="U9">
        <v>469</v>
      </c>
      <c r="V9">
        <v>114</v>
      </c>
      <c r="W9">
        <v>115</v>
      </c>
      <c r="X9">
        <v>1453</v>
      </c>
      <c r="Y9">
        <v>1562</v>
      </c>
      <c r="Z9">
        <v>1446</v>
      </c>
      <c r="AA9">
        <v>1555</v>
      </c>
      <c r="AB9">
        <v>1410</v>
      </c>
      <c r="AC9">
        <v>1519</v>
      </c>
      <c r="AD9">
        <v>4948763</v>
      </c>
      <c r="AE9">
        <v>5309273</v>
      </c>
      <c r="AF9">
        <v>4367618</v>
      </c>
      <c r="AG9">
        <v>4635109</v>
      </c>
      <c r="AH9">
        <v>4815</v>
      </c>
      <c r="AI9">
        <v>5037</v>
      </c>
      <c r="AJ9">
        <v>10818694</v>
      </c>
      <c r="AK9">
        <v>11447071</v>
      </c>
      <c r="AL9">
        <v>1321</v>
      </c>
      <c r="AM9">
        <v>1410</v>
      </c>
      <c r="AN9">
        <v>4771933</v>
      </c>
      <c r="AO9">
        <v>5125443</v>
      </c>
      <c r="AP9">
        <v>1536</v>
      </c>
      <c r="AQ9">
        <v>1615</v>
      </c>
      <c r="AR9">
        <v>214</v>
      </c>
      <c r="AS9">
        <v>229</v>
      </c>
      <c r="AT9">
        <v>95.483848107071395</v>
      </c>
      <c r="AU9">
        <v>95.512467292129102</v>
      </c>
      <c r="AV9">
        <v>2</v>
      </c>
      <c r="AX9">
        <v>29869033</v>
      </c>
      <c r="AY9" t="s">
        <v>945</v>
      </c>
      <c r="AZ9">
        <v>50725</v>
      </c>
      <c r="BA9">
        <v>46928</v>
      </c>
    </row>
    <row r="10" spans="1:58" x14ac:dyDescent="0.3">
      <c r="A10" s="5" t="s">
        <v>919</v>
      </c>
      <c r="D10">
        <v>1.41</v>
      </c>
      <c r="E10">
        <v>0</v>
      </c>
      <c r="I10" s="28">
        <v>1.45</v>
      </c>
      <c r="J10" s="76">
        <f t="shared" si="0"/>
        <v>-3.5876937732946175</v>
      </c>
      <c r="K10" s="30">
        <v>0</v>
      </c>
      <c r="L10">
        <v>47224</v>
      </c>
      <c r="N10">
        <v>46212</v>
      </c>
      <c r="P10">
        <v>17205</v>
      </c>
      <c r="R10">
        <v>1585</v>
      </c>
      <c r="T10">
        <v>484</v>
      </c>
      <c r="V10">
        <v>133</v>
      </c>
      <c r="X10">
        <v>1468</v>
      </c>
      <c r="Z10">
        <v>1461</v>
      </c>
      <c r="AB10">
        <v>1410</v>
      </c>
      <c r="AD10">
        <v>5063462</v>
      </c>
      <c r="AF10">
        <v>4425127</v>
      </c>
      <c r="AH10">
        <v>4890</v>
      </c>
      <c r="AJ10">
        <v>11110273</v>
      </c>
      <c r="AL10">
        <v>1316</v>
      </c>
      <c r="AN10">
        <v>4804664</v>
      </c>
      <c r="AP10">
        <v>1555</v>
      </c>
      <c r="AR10">
        <v>226</v>
      </c>
      <c r="AT10">
        <v>95.603512299334099</v>
      </c>
      <c r="AU10">
        <v>95.790352467586402</v>
      </c>
      <c r="AV10">
        <v>3</v>
      </c>
      <c r="AX10">
        <v>29869066</v>
      </c>
      <c r="AY10" t="s">
        <v>945</v>
      </c>
      <c r="AZ10">
        <v>51883</v>
      </c>
      <c r="BA10">
        <v>47252</v>
      </c>
    </row>
    <row r="11" spans="1:58" x14ac:dyDescent="0.3">
      <c r="A11" s="4" t="s">
        <v>920</v>
      </c>
      <c r="D11">
        <v>1.59</v>
      </c>
      <c r="E11">
        <v>0</v>
      </c>
      <c r="I11" s="28">
        <v>1.62</v>
      </c>
      <c r="J11" s="76">
        <f t="shared" si="0"/>
        <v>5.2510910482173934E-2</v>
      </c>
      <c r="K11" s="30">
        <v>0.05</v>
      </c>
      <c r="L11">
        <v>32385</v>
      </c>
      <c r="M11">
        <v>32385</v>
      </c>
      <c r="N11">
        <v>31692</v>
      </c>
      <c r="O11">
        <v>31692</v>
      </c>
      <c r="P11">
        <v>12045</v>
      </c>
      <c r="Q11">
        <v>31692</v>
      </c>
      <c r="R11">
        <v>1098</v>
      </c>
      <c r="S11">
        <v>1177</v>
      </c>
      <c r="T11">
        <v>333</v>
      </c>
      <c r="U11">
        <v>326</v>
      </c>
      <c r="V11">
        <v>101</v>
      </c>
      <c r="W11">
        <v>91</v>
      </c>
      <c r="X11">
        <v>1177</v>
      </c>
      <c r="Y11">
        <v>1255</v>
      </c>
      <c r="Z11">
        <v>1174</v>
      </c>
      <c r="AA11">
        <v>1250</v>
      </c>
      <c r="AB11">
        <v>1162</v>
      </c>
      <c r="AC11">
        <v>1239</v>
      </c>
      <c r="AD11">
        <v>4000852</v>
      </c>
      <c r="AE11">
        <v>4219205</v>
      </c>
      <c r="AF11">
        <v>3591181</v>
      </c>
      <c r="AG11">
        <v>3747679</v>
      </c>
      <c r="AH11">
        <v>3410</v>
      </c>
      <c r="AI11">
        <v>3612</v>
      </c>
      <c r="AJ11">
        <v>7826763</v>
      </c>
      <c r="AK11">
        <v>8289694</v>
      </c>
      <c r="AL11">
        <v>1094</v>
      </c>
      <c r="AM11">
        <v>1151</v>
      </c>
      <c r="AN11">
        <v>3924208</v>
      </c>
      <c r="AO11">
        <v>4152208</v>
      </c>
      <c r="AP11">
        <v>1079</v>
      </c>
      <c r="AQ11">
        <v>1155</v>
      </c>
      <c r="AR11">
        <v>161</v>
      </c>
      <c r="AS11">
        <v>169</v>
      </c>
      <c r="AT11">
        <v>94.586551517433307</v>
      </c>
      <c r="AU11">
        <v>94.557071963010102</v>
      </c>
      <c r="AV11">
        <v>1</v>
      </c>
      <c r="AW11" t="s">
        <v>792</v>
      </c>
      <c r="AX11">
        <v>29831920</v>
      </c>
      <c r="AY11" t="s">
        <v>945</v>
      </c>
      <c r="BA11">
        <v>32413</v>
      </c>
    </row>
    <row r="12" spans="1:58" x14ac:dyDescent="0.3">
      <c r="A12" s="5" t="s">
        <v>921</v>
      </c>
      <c r="D12">
        <v>1.82</v>
      </c>
      <c r="E12">
        <v>1.84</v>
      </c>
      <c r="I12" s="28">
        <v>1.84</v>
      </c>
      <c r="J12" s="76">
        <f t="shared" si="0"/>
        <v>1.5189774145959563</v>
      </c>
      <c r="K12" s="76">
        <v>1.52</v>
      </c>
      <c r="L12">
        <v>18392</v>
      </c>
      <c r="N12">
        <v>18023</v>
      </c>
      <c r="P12">
        <v>6618</v>
      </c>
      <c r="R12">
        <v>590</v>
      </c>
      <c r="T12">
        <v>191</v>
      </c>
      <c r="V12">
        <v>67</v>
      </c>
      <c r="X12">
        <v>752</v>
      </c>
      <c r="Z12">
        <v>749</v>
      </c>
      <c r="AB12">
        <v>738</v>
      </c>
      <c r="AD12">
        <v>2355838</v>
      </c>
      <c r="AF12">
        <v>2102125</v>
      </c>
      <c r="AH12">
        <v>1827</v>
      </c>
      <c r="AJ12">
        <v>4130087</v>
      </c>
      <c r="AL12">
        <v>710</v>
      </c>
      <c r="AN12">
        <v>2318043</v>
      </c>
      <c r="AP12">
        <v>575</v>
      </c>
      <c r="AR12">
        <v>89</v>
      </c>
      <c r="AT12">
        <v>93.994436732952295</v>
      </c>
      <c r="AU12">
        <v>94.114088629399404</v>
      </c>
      <c r="AV12">
        <v>1</v>
      </c>
      <c r="AW12" t="s">
        <v>909</v>
      </c>
      <c r="AX12">
        <v>29831921</v>
      </c>
      <c r="AY12" t="s">
        <v>945</v>
      </c>
      <c r="BA12">
        <v>18420</v>
      </c>
    </row>
    <row r="13" spans="1:58" x14ac:dyDescent="0.3">
      <c r="A13" s="4" t="s">
        <v>922</v>
      </c>
      <c r="D13">
        <v>1.56</v>
      </c>
      <c r="E13">
        <v>0</v>
      </c>
      <c r="I13" s="28">
        <v>1.59</v>
      </c>
      <c r="J13" s="76">
        <f t="shared" si="0"/>
        <v>-0.74410814207383091</v>
      </c>
      <c r="K13" s="30">
        <v>0</v>
      </c>
      <c r="L13">
        <v>30914</v>
      </c>
      <c r="M13">
        <v>30914</v>
      </c>
      <c r="N13">
        <v>30276</v>
      </c>
      <c r="O13">
        <v>30276</v>
      </c>
      <c r="P13">
        <v>11935</v>
      </c>
      <c r="Q13">
        <v>30276</v>
      </c>
      <c r="R13">
        <v>1032</v>
      </c>
      <c r="S13">
        <v>1118</v>
      </c>
      <c r="T13">
        <v>324</v>
      </c>
      <c r="U13">
        <v>320</v>
      </c>
      <c r="V13">
        <v>111</v>
      </c>
      <c r="W13">
        <v>105</v>
      </c>
      <c r="X13">
        <v>1143</v>
      </c>
      <c r="Y13">
        <v>1235</v>
      </c>
      <c r="Z13">
        <v>1138</v>
      </c>
      <c r="AA13">
        <v>1230</v>
      </c>
      <c r="AB13">
        <v>1110</v>
      </c>
      <c r="AC13">
        <v>1203</v>
      </c>
      <c r="AD13">
        <v>3839801</v>
      </c>
      <c r="AE13">
        <v>4106168</v>
      </c>
      <c r="AF13">
        <v>3404754</v>
      </c>
      <c r="AG13">
        <v>3598234</v>
      </c>
      <c r="AH13">
        <v>3218</v>
      </c>
      <c r="AI13">
        <v>3446</v>
      </c>
      <c r="AJ13">
        <v>7342584</v>
      </c>
      <c r="AK13">
        <v>7853364</v>
      </c>
      <c r="AL13">
        <v>1060</v>
      </c>
      <c r="AM13">
        <v>1140</v>
      </c>
      <c r="AN13">
        <v>3715127</v>
      </c>
      <c r="AO13">
        <v>3985640</v>
      </c>
      <c r="AP13">
        <v>1013</v>
      </c>
      <c r="AQ13">
        <v>1097</v>
      </c>
      <c r="AR13">
        <v>147</v>
      </c>
      <c r="AS13">
        <v>161</v>
      </c>
      <c r="AT13">
        <v>94.882313181015405</v>
      </c>
      <c r="AU13">
        <v>94.829521693821107</v>
      </c>
      <c r="AV13">
        <v>2</v>
      </c>
      <c r="AW13" t="s">
        <v>792</v>
      </c>
      <c r="AX13">
        <v>29831923</v>
      </c>
      <c r="AY13" t="s">
        <v>945</v>
      </c>
      <c r="BA13">
        <v>30942</v>
      </c>
    </row>
    <row r="14" spans="1:58" x14ac:dyDescent="0.3">
      <c r="A14" s="5" t="s">
        <v>923</v>
      </c>
      <c r="D14">
        <v>1.75</v>
      </c>
      <c r="E14">
        <v>2.2000000000000002</v>
      </c>
      <c r="I14" s="28">
        <v>1.78</v>
      </c>
      <c r="J14" s="76">
        <f t="shared" si="0"/>
        <v>2.6424290179396612</v>
      </c>
      <c r="K14" s="30">
        <v>2.64</v>
      </c>
      <c r="L14">
        <v>24287</v>
      </c>
      <c r="N14">
        <v>23757</v>
      </c>
      <c r="P14">
        <v>8912</v>
      </c>
      <c r="R14">
        <v>835</v>
      </c>
      <c r="T14">
        <v>255</v>
      </c>
      <c r="V14">
        <v>87</v>
      </c>
      <c r="X14">
        <v>957</v>
      </c>
      <c r="Z14">
        <v>955</v>
      </c>
      <c r="AB14">
        <v>948</v>
      </c>
      <c r="AD14">
        <v>3251822</v>
      </c>
      <c r="AF14">
        <v>2946684</v>
      </c>
      <c r="AH14">
        <v>2582</v>
      </c>
      <c r="AJ14">
        <v>5910580</v>
      </c>
      <c r="AL14">
        <v>900</v>
      </c>
      <c r="AN14">
        <v>3211349</v>
      </c>
      <c r="AP14">
        <v>818</v>
      </c>
      <c r="AR14">
        <v>117</v>
      </c>
      <c r="AT14">
        <v>93.839722722664106</v>
      </c>
      <c r="AU14">
        <v>93.693500242398301</v>
      </c>
      <c r="AV14">
        <v>2</v>
      </c>
      <c r="AW14" t="s">
        <v>909</v>
      </c>
      <c r="AX14">
        <v>29831924</v>
      </c>
      <c r="AY14" t="s">
        <v>945</v>
      </c>
      <c r="BA14">
        <v>24315</v>
      </c>
    </row>
    <row r="15" spans="1:58" x14ac:dyDescent="0.3">
      <c r="A15" s="4" t="s">
        <v>924</v>
      </c>
      <c r="D15">
        <v>1.52</v>
      </c>
      <c r="E15">
        <v>0</v>
      </c>
      <c r="I15" s="28">
        <v>1.55</v>
      </c>
      <c r="J15" s="76">
        <f t="shared" si="0"/>
        <v>-1.4176030273820162</v>
      </c>
      <c r="K15" s="30">
        <v>0</v>
      </c>
      <c r="L15">
        <v>31960</v>
      </c>
      <c r="M15">
        <v>31960</v>
      </c>
      <c r="N15">
        <v>31286</v>
      </c>
      <c r="O15">
        <v>31286</v>
      </c>
      <c r="P15">
        <v>12330</v>
      </c>
      <c r="Q15">
        <v>31286</v>
      </c>
      <c r="R15">
        <v>1109</v>
      </c>
      <c r="S15">
        <v>1209</v>
      </c>
      <c r="T15">
        <v>322</v>
      </c>
      <c r="U15">
        <v>319</v>
      </c>
      <c r="V15">
        <v>105</v>
      </c>
      <c r="W15">
        <v>102</v>
      </c>
      <c r="X15">
        <v>1172</v>
      </c>
      <c r="Y15">
        <v>1274</v>
      </c>
      <c r="Z15">
        <v>1169</v>
      </c>
      <c r="AA15">
        <v>1271</v>
      </c>
      <c r="AB15">
        <v>1145</v>
      </c>
      <c r="AC15">
        <v>1249</v>
      </c>
      <c r="AD15">
        <v>4020875</v>
      </c>
      <c r="AE15">
        <v>4328227</v>
      </c>
      <c r="AF15">
        <v>3541812</v>
      </c>
      <c r="AG15">
        <v>3783004</v>
      </c>
      <c r="AH15">
        <v>3430</v>
      </c>
      <c r="AI15">
        <v>3690</v>
      </c>
      <c r="AJ15">
        <v>7834904</v>
      </c>
      <c r="AK15">
        <v>8437634</v>
      </c>
      <c r="AL15">
        <v>1076</v>
      </c>
      <c r="AM15">
        <v>1157</v>
      </c>
      <c r="AN15">
        <v>3861054</v>
      </c>
      <c r="AO15">
        <v>4191666</v>
      </c>
      <c r="AP15">
        <v>1091</v>
      </c>
      <c r="AQ15">
        <v>1185</v>
      </c>
      <c r="AR15">
        <v>162</v>
      </c>
      <c r="AS15">
        <v>172</v>
      </c>
      <c r="AT15">
        <v>95.157581288434599</v>
      </c>
      <c r="AU15">
        <v>95.0546602556621</v>
      </c>
      <c r="AV15">
        <v>2</v>
      </c>
      <c r="AX15">
        <v>29831922</v>
      </c>
      <c r="AY15" t="s">
        <v>945</v>
      </c>
      <c r="AZ15">
        <v>38459</v>
      </c>
      <c r="BA15">
        <v>31988</v>
      </c>
    </row>
    <row r="16" spans="1:58" x14ac:dyDescent="0.3">
      <c r="A16" s="4" t="s">
        <v>925</v>
      </c>
      <c r="D16">
        <v>1.73</v>
      </c>
      <c r="E16">
        <v>2.61</v>
      </c>
      <c r="I16" s="28">
        <v>1.78</v>
      </c>
      <c r="J16" s="171">
        <f t="shared" si="0"/>
        <v>2.8938163158892198</v>
      </c>
      <c r="K16" s="30">
        <v>2.89</v>
      </c>
      <c r="L16">
        <v>25973</v>
      </c>
      <c r="N16">
        <v>25423</v>
      </c>
      <c r="P16">
        <v>9863</v>
      </c>
      <c r="R16">
        <v>864</v>
      </c>
      <c r="T16">
        <v>258</v>
      </c>
      <c r="V16">
        <v>102</v>
      </c>
      <c r="X16">
        <v>991</v>
      </c>
      <c r="Z16">
        <v>988</v>
      </c>
      <c r="AB16">
        <v>977</v>
      </c>
      <c r="AD16">
        <v>3387839</v>
      </c>
      <c r="AF16">
        <v>3018503</v>
      </c>
      <c r="AH16">
        <v>2683</v>
      </c>
      <c r="AJ16">
        <v>6178182</v>
      </c>
      <c r="AL16">
        <v>933</v>
      </c>
      <c r="AN16">
        <v>3294553</v>
      </c>
      <c r="AP16">
        <v>845</v>
      </c>
      <c r="AR16">
        <v>114</v>
      </c>
      <c r="AT16">
        <v>93.688668507889602</v>
      </c>
      <c r="AU16">
        <v>93.604159387344794</v>
      </c>
      <c r="AV16">
        <v>3</v>
      </c>
      <c r="AW16" t="s">
        <v>792</v>
      </c>
      <c r="AX16">
        <v>29831925</v>
      </c>
      <c r="AY16" t="s">
        <v>945</v>
      </c>
      <c r="BA16">
        <v>26001</v>
      </c>
    </row>
    <row r="17" spans="1:53" x14ac:dyDescent="0.3">
      <c r="A17" s="4" t="s">
        <v>926</v>
      </c>
      <c r="D17">
        <v>1.6</v>
      </c>
      <c r="E17">
        <v>0</v>
      </c>
      <c r="I17" s="28">
        <v>1.59</v>
      </c>
      <c r="J17" s="171">
        <f t="shared" si="0"/>
        <v>-0.24672474836740954</v>
      </c>
      <c r="K17" s="30">
        <v>0</v>
      </c>
      <c r="L17">
        <v>29763</v>
      </c>
      <c r="N17">
        <v>29124</v>
      </c>
      <c r="P17">
        <v>11422</v>
      </c>
      <c r="R17">
        <v>1009</v>
      </c>
      <c r="T17">
        <v>319</v>
      </c>
      <c r="V17">
        <v>86</v>
      </c>
      <c r="X17">
        <v>1098</v>
      </c>
      <c r="Z17">
        <v>1093</v>
      </c>
      <c r="AB17">
        <v>1071</v>
      </c>
      <c r="AD17">
        <v>3599904</v>
      </c>
      <c r="AF17">
        <v>3195315</v>
      </c>
      <c r="AH17">
        <v>3117</v>
      </c>
      <c r="AJ17">
        <v>7086152</v>
      </c>
      <c r="AL17">
        <v>1009</v>
      </c>
      <c r="AN17">
        <v>3508340</v>
      </c>
      <c r="AP17">
        <v>993</v>
      </c>
      <c r="AR17">
        <v>147</v>
      </c>
      <c r="AT17">
        <v>94.741775547298005</v>
      </c>
      <c r="AU17">
        <v>94.652755969993393</v>
      </c>
      <c r="AV17">
        <v>3</v>
      </c>
      <c r="AW17" t="s">
        <v>909</v>
      </c>
      <c r="AX17">
        <v>29831926</v>
      </c>
      <c r="AY17" t="s">
        <v>945</v>
      </c>
      <c r="BA17">
        <v>29791</v>
      </c>
    </row>
    <row r="18" spans="1:53" ht="15" thickBot="1" x14ac:dyDescent="0.35">
      <c r="A18" s="227" t="s">
        <v>811</v>
      </c>
      <c r="B18">
        <v>5.0000000000000001E-3</v>
      </c>
      <c r="C18">
        <v>0.312</v>
      </c>
      <c r="D18" s="2">
        <v>1.61</v>
      </c>
      <c r="E18" s="2">
        <v>0</v>
      </c>
      <c r="F18" s="2">
        <f>B18/C18*100</f>
        <v>1.6025641025641029</v>
      </c>
      <c r="G18" s="2">
        <f>F18+2.8138*(94-AT18)</f>
        <v>-1.522617496674959</v>
      </c>
      <c r="H18">
        <f>IF(G18&lt;0,0,G18)</f>
        <v>0</v>
      </c>
      <c r="I18" s="28">
        <v>1.64</v>
      </c>
      <c r="J18" s="76">
        <f t="shared" si="0"/>
        <v>-0.37037483163295826</v>
      </c>
      <c r="K18" s="30">
        <v>0</v>
      </c>
      <c r="L18" s="2">
        <v>31724</v>
      </c>
      <c r="M18" s="2">
        <v>31724</v>
      </c>
      <c r="N18" s="2">
        <v>31052</v>
      </c>
      <c r="O18" s="2">
        <v>31052</v>
      </c>
      <c r="P18" s="2">
        <v>12321</v>
      </c>
      <c r="Q18" s="2">
        <v>31052</v>
      </c>
      <c r="R18" s="2">
        <v>1081</v>
      </c>
      <c r="S18" s="2">
        <v>1164</v>
      </c>
      <c r="T18" s="2">
        <v>319</v>
      </c>
      <c r="U18" s="2">
        <v>312</v>
      </c>
      <c r="V18" s="2">
        <v>120</v>
      </c>
      <c r="W18" s="2">
        <v>111</v>
      </c>
      <c r="X18" s="2">
        <v>1169</v>
      </c>
      <c r="Y18" s="2">
        <v>1245</v>
      </c>
      <c r="Z18" s="2">
        <v>1165</v>
      </c>
      <c r="AA18" s="2">
        <v>1241</v>
      </c>
      <c r="AB18" s="2">
        <v>1135</v>
      </c>
      <c r="AC18" s="2">
        <v>1212</v>
      </c>
      <c r="AD18" s="2">
        <v>3990600</v>
      </c>
      <c r="AE18" s="2">
        <v>4242539</v>
      </c>
      <c r="AF18" s="2">
        <v>3570374</v>
      </c>
      <c r="AG18" s="2">
        <v>3732549</v>
      </c>
      <c r="AH18" s="2">
        <v>3347</v>
      </c>
      <c r="AI18" s="2">
        <v>3576</v>
      </c>
      <c r="AJ18" s="2">
        <v>7737269</v>
      </c>
      <c r="AK18" s="2">
        <v>8260535</v>
      </c>
      <c r="AL18" s="2">
        <v>1071</v>
      </c>
      <c r="AM18" s="2">
        <v>1128</v>
      </c>
      <c r="AN18" s="2">
        <v>3873202</v>
      </c>
      <c r="AO18" s="2">
        <v>4091392</v>
      </c>
      <c r="AP18" s="2">
        <v>1058</v>
      </c>
      <c r="AQ18" s="2">
        <v>1139</v>
      </c>
      <c r="AR18" s="2">
        <v>151</v>
      </c>
      <c r="AS18" s="2">
        <v>164</v>
      </c>
      <c r="AT18" s="2">
        <v>95.110662306929797</v>
      </c>
      <c r="AU18" s="2">
        <v>94.714469696365398</v>
      </c>
      <c r="AV18">
        <v>3</v>
      </c>
      <c r="AX18">
        <v>29721181</v>
      </c>
      <c r="AY18" t="s">
        <v>943</v>
      </c>
      <c r="AZ18">
        <v>30542</v>
      </c>
      <c r="BA18">
        <v>31752</v>
      </c>
    </row>
    <row r="19" spans="1:53" ht="15.6" thickTop="1" thickBot="1" x14ac:dyDescent="0.35">
      <c r="A19" s="228" t="s">
        <v>927</v>
      </c>
      <c r="B19" s="46"/>
      <c r="C19" s="46"/>
      <c r="D19" s="46">
        <v>1.86</v>
      </c>
      <c r="E19" s="46">
        <v>3.88</v>
      </c>
      <c r="F19" s="46"/>
      <c r="G19" s="46"/>
      <c r="H19" s="239"/>
      <c r="I19" s="246">
        <v>1.89</v>
      </c>
      <c r="J19" s="76">
        <f t="shared" si="0"/>
        <v>3.9888369784532811</v>
      </c>
      <c r="K19" s="247">
        <v>3.99</v>
      </c>
      <c r="L19" s="241">
        <v>18244</v>
      </c>
      <c r="M19" s="46"/>
      <c r="N19" s="46">
        <v>17869</v>
      </c>
      <c r="O19" s="46"/>
      <c r="P19" s="46">
        <v>6872</v>
      </c>
      <c r="Q19" s="46"/>
      <c r="R19" s="46">
        <v>643</v>
      </c>
      <c r="S19" s="46"/>
      <c r="T19" s="46">
        <v>208</v>
      </c>
      <c r="U19" s="46"/>
      <c r="V19" s="46">
        <v>83</v>
      </c>
      <c r="W19" s="46"/>
      <c r="X19" s="46">
        <v>830</v>
      </c>
      <c r="Y19" s="46"/>
      <c r="Z19" s="46">
        <v>825</v>
      </c>
      <c r="AA19" s="46"/>
      <c r="AB19" s="46">
        <v>810</v>
      </c>
      <c r="AC19" s="46"/>
      <c r="AD19" s="46">
        <v>2629586</v>
      </c>
      <c r="AE19" s="46"/>
      <c r="AF19" s="46">
        <v>2419470</v>
      </c>
      <c r="AG19" s="46"/>
      <c r="AH19" s="46">
        <v>1998</v>
      </c>
      <c r="AI19" s="46"/>
      <c r="AJ19" s="46">
        <v>4438428</v>
      </c>
      <c r="AK19" s="46"/>
      <c r="AL19" s="46">
        <v>774</v>
      </c>
      <c r="AM19" s="46"/>
      <c r="AN19" s="46">
        <v>2640922</v>
      </c>
      <c r="AO19" s="46"/>
      <c r="AP19" s="46">
        <v>627</v>
      </c>
      <c r="AQ19" s="46"/>
      <c r="AR19" s="46">
        <v>102</v>
      </c>
      <c r="AS19" s="46"/>
      <c r="AT19" s="46">
        <v>93.282495738012898</v>
      </c>
      <c r="AU19" s="46">
        <v>93.254091627530997</v>
      </c>
      <c r="AV19">
        <v>1</v>
      </c>
      <c r="AX19">
        <v>29831927</v>
      </c>
      <c r="AY19" t="s">
        <v>945</v>
      </c>
      <c r="AZ19">
        <v>16619</v>
      </c>
      <c r="BA19">
        <v>18272</v>
      </c>
    </row>
    <row r="20" spans="1:53" ht="15" thickTop="1" x14ac:dyDescent="0.3">
      <c r="A20" s="5" t="s">
        <v>928</v>
      </c>
      <c r="D20">
        <v>1.37</v>
      </c>
      <c r="E20">
        <v>0</v>
      </c>
      <c r="I20" s="28">
        <v>1.37</v>
      </c>
      <c r="J20" s="76">
        <f t="shared" si="0"/>
        <v>-2.0158733081383682</v>
      </c>
      <c r="K20" s="30">
        <v>0</v>
      </c>
      <c r="L20">
        <v>25033</v>
      </c>
      <c r="N20">
        <v>24602</v>
      </c>
      <c r="P20">
        <v>8435</v>
      </c>
      <c r="R20">
        <v>650</v>
      </c>
      <c r="T20">
        <v>198</v>
      </c>
      <c r="V20">
        <v>96</v>
      </c>
      <c r="X20">
        <v>862</v>
      </c>
      <c r="Z20">
        <v>859</v>
      </c>
      <c r="AB20">
        <v>833</v>
      </c>
      <c r="AD20">
        <v>2756611</v>
      </c>
      <c r="AF20">
        <v>2513092</v>
      </c>
      <c r="AH20">
        <v>2055</v>
      </c>
      <c r="AJ20">
        <v>4450834</v>
      </c>
      <c r="AL20">
        <v>797</v>
      </c>
      <c r="AN20">
        <v>2742299</v>
      </c>
      <c r="AP20">
        <v>638</v>
      </c>
      <c r="AR20">
        <v>83</v>
      </c>
      <c r="AT20">
        <v>95.276940413950996</v>
      </c>
      <c r="AU20">
        <v>95.203309868554399</v>
      </c>
      <c r="AV20">
        <v>2</v>
      </c>
      <c r="AW20" t="s">
        <v>792</v>
      </c>
      <c r="AX20">
        <v>29831928</v>
      </c>
      <c r="AY20" t="s">
        <v>945</v>
      </c>
      <c r="AZ20">
        <v>25441</v>
      </c>
      <c r="BA20">
        <v>25061</v>
      </c>
    </row>
    <row r="21" spans="1:53" x14ac:dyDescent="0.3">
      <c r="A21" s="5" t="s">
        <v>929</v>
      </c>
      <c r="D21">
        <v>1.57</v>
      </c>
      <c r="E21">
        <v>2.2999999999999998</v>
      </c>
      <c r="I21" s="28">
        <v>1.62</v>
      </c>
      <c r="J21" s="76">
        <f t="shared" si="0"/>
        <v>2.9581572173037127</v>
      </c>
      <c r="K21" s="30">
        <v>2.96</v>
      </c>
      <c r="L21">
        <v>26337</v>
      </c>
      <c r="N21">
        <v>25735</v>
      </c>
      <c r="P21">
        <v>9309</v>
      </c>
      <c r="R21">
        <v>819</v>
      </c>
      <c r="T21">
        <v>282</v>
      </c>
      <c r="V21">
        <v>91</v>
      </c>
      <c r="X21">
        <v>1054</v>
      </c>
      <c r="Z21">
        <v>1051</v>
      </c>
      <c r="AB21">
        <v>1045</v>
      </c>
      <c r="AD21">
        <v>3586343</v>
      </c>
      <c r="AF21">
        <v>3262655</v>
      </c>
      <c r="AH21">
        <v>2551</v>
      </c>
      <c r="AJ21">
        <v>5638101</v>
      </c>
      <c r="AL21">
        <v>1002</v>
      </c>
      <c r="AN21">
        <v>3539079</v>
      </c>
      <c r="AP21">
        <v>801</v>
      </c>
      <c r="AR21">
        <v>123</v>
      </c>
      <c r="AT21">
        <v>93.7423055404102</v>
      </c>
      <c r="AU21">
        <v>93.524430585932294</v>
      </c>
      <c r="AV21">
        <v>2</v>
      </c>
      <c r="AW21" t="s">
        <v>909</v>
      </c>
      <c r="AX21">
        <v>29831929</v>
      </c>
      <c r="AY21" t="s">
        <v>945</v>
      </c>
      <c r="BA21">
        <v>26365</v>
      </c>
    </row>
    <row r="22" spans="1:53" x14ac:dyDescent="0.3">
      <c r="A22" s="5" t="s">
        <v>930</v>
      </c>
      <c r="D22">
        <v>1.34</v>
      </c>
      <c r="E22">
        <v>0</v>
      </c>
      <c r="I22" s="28">
        <v>1.32</v>
      </c>
      <c r="J22" s="76">
        <f t="shared" si="0"/>
        <v>-2.8283850682212544</v>
      </c>
      <c r="K22" s="30">
        <v>0</v>
      </c>
      <c r="L22">
        <v>31729</v>
      </c>
      <c r="N22">
        <v>31141</v>
      </c>
      <c r="P22">
        <v>10362</v>
      </c>
      <c r="R22">
        <v>812</v>
      </c>
      <c r="T22">
        <v>259</v>
      </c>
      <c r="V22">
        <v>95</v>
      </c>
      <c r="X22">
        <v>990</v>
      </c>
      <c r="Z22">
        <v>986</v>
      </c>
      <c r="AB22">
        <v>967</v>
      </c>
      <c r="AD22">
        <v>3235969</v>
      </c>
      <c r="AF22">
        <v>2972175</v>
      </c>
      <c r="AH22">
        <v>2531</v>
      </c>
      <c r="AJ22">
        <v>5440616</v>
      </c>
      <c r="AL22">
        <v>941</v>
      </c>
      <c r="AN22">
        <v>3225467</v>
      </c>
      <c r="AP22">
        <v>796</v>
      </c>
      <c r="AR22">
        <v>100</v>
      </c>
      <c r="AT22">
        <v>95.919775359925595</v>
      </c>
      <c r="AU22">
        <v>95.474299903412202</v>
      </c>
      <c r="AV22">
        <v>3</v>
      </c>
      <c r="AW22" t="s">
        <v>792</v>
      </c>
      <c r="AX22">
        <v>29831930</v>
      </c>
      <c r="AY22" t="s">
        <v>945</v>
      </c>
      <c r="AZ22">
        <v>27361</v>
      </c>
      <c r="BA22">
        <v>31757</v>
      </c>
    </row>
    <row r="23" spans="1:53" ht="15" thickBot="1" x14ac:dyDescent="0.35">
      <c r="A23" s="4" t="s">
        <v>931</v>
      </c>
      <c r="D23">
        <v>1.5</v>
      </c>
      <c r="E23">
        <v>3.21</v>
      </c>
      <c r="I23" s="28">
        <v>1.49</v>
      </c>
      <c r="J23" s="76">
        <f t="shared" si="0"/>
        <v>3.1117229072888666</v>
      </c>
      <c r="K23" s="30">
        <v>3.11</v>
      </c>
      <c r="L23">
        <v>26564</v>
      </c>
      <c r="N23">
        <v>26028</v>
      </c>
      <c r="P23">
        <v>9423</v>
      </c>
      <c r="R23">
        <v>797</v>
      </c>
      <c r="T23">
        <v>280</v>
      </c>
      <c r="V23">
        <v>108</v>
      </c>
      <c r="X23">
        <v>1071</v>
      </c>
      <c r="Z23">
        <v>1069</v>
      </c>
      <c r="AB23">
        <v>1054</v>
      </c>
      <c r="AD23">
        <v>3609369</v>
      </c>
      <c r="AF23">
        <v>3370948</v>
      </c>
      <c r="AH23">
        <v>2503</v>
      </c>
      <c r="AJ23">
        <v>5644982</v>
      </c>
      <c r="AL23">
        <v>1010</v>
      </c>
      <c r="AN23">
        <v>3659403</v>
      </c>
      <c r="AP23">
        <v>784</v>
      </c>
      <c r="AR23">
        <v>122</v>
      </c>
      <c r="AT23">
        <v>93.393401881370494</v>
      </c>
      <c r="AU23">
        <v>93.423653810758097</v>
      </c>
      <c r="AV23">
        <v>3</v>
      </c>
      <c r="AW23" t="s">
        <v>909</v>
      </c>
      <c r="AX23">
        <v>29831931</v>
      </c>
      <c r="AY23" t="s">
        <v>945</v>
      </c>
      <c r="BA23">
        <v>26592</v>
      </c>
    </row>
    <row r="24" spans="1:53" ht="15.6" thickTop="1" thickBot="1" x14ac:dyDescent="0.35">
      <c r="A24" s="228" t="s">
        <v>932</v>
      </c>
      <c r="B24" s="46"/>
      <c r="C24" s="46"/>
      <c r="D24" s="46">
        <v>1.72</v>
      </c>
      <c r="E24" s="46">
        <v>1.19</v>
      </c>
      <c r="F24" s="46"/>
      <c r="G24" s="46"/>
      <c r="H24" s="239"/>
      <c r="I24" s="246">
        <v>1.75</v>
      </c>
      <c r="J24" s="76">
        <f t="shared" si="0"/>
        <v>1.534562105999784</v>
      </c>
      <c r="K24" s="247">
        <v>1.53</v>
      </c>
      <c r="L24" s="241">
        <v>21022</v>
      </c>
      <c r="M24" s="46"/>
      <c r="N24" s="46">
        <v>20538</v>
      </c>
      <c r="O24" s="46"/>
      <c r="P24" s="46">
        <v>7873</v>
      </c>
      <c r="Q24" s="46"/>
      <c r="R24" s="46">
        <v>700</v>
      </c>
      <c r="S24" s="46"/>
      <c r="T24" s="46">
        <v>221</v>
      </c>
      <c r="U24" s="46"/>
      <c r="V24" s="46">
        <v>86</v>
      </c>
      <c r="W24" s="46"/>
      <c r="X24" s="46">
        <v>877</v>
      </c>
      <c r="Y24" s="46"/>
      <c r="Z24" s="46">
        <v>874</v>
      </c>
      <c r="AA24" s="46"/>
      <c r="AB24" s="46">
        <v>864</v>
      </c>
      <c r="AC24" s="46"/>
      <c r="AD24" s="46">
        <v>2891666</v>
      </c>
      <c r="AE24" s="46"/>
      <c r="AF24" s="46">
        <v>2591081</v>
      </c>
      <c r="AG24" s="46"/>
      <c r="AH24" s="46">
        <v>2176</v>
      </c>
      <c r="AI24" s="46"/>
      <c r="AJ24" s="46">
        <v>4980819</v>
      </c>
      <c r="AK24" s="46"/>
      <c r="AL24" s="46">
        <v>820</v>
      </c>
      <c r="AM24" s="46"/>
      <c r="AN24" s="46">
        <v>2838135</v>
      </c>
      <c r="AO24" s="46"/>
      <c r="AP24" s="46">
        <v>685</v>
      </c>
      <c r="AQ24" s="46"/>
      <c r="AR24" s="46">
        <v>92</v>
      </c>
      <c r="AS24" s="46"/>
      <c r="AT24" s="46">
        <v>94.190014781996496</v>
      </c>
      <c r="AU24" s="46">
        <v>94.076564750160003</v>
      </c>
      <c r="AV24">
        <v>1</v>
      </c>
      <c r="AX24">
        <v>29831932</v>
      </c>
      <c r="AY24" t="s">
        <v>945</v>
      </c>
      <c r="AZ24">
        <v>20516</v>
      </c>
      <c r="BA24">
        <v>21050</v>
      </c>
    </row>
    <row r="25" spans="1:53" ht="15.6" thickTop="1" thickBot="1" x14ac:dyDescent="0.35">
      <c r="A25" s="228" t="s">
        <v>933</v>
      </c>
      <c r="B25" s="46"/>
      <c r="C25" s="46"/>
      <c r="D25" s="46">
        <v>1.84</v>
      </c>
      <c r="E25" s="46">
        <v>1.32</v>
      </c>
      <c r="F25" s="46"/>
      <c r="G25" s="46"/>
      <c r="H25" s="239"/>
      <c r="I25" s="246">
        <v>1.82</v>
      </c>
      <c r="J25" s="76">
        <f t="shared" si="0"/>
        <v>1.7280048017823875</v>
      </c>
      <c r="K25" s="247">
        <v>1.73</v>
      </c>
      <c r="L25" s="241">
        <v>20899</v>
      </c>
      <c r="M25" s="46"/>
      <c r="N25" s="46">
        <v>20449</v>
      </c>
      <c r="O25" s="46"/>
      <c r="P25" s="46">
        <v>7944</v>
      </c>
      <c r="Q25" s="46"/>
      <c r="R25" s="46">
        <v>739</v>
      </c>
      <c r="S25" s="46"/>
      <c r="T25" s="46">
        <v>222</v>
      </c>
      <c r="U25" s="46"/>
      <c r="V25" s="46">
        <v>84</v>
      </c>
      <c r="W25" s="46"/>
      <c r="X25" s="46">
        <v>919</v>
      </c>
      <c r="Y25" s="46"/>
      <c r="Z25" s="46">
        <v>915</v>
      </c>
      <c r="AA25" s="46"/>
      <c r="AB25" s="46">
        <v>901</v>
      </c>
      <c r="AC25" s="46"/>
      <c r="AD25" s="46">
        <v>2904139</v>
      </c>
      <c r="AE25" s="46"/>
      <c r="AF25" s="46">
        <v>2586014</v>
      </c>
      <c r="AG25" s="46"/>
      <c r="AH25" s="46">
        <v>2286</v>
      </c>
      <c r="AI25" s="46"/>
      <c r="AJ25" s="46">
        <v>5148135</v>
      </c>
      <c r="AK25" s="46"/>
      <c r="AL25" s="46">
        <v>858</v>
      </c>
      <c r="AM25" s="46"/>
      <c r="AN25" s="46">
        <v>2862885</v>
      </c>
      <c r="AO25" s="46"/>
      <c r="AP25" s="46">
        <v>723</v>
      </c>
      <c r="AQ25" s="46"/>
      <c r="AR25" s="46">
        <v>89</v>
      </c>
      <c r="AS25" s="46"/>
      <c r="AT25" s="46">
        <v>94.183552273523901</v>
      </c>
      <c r="AU25" s="46">
        <v>94.032694291782505</v>
      </c>
      <c r="AV25">
        <v>2</v>
      </c>
      <c r="AX25">
        <v>29831933</v>
      </c>
      <c r="AY25" t="s">
        <v>945</v>
      </c>
      <c r="AZ25">
        <v>20684</v>
      </c>
      <c r="BA25">
        <v>20927</v>
      </c>
    </row>
    <row r="26" spans="1:53" ht="15.6" thickTop="1" thickBot="1" x14ac:dyDescent="0.35">
      <c r="A26" s="228" t="s">
        <v>967</v>
      </c>
      <c r="B26" s="46"/>
      <c r="C26" s="46"/>
      <c r="D26" s="46"/>
      <c r="E26" s="46"/>
      <c r="F26" s="46"/>
      <c r="G26" s="46"/>
      <c r="H26" s="239"/>
      <c r="I26" s="246">
        <v>1.86</v>
      </c>
      <c r="J26" s="76">
        <f t="shared" si="0"/>
        <v>0.92152949388501848</v>
      </c>
      <c r="K26" s="247">
        <v>0.92</v>
      </c>
      <c r="L26" s="241">
        <v>22194</v>
      </c>
      <c r="M26" s="46"/>
      <c r="N26" s="46">
        <v>21706</v>
      </c>
      <c r="O26" s="46"/>
      <c r="P26" s="46">
        <v>8480</v>
      </c>
      <c r="Q26" s="46"/>
      <c r="R26" s="46">
        <v>801</v>
      </c>
      <c r="S26" s="46"/>
      <c r="T26" s="46">
        <v>228</v>
      </c>
      <c r="U26" s="46"/>
      <c r="V26" s="46">
        <v>73</v>
      </c>
      <c r="W26" s="46"/>
      <c r="X26" s="46">
        <v>946</v>
      </c>
      <c r="Y26" s="46"/>
      <c r="Z26" s="46">
        <v>940</v>
      </c>
      <c r="AA26" s="46"/>
      <c r="AB26" s="46">
        <v>926</v>
      </c>
      <c r="AC26" s="46"/>
      <c r="AD26" s="46">
        <v>3035971</v>
      </c>
      <c r="AE26" s="46"/>
      <c r="AF26" s="46">
        <v>2715361</v>
      </c>
      <c r="AG26" s="46"/>
      <c r="AH26" s="46">
        <v>2467</v>
      </c>
      <c r="AI26" s="46"/>
      <c r="AJ26" s="46">
        <v>5581575</v>
      </c>
      <c r="AK26" s="46"/>
      <c r="AL26" s="46">
        <v>882</v>
      </c>
      <c r="AM26" s="46"/>
      <c r="AN26" s="46">
        <v>3002035</v>
      </c>
      <c r="AO26" s="46"/>
      <c r="AP26" s="46">
        <v>785</v>
      </c>
      <c r="AQ26" s="46"/>
      <c r="AR26" s="46">
        <v>109</v>
      </c>
      <c r="AS26" s="46"/>
      <c r="AT26" s="46"/>
      <c r="AU26" s="46">
        <v>94.333524239858903</v>
      </c>
      <c r="AX26">
        <v>29831934</v>
      </c>
      <c r="AY26" t="s">
        <v>972</v>
      </c>
      <c r="AZ26">
        <v>22872</v>
      </c>
      <c r="BA26">
        <v>22222</v>
      </c>
    </row>
    <row r="27" spans="1:53" ht="15.6" thickTop="1" thickBot="1" x14ac:dyDescent="0.35">
      <c r="A27" s="228" t="s">
        <v>969</v>
      </c>
      <c r="B27" s="46"/>
      <c r="C27" s="46"/>
      <c r="D27" s="46"/>
      <c r="E27" s="46"/>
      <c r="F27" s="46"/>
      <c r="G27" s="46"/>
      <c r="H27" s="239"/>
      <c r="I27" s="246">
        <v>1.51</v>
      </c>
      <c r="J27" s="76">
        <f t="shared" si="0"/>
        <v>-2.8514862324290791</v>
      </c>
      <c r="K27" s="247">
        <v>0</v>
      </c>
      <c r="L27" s="241">
        <v>39139</v>
      </c>
      <c r="M27" s="46"/>
      <c r="N27" s="46">
        <v>38279</v>
      </c>
      <c r="O27" s="46"/>
      <c r="P27" s="46">
        <v>14009</v>
      </c>
      <c r="Q27" s="46"/>
      <c r="R27" s="46">
        <v>1262</v>
      </c>
      <c r="S27" s="46"/>
      <c r="T27" s="46">
        <v>393</v>
      </c>
      <c r="U27" s="46"/>
      <c r="V27" s="46">
        <v>118</v>
      </c>
      <c r="W27" s="46"/>
      <c r="X27" s="46">
        <v>1278</v>
      </c>
      <c r="Y27" s="46"/>
      <c r="Z27" s="46">
        <v>1272</v>
      </c>
      <c r="AA27" s="46"/>
      <c r="AB27" s="46">
        <v>1231</v>
      </c>
      <c r="AC27" s="46"/>
      <c r="AD27" s="46">
        <v>4239303</v>
      </c>
      <c r="AE27" s="46"/>
      <c r="AF27" s="46">
        <v>3792953</v>
      </c>
      <c r="AG27" s="46"/>
      <c r="AH27" s="46">
        <v>3904</v>
      </c>
      <c r="AI27" s="46"/>
      <c r="AJ27" s="46">
        <v>8716423</v>
      </c>
      <c r="AK27" s="46"/>
      <c r="AL27" s="46">
        <v>1155</v>
      </c>
      <c r="AM27" s="46"/>
      <c r="AN27" s="46">
        <v>4121563</v>
      </c>
      <c r="AO27" s="46"/>
      <c r="AP27" s="46">
        <v>1239</v>
      </c>
      <c r="AQ27" s="46"/>
      <c r="AR27" s="46">
        <v>177</v>
      </c>
      <c r="AS27" s="46"/>
      <c r="AT27" s="46"/>
      <c r="AU27" s="46">
        <v>95.550034200166706</v>
      </c>
      <c r="AV27" s="231">
        <v>1</v>
      </c>
      <c r="AW27" t="s">
        <v>792</v>
      </c>
      <c r="AX27">
        <v>29831935</v>
      </c>
      <c r="AY27" t="s">
        <v>971</v>
      </c>
      <c r="AZ27">
        <v>1096</v>
      </c>
      <c r="BA27">
        <v>39167</v>
      </c>
    </row>
    <row r="28" spans="1:53" ht="15.6" thickTop="1" thickBot="1" x14ac:dyDescent="0.35">
      <c r="A28" s="228" t="s">
        <v>968</v>
      </c>
      <c r="B28" s="46"/>
      <c r="C28" s="46"/>
      <c r="D28" s="46"/>
      <c r="E28" s="46"/>
      <c r="F28" s="46"/>
      <c r="G28" s="46"/>
      <c r="H28" s="239"/>
      <c r="I28" s="246">
        <v>1.51</v>
      </c>
      <c r="J28" s="76">
        <f t="shared" si="0"/>
        <v>-1.9039046756619571</v>
      </c>
      <c r="K28" s="247">
        <v>0</v>
      </c>
      <c r="L28" s="241">
        <v>39139</v>
      </c>
      <c r="M28" s="46"/>
      <c r="N28" s="46">
        <v>38279</v>
      </c>
      <c r="O28" s="46"/>
      <c r="P28" s="46">
        <v>14009</v>
      </c>
      <c r="Q28" s="46"/>
      <c r="R28" s="46">
        <v>1262</v>
      </c>
      <c r="S28" s="46"/>
      <c r="T28" s="46">
        <v>393</v>
      </c>
      <c r="U28" s="46"/>
      <c r="V28" s="46">
        <v>118</v>
      </c>
      <c r="W28" s="46"/>
      <c r="X28" s="46">
        <v>1278</v>
      </c>
      <c r="Y28" s="46"/>
      <c r="Z28" s="46">
        <v>1272</v>
      </c>
      <c r="AA28" s="46"/>
      <c r="AB28" s="46">
        <v>1231</v>
      </c>
      <c r="AC28" s="46"/>
      <c r="AD28" s="46">
        <v>4239309</v>
      </c>
      <c r="AE28" s="46"/>
      <c r="AF28" s="46">
        <v>3789933</v>
      </c>
      <c r="AG28" s="46"/>
      <c r="AH28" s="46">
        <v>3904</v>
      </c>
      <c r="AI28" s="46"/>
      <c r="AJ28" s="46">
        <v>8716423</v>
      </c>
      <c r="AK28" s="46"/>
      <c r="AL28" s="46">
        <v>1157</v>
      </c>
      <c r="AM28" s="46"/>
      <c r="AN28" s="46">
        <v>4122699</v>
      </c>
      <c r="AO28" s="46"/>
      <c r="AP28" s="46">
        <v>1239</v>
      </c>
      <c r="AQ28" s="46"/>
      <c r="AR28" s="46">
        <v>177</v>
      </c>
      <c r="AS28" s="46"/>
      <c r="AT28" s="46"/>
      <c r="AU28" s="46">
        <v>95.213271972301499</v>
      </c>
      <c r="AV28">
        <v>1</v>
      </c>
      <c r="AW28" t="s">
        <v>909</v>
      </c>
      <c r="AX28">
        <v>29831937</v>
      </c>
      <c r="AY28" t="s">
        <v>971</v>
      </c>
      <c r="BA28">
        <v>39167</v>
      </c>
    </row>
    <row r="29" spans="1:53" ht="15" thickTop="1" x14ac:dyDescent="0.3">
      <c r="A29" s="5" t="s">
        <v>934</v>
      </c>
      <c r="D29">
        <v>1.5</v>
      </c>
      <c r="E29">
        <v>0</v>
      </c>
      <c r="I29" s="248">
        <v>1.49</v>
      </c>
      <c r="J29" s="76">
        <f t="shared" si="0"/>
        <v>-1.6096500308726027</v>
      </c>
      <c r="K29" s="249">
        <v>0</v>
      </c>
      <c r="L29" s="230">
        <v>37054</v>
      </c>
      <c r="M29" s="230"/>
      <c r="N29" s="230">
        <v>36260</v>
      </c>
      <c r="O29" s="230"/>
      <c r="P29" s="230">
        <v>13572</v>
      </c>
      <c r="Q29" s="230"/>
      <c r="R29" s="230">
        <v>1153</v>
      </c>
      <c r="S29" s="230"/>
      <c r="T29" s="230">
        <v>363</v>
      </c>
      <c r="U29" s="230"/>
      <c r="V29" s="230">
        <v>103</v>
      </c>
      <c r="W29" s="230"/>
      <c r="X29" s="230">
        <v>1231</v>
      </c>
      <c r="Y29" s="230"/>
      <c r="Z29" s="230">
        <v>1227</v>
      </c>
      <c r="AA29" s="230"/>
      <c r="AB29" s="230">
        <v>1203</v>
      </c>
      <c r="AC29" s="230"/>
      <c r="AD29" s="230">
        <v>4160754</v>
      </c>
      <c r="AE29" s="230"/>
      <c r="AF29" s="230">
        <v>3682206</v>
      </c>
      <c r="AG29" s="230"/>
      <c r="AH29" s="230">
        <v>3575</v>
      </c>
      <c r="AI29" s="230"/>
      <c r="AJ29" s="230">
        <v>8088588</v>
      </c>
      <c r="AK29" s="230"/>
      <c r="AL29" s="230">
        <v>1127</v>
      </c>
      <c r="AM29" s="230"/>
      <c r="AN29" s="230">
        <v>4030411</v>
      </c>
      <c r="AO29" s="230"/>
      <c r="AP29" s="230">
        <v>1131</v>
      </c>
      <c r="AQ29" s="230"/>
      <c r="AR29" s="230">
        <v>168</v>
      </c>
      <c r="AS29" s="230"/>
      <c r="AT29">
        <v>94.955770835370998</v>
      </c>
      <c r="AU29">
        <v>95.101588610019405</v>
      </c>
      <c r="AV29">
        <v>1</v>
      </c>
      <c r="AX29">
        <v>29831938</v>
      </c>
      <c r="AY29" t="s">
        <v>945</v>
      </c>
      <c r="AZ29">
        <v>37816</v>
      </c>
      <c r="BA29">
        <v>37082</v>
      </c>
    </row>
    <row r="30" spans="1:53" x14ac:dyDescent="0.3">
      <c r="A30" s="5" t="s">
        <v>935</v>
      </c>
      <c r="D30">
        <v>1.53</v>
      </c>
      <c r="E30">
        <v>0</v>
      </c>
      <c r="I30" s="248">
        <v>1.52</v>
      </c>
      <c r="J30" s="76">
        <f t="shared" si="0"/>
        <v>-1.0931503442577624</v>
      </c>
      <c r="K30" s="249">
        <v>0</v>
      </c>
      <c r="L30" s="230">
        <v>40240</v>
      </c>
      <c r="M30" s="230"/>
      <c r="N30" s="230">
        <v>39319</v>
      </c>
      <c r="O30" s="230"/>
      <c r="P30" s="230">
        <v>14787</v>
      </c>
      <c r="Q30" s="230"/>
      <c r="R30" s="230">
        <v>1243</v>
      </c>
      <c r="S30" s="230"/>
      <c r="T30" s="230">
        <v>373</v>
      </c>
      <c r="U30" s="230"/>
      <c r="V30" s="230">
        <v>98</v>
      </c>
      <c r="W30" s="230"/>
      <c r="X30" s="230">
        <v>1265</v>
      </c>
      <c r="Y30" s="230"/>
      <c r="Z30" s="230">
        <v>1259</v>
      </c>
      <c r="AA30" s="230"/>
      <c r="AB30" s="230">
        <v>1241</v>
      </c>
      <c r="AC30" s="230"/>
      <c r="AD30" s="230">
        <v>4275058</v>
      </c>
      <c r="AE30" s="230"/>
      <c r="AF30" s="230">
        <v>3788970</v>
      </c>
      <c r="AG30" s="230"/>
      <c r="AH30" s="230">
        <v>3828</v>
      </c>
      <c r="AI30" s="230"/>
      <c r="AJ30" s="230">
        <v>8733114</v>
      </c>
      <c r="AK30" s="230"/>
      <c r="AL30" s="230">
        <v>1174</v>
      </c>
      <c r="AM30" s="230"/>
      <c r="AN30" s="230">
        <v>4149066</v>
      </c>
      <c r="AO30" s="230"/>
      <c r="AP30" s="230">
        <v>1219</v>
      </c>
      <c r="AQ30" s="230"/>
      <c r="AR30" s="230">
        <v>186</v>
      </c>
      <c r="AS30" s="230"/>
      <c r="AT30">
        <v>95.236271895098696</v>
      </c>
      <c r="AU30">
        <v>94.928690860849301</v>
      </c>
      <c r="AV30">
        <v>2</v>
      </c>
      <c r="AX30">
        <v>29831939</v>
      </c>
      <c r="AY30" t="s">
        <v>945</v>
      </c>
      <c r="AZ30">
        <v>42571</v>
      </c>
      <c r="BA30">
        <v>40268</v>
      </c>
    </row>
    <row r="31" spans="1:53" ht="15" thickBot="1" x14ac:dyDescent="0.35">
      <c r="A31" s="5" t="s">
        <v>936</v>
      </c>
      <c r="D31">
        <v>1.53</v>
      </c>
      <c r="E31">
        <v>0</v>
      </c>
      <c r="I31" s="28">
        <v>1.51</v>
      </c>
      <c r="J31" s="76">
        <f t="shared" si="0"/>
        <v>-2.15085345263196</v>
      </c>
      <c r="K31" s="30">
        <v>0</v>
      </c>
      <c r="L31" s="230">
        <v>42071</v>
      </c>
      <c r="M31" s="230"/>
      <c r="N31" s="230">
        <v>41100</v>
      </c>
      <c r="O31" s="230"/>
      <c r="P31" s="230">
        <v>15527</v>
      </c>
      <c r="Q31" s="230"/>
      <c r="R31" s="230">
        <v>1278</v>
      </c>
      <c r="S31" s="230"/>
      <c r="T31" s="230">
        <v>389</v>
      </c>
      <c r="U31" s="230"/>
      <c r="V31" s="230">
        <v>120</v>
      </c>
      <c r="W31" s="230"/>
      <c r="X31" s="230">
        <v>1301</v>
      </c>
      <c r="Y31" s="230"/>
      <c r="Z31" s="230">
        <v>1296</v>
      </c>
      <c r="AA31" s="230"/>
      <c r="AB31" s="230">
        <v>1267</v>
      </c>
      <c r="AC31" s="230"/>
      <c r="AD31" s="230">
        <v>4473180</v>
      </c>
      <c r="AE31" s="230"/>
      <c r="AF31" s="230">
        <v>4013670</v>
      </c>
      <c r="AG31" s="230"/>
      <c r="AH31" s="230">
        <v>3969</v>
      </c>
      <c r="AI31" s="230"/>
      <c r="AJ31" s="230">
        <v>9153315</v>
      </c>
      <c r="AK31" s="230"/>
      <c r="AL31" s="230">
        <v>1208</v>
      </c>
      <c r="AM31" s="230"/>
      <c r="AN31" s="230">
        <v>4348467</v>
      </c>
      <c r="AO31" s="230"/>
      <c r="AP31" s="230">
        <v>1258</v>
      </c>
      <c r="AQ31" s="230"/>
      <c r="AR31" s="230">
        <v>176</v>
      </c>
      <c r="AS31" s="230"/>
      <c r="AT31">
        <v>95.121669239320894</v>
      </c>
      <c r="AU31">
        <v>95.301035415677006</v>
      </c>
      <c r="AV31">
        <v>3</v>
      </c>
      <c r="AX31">
        <v>29831940</v>
      </c>
      <c r="AY31" t="s">
        <v>945</v>
      </c>
      <c r="AZ31">
        <v>45860</v>
      </c>
      <c r="BA31">
        <v>42099</v>
      </c>
    </row>
    <row r="32" spans="1:53" ht="15.6" thickTop="1" thickBot="1" x14ac:dyDescent="0.35">
      <c r="A32" s="228" t="s">
        <v>937</v>
      </c>
      <c r="B32" s="46"/>
      <c r="C32" s="46"/>
      <c r="D32" s="46">
        <v>0.86</v>
      </c>
      <c r="E32" s="46">
        <v>6.07</v>
      </c>
      <c r="F32" s="46"/>
      <c r="G32" s="46"/>
      <c r="H32" s="239"/>
      <c r="I32" s="246">
        <v>0.87</v>
      </c>
      <c r="J32" s="76">
        <f t="shared" si="0"/>
        <v>6.4553251995145438</v>
      </c>
      <c r="K32" s="247">
        <v>6.46</v>
      </c>
      <c r="L32" s="241">
        <v>14820</v>
      </c>
      <c r="M32" s="46"/>
      <c r="N32" s="46">
        <v>14667</v>
      </c>
      <c r="O32" s="46"/>
      <c r="P32" s="46">
        <v>5103</v>
      </c>
      <c r="Q32" s="46"/>
      <c r="R32" s="46">
        <v>214</v>
      </c>
      <c r="S32" s="46"/>
      <c r="T32" s="46">
        <v>78</v>
      </c>
      <c r="U32" s="46"/>
      <c r="V32" s="46">
        <v>63</v>
      </c>
      <c r="W32" s="46"/>
      <c r="X32" s="46">
        <v>421</v>
      </c>
      <c r="Y32" s="46"/>
      <c r="Z32" s="46">
        <v>421</v>
      </c>
      <c r="AA32" s="46"/>
      <c r="AB32" s="46">
        <v>412</v>
      </c>
      <c r="AC32" s="46"/>
      <c r="AD32" s="46">
        <v>1098760</v>
      </c>
      <c r="AE32" s="46"/>
      <c r="AF32" s="46">
        <v>1053912</v>
      </c>
      <c r="AG32" s="46"/>
      <c r="AH32" s="46">
        <v>707</v>
      </c>
      <c r="AI32" s="46"/>
      <c r="AJ32" s="46">
        <v>1473580</v>
      </c>
      <c r="AK32" s="46"/>
      <c r="AL32" s="46">
        <v>401</v>
      </c>
      <c r="AM32" s="46"/>
      <c r="AN32" s="46">
        <v>1181708</v>
      </c>
      <c r="AO32" s="46"/>
      <c r="AP32" s="46">
        <v>213</v>
      </c>
      <c r="AQ32" s="46"/>
      <c r="AR32" s="46">
        <v>34</v>
      </c>
      <c r="AS32" s="46"/>
      <c r="AT32" s="46">
        <v>92.146716780657599</v>
      </c>
      <c r="AU32" s="46">
        <v>92.015024095701705</v>
      </c>
      <c r="AV32">
        <v>1</v>
      </c>
      <c r="AX32">
        <v>29831941</v>
      </c>
      <c r="AY32" t="s">
        <v>945</v>
      </c>
      <c r="AZ32">
        <v>7011</v>
      </c>
      <c r="BA32">
        <v>14848</v>
      </c>
    </row>
    <row r="33" spans="1:53" ht="15.6" thickTop="1" thickBot="1" x14ac:dyDescent="0.35">
      <c r="A33" s="228" t="s">
        <v>938</v>
      </c>
      <c r="B33" s="46"/>
      <c r="C33" s="46"/>
      <c r="D33" s="46">
        <v>0.9</v>
      </c>
      <c r="E33" s="46">
        <v>6.53</v>
      </c>
      <c r="F33" s="46"/>
      <c r="G33" s="46"/>
      <c r="H33" s="239"/>
      <c r="I33" s="246">
        <v>0.93</v>
      </c>
      <c r="J33" s="76">
        <f t="shared" si="0"/>
        <v>7.4977960721715808</v>
      </c>
      <c r="K33" s="247">
        <v>6.56</v>
      </c>
      <c r="L33" s="241">
        <v>17898</v>
      </c>
      <c r="M33" s="46"/>
      <c r="N33" s="46">
        <v>17636</v>
      </c>
      <c r="O33" s="46"/>
      <c r="P33" s="46">
        <v>6153</v>
      </c>
      <c r="Q33" s="46"/>
      <c r="R33" s="46">
        <v>302</v>
      </c>
      <c r="S33" s="46"/>
      <c r="T33" s="46">
        <v>98</v>
      </c>
      <c r="U33" s="46"/>
      <c r="V33" s="46">
        <v>81</v>
      </c>
      <c r="W33" s="46"/>
      <c r="X33" s="46">
        <v>542</v>
      </c>
      <c r="Y33" s="46"/>
      <c r="Z33" s="46">
        <v>539</v>
      </c>
      <c r="AA33" s="46"/>
      <c r="AB33" s="46">
        <v>528</v>
      </c>
      <c r="AC33" s="46"/>
      <c r="AD33" s="46">
        <v>1476236</v>
      </c>
      <c r="AE33" s="46"/>
      <c r="AF33" s="46">
        <v>1430345</v>
      </c>
      <c r="AG33" s="46"/>
      <c r="AH33" s="46">
        <v>985</v>
      </c>
      <c r="AI33" s="46"/>
      <c r="AJ33" s="46">
        <v>2033139</v>
      </c>
      <c r="AK33" s="46"/>
      <c r="AL33" s="46">
        <v>520</v>
      </c>
      <c r="AM33" s="46"/>
      <c r="AN33" s="46">
        <v>1571831</v>
      </c>
      <c r="AO33" s="46"/>
      <c r="AP33" s="46">
        <v>296</v>
      </c>
      <c r="AQ33" s="46"/>
      <c r="AR33" s="46">
        <v>46</v>
      </c>
      <c r="AS33" s="46"/>
      <c r="AT33" s="46">
        <v>91.558285858199596</v>
      </c>
      <c r="AU33" s="46">
        <v>91.665862509001499</v>
      </c>
      <c r="AV33">
        <v>2</v>
      </c>
      <c r="AX33">
        <v>29831942</v>
      </c>
      <c r="AY33" t="s">
        <v>945</v>
      </c>
      <c r="AZ33">
        <v>9172</v>
      </c>
      <c r="BA33">
        <v>17926</v>
      </c>
    </row>
    <row r="34" spans="1:53" ht="15.6" thickTop="1" thickBot="1" x14ac:dyDescent="0.35">
      <c r="A34" s="228" t="s">
        <v>939</v>
      </c>
      <c r="B34" s="46"/>
      <c r="C34" s="46"/>
      <c r="D34" s="46">
        <v>0.99</v>
      </c>
      <c r="E34" s="46">
        <v>6.62</v>
      </c>
      <c r="F34" s="46"/>
      <c r="G34" s="46"/>
      <c r="H34" s="239"/>
      <c r="I34" s="246">
        <v>1.01</v>
      </c>
      <c r="J34" s="76">
        <f t="shared" si="0"/>
        <v>4.409403283346979</v>
      </c>
      <c r="K34" s="247">
        <v>4.41</v>
      </c>
      <c r="L34" s="241">
        <v>18536</v>
      </c>
      <c r="M34" s="46"/>
      <c r="N34" s="46">
        <v>18356</v>
      </c>
      <c r="O34" s="46"/>
      <c r="P34" s="46">
        <v>6569</v>
      </c>
      <c r="Q34" s="46"/>
      <c r="R34" s="46">
        <v>323</v>
      </c>
      <c r="S34" s="46"/>
      <c r="T34" s="46">
        <v>128</v>
      </c>
      <c r="U34" s="46"/>
      <c r="V34" s="46">
        <v>70</v>
      </c>
      <c r="W34" s="46"/>
      <c r="X34" s="46">
        <v>563</v>
      </c>
      <c r="Y34" s="46"/>
      <c r="Z34" s="46">
        <v>562</v>
      </c>
      <c r="AA34" s="46"/>
      <c r="AB34" s="46">
        <v>560</v>
      </c>
      <c r="AC34" s="46"/>
      <c r="AD34" s="46">
        <v>1520568</v>
      </c>
      <c r="AE34" s="46"/>
      <c r="AF34" s="46">
        <v>1419917</v>
      </c>
      <c r="AG34" s="46"/>
      <c r="AH34" s="46">
        <v>1056</v>
      </c>
      <c r="AI34" s="46"/>
      <c r="AJ34" s="46">
        <v>2213214</v>
      </c>
      <c r="AK34" s="46"/>
      <c r="AL34" s="46">
        <v>540</v>
      </c>
      <c r="AM34" s="46"/>
      <c r="AN34" s="46">
        <v>1586317</v>
      </c>
      <c r="AO34" s="46"/>
      <c r="AP34" s="46">
        <v>321</v>
      </c>
      <c r="AQ34" s="46"/>
      <c r="AR34" s="46">
        <v>47</v>
      </c>
      <c r="AS34" s="46"/>
      <c r="AT34" s="46">
        <v>91.718501932134998</v>
      </c>
      <c r="AU34" s="46">
        <v>92.791881696159294</v>
      </c>
      <c r="AV34">
        <v>3</v>
      </c>
      <c r="AX34">
        <v>29831943</v>
      </c>
      <c r="AY34" t="s">
        <v>945</v>
      </c>
      <c r="AZ34">
        <v>10179</v>
      </c>
      <c r="BA34">
        <v>18564</v>
      </c>
    </row>
    <row r="35" spans="1:53" ht="15" thickTop="1" x14ac:dyDescent="0.3">
      <c r="A35" s="229" t="s">
        <v>940</v>
      </c>
      <c r="B35" s="47"/>
      <c r="C35" s="47"/>
      <c r="D35" s="230">
        <v>16.16</v>
      </c>
      <c r="E35" s="230">
        <v>17.59</v>
      </c>
      <c r="F35" s="47"/>
      <c r="G35" s="47"/>
      <c r="H35" s="240"/>
      <c r="I35" s="250"/>
      <c r="J35" s="251"/>
      <c r="K35" s="252"/>
      <c r="L35" s="242">
        <v>1109</v>
      </c>
      <c r="M35" s="47"/>
      <c r="N35" s="47">
        <v>1044</v>
      </c>
      <c r="O35" s="47"/>
      <c r="P35" s="47">
        <v>1027</v>
      </c>
      <c r="Q35" s="47"/>
      <c r="R35" s="47">
        <v>233</v>
      </c>
      <c r="S35" s="47"/>
      <c r="T35" s="47">
        <v>67</v>
      </c>
      <c r="U35" s="47"/>
      <c r="V35" s="47">
        <v>30</v>
      </c>
      <c r="W35" s="47"/>
      <c r="X35" s="47">
        <v>359</v>
      </c>
      <c r="Y35" s="47"/>
      <c r="Z35" s="47">
        <v>352</v>
      </c>
      <c r="AA35" s="47"/>
      <c r="AB35" s="47">
        <v>350</v>
      </c>
      <c r="AC35" s="47"/>
      <c r="AD35" s="47">
        <v>996770</v>
      </c>
      <c r="AE35" s="47"/>
      <c r="AF35" s="47">
        <v>976884</v>
      </c>
      <c r="AG35" s="47"/>
      <c r="AH35" s="47">
        <v>669</v>
      </c>
      <c r="AI35" s="47"/>
      <c r="AJ35" s="47">
        <v>1472748</v>
      </c>
      <c r="AK35" s="47"/>
      <c r="AL35" s="47">
        <v>347</v>
      </c>
      <c r="AM35" s="47"/>
      <c r="AN35" s="47">
        <v>1096889</v>
      </c>
      <c r="AO35" s="47"/>
      <c r="AP35" s="47">
        <v>209</v>
      </c>
      <c r="AQ35" s="47"/>
      <c r="AR35" s="47">
        <v>43</v>
      </c>
      <c r="AS35" s="47"/>
      <c r="AT35" s="47">
        <v>93.491555778894195</v>
      </c>
      <c r="AU35" s="47"/>
    </row>
    <row r="36" spans="1:53" x14ac:dyDescent="0.3">
      <c r="A36" s="5" t="s">
        <v>970</v>
      </c>
      <c r="D36" s="47">
        <v>15.95</v>
      </c>
      <c r="E36" s="47">
        <v>17.309999999999999</v>
      </c>
    </row>
    <row r="37" spans="1:53" x14ac:dyDescent="0.3">
      <c r="A37" t="s">
        <v>936</v>
      </c>
      <c r="D37">
        <v>1.37</v>
      </c>
      <c r="E37">
        <v>0</v>
      </c>
      <c r="G37" t="s">
        <v>941</v>
      </c>
    </row>
  </sheetData>
  <mergeCells count="1">
    <mergeCell ref="I1:K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E2A50-C71C-4DD1-A2F0-C7CC0415C86C}">
  <dimension ref="A1:M11"/>
  <sheetViews>
    <sheetView workbookViewId="0">
      <selection activeCell="I11" sqref="I11"/>
    </sheetView>
  </sheetViews>
  <sheetFormatPr defaultRowHeight="14.4" x14ac:dyDescent="0.3"/>
  <cols>
    <col min="1" max="1" width="18.33203125" bestFit="1" customWidth="1"/>
    <col min="2" max="2" width="8.33203125" bestFit="1" customWidth="1"/>
    <col min="3" max="3" width="23.33203125" bestFit="1" customWidth="1"/>
    <col min="4" max="5" width="9.5546875" bestFit="1" customWidth="1"/>
    <col min="6" max="6" width="12.44140625" bestFit="1" customWidth="1"/>
    <col min="7" max="7" width="16.5546875" bestFit="1" customWidth="1"/>
    <col min="8" max="8" width="11.109375" bestFit="1" customWidth="1"/>
    <col min="9" max="9" width="15.109375" bestFit="1" customWidth="1"/>
    <col min="10" max="10" width="17.109375" hidden="1" customWidth="1"/>
    <col min="11" max="11" width="0" hidden="1" customWidth="1"/>
    <col min="13" max="13" width="11" bestFit="1" customWidth="1"/>
  </cols>
  <sheetData>
    <row r="1" spans="1:13" x14ac:dyDescent="0.3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</row>
    <row r="2" spans="1:13" x14ac:dyDescent="0.3">
      <c r="A2" t="s">
        <v>15</v>
      </c>
      <c r="B2">
        <f>COUNTIF('Per Tool Deadlines'!$B:$B,"="&amp;'Analysis Steps'!A2)</f>
        <v>12</v>
      </c>
      <c r="C2">
        <f>MATCH('Analysis Steps'!A2,Gantt!$B:$B,0)</f>
        <v>13</v>
      </c>
      <c r="D2" s="9">
        <f ca="1">INDEX(Gantt!$E$1:$AO$1,MATCH(1,INDIRECT("Gantt!$E$"&amp;'Analysis Steps'!C2&amp;":$AO$"&amp;'Analysis Steps'!C2),0))</f>
        <v>44256</v>
      </c>
      <c r="E2" s="9">
        <f ca="1">INDEX(Gantt!$E$1:$AO$1,1,SUMPRODUCT(MAX(COLUMN(INDIRECT("Gantt!$E$"&amp;C2&amp;":AO"&amp;C2))*(1=INDIRECT("Gantt!$E$"&amp;C2&amp;":AO"&amp;C2)))-3))</f>
        <v>44440</v>
      </c>
      <c r="F2" s="10">
        <f ca="1">E2-D2</f>
        <v>184</v>
      </c>
      <c r="G2" s="10">
        <f ca="1">E2-TODAY()</f>
        <v>-416</v>
      </c>
      <c r="H2" s="11">
        <f ca="1">G2/F2</f>
        <v>-2.2608695652173911</v>
      </c>
      <c r="I2" s="35">
        <f ca="1">F2/B2</f>
        <v>15.333333333333334</v>
      </c>
      <c r="J2" t="s">
        <v>48</v>
      </c>
      <c r="K2">
        <v>1</v>
      </c>
      <c r="M2">
        <v>134217728</v>
      </c>
    </row>
    <row r="3" spans="1:13" x14ac:dyDescent="0.3">
      <c r="A3" t="s">
        <v>16</v>
      </c>
      <c r="B3">
        <f>COUNTIF('Per Tool Deadlines'!$B:$B,"="&amp;'Analysis Steps'!A3)</f>
        <v>10</v>
      </c>
      <c r="C3">
        <f>MATCH('Analysis Steps'!A3,Gantt!$B:$B,0)</f>
        <v>14</v>
      </c>
      <c r="D3" s="9">
        <f ca="1">INDEX(Gantt!$E$1:$AO$1,MATCH(1,INDIRECT("Gantt!$E$"&amp;'Analysis Steps'!C3&amp;":$AO$"&amp;'Analysis Steps'!C3),0))</f>
        <v>44317</v>
      </c>
      <c r="E3" s="9">
        <f ca="1">INDEX(Gantt!$E$1:$AO$1,1,SUMPRODUCT(MAX(COLUMN(INDIRECT("Gantt!$E$"&amp;C3&amp;":AO"&amp;C3))*(1=INDIRECT("Gantt!$E$"&amp;C3&amp;":AO"&amp;C3)))-3))</f>
        <v>44501</v>
      </c>
      <c r="F3" s="10">
        <f t="shared" ref="F3:F11" ca="1" si="0">E3-D3</f>
        <v>184</v>
      </c>
      <c r="G3" s="10">
        <f t="shared" ref="G3:G11" ca="1" si="1">E3-TODAY()</f>
        <v>-355</v>
      </c>
      <c r="H3" s="11">
        <f t="shared" ref="H3:H11" ca="1" si="2">G3/F3</f>
        <v>-1.9293478260869565</v>
      </c>
      <c r="I3" s="35">
        <f t="shared" ref="I3:I11" ca="1" si="3">F3/B3</f>
        <v>18.399999999999999</v>
      </c>
      <c r="J3" t="s">
        <v>49</v>
      </c>
      <c r="K3">
        <v>-1</v>
      </c>
      <c r="M3">
        <v>1073741824</v>
      </c>
    </row>
    <row r="4" spans="1:13" x14ac:dyDescent="0.3">
      <c r="A4" t="s">
        <v>17</v>
      </c>
      <c r="B4">
        <f>COUNTIF('Per Tool Deadlines'!$B:$B,"="&amp;'Analysis Steps'!A4)</f>
        <v>3</v>
      </c>
      <c r="C4">
        <f>MATCH('Analysis Steps'!A4,Gantt!$B:$B,0)</f>
        <v>15</v>
      </c>
      <c r="D4" s="9">
        <f ca="1">INDEX(Gantt!$E$1:$AO$1,MATCH(1,INDIRECT("Gantt!$E$"&amp;'Analysis Steps'!C4&amp;":$AO$"&amp;'Analysis Steps'!C4),0))</f>
        <v>44378</v>
      </c>
      <c r="E4" s="9">
        <f ca="1">INDEX(Gantt!$E$1:$AO$1,1,SUMPRODUCT(MAX(COLUMN(INDIRECT("Gantt!$E$"&amp;C4&amp;":AO"&amp;C4))*(1=INDIRECT("Gantt!$E$"&amp;C4&amp;":AO"&amp;C4)))-3))</f>
        <v>44562</v>
      </c>
      <c r="F4" s="10">
        <f t="shared" ca="1" si="0"/>
        <v>184</v>
      </c>
      <c r="G4" s="10">
        <f t="shared" ca="1" si="1"/>
        <v>-294</v>
      </c>
      <c r="H4" s="11">
        <f t="shared" ca="1" si="2"/>
        <v>-1.5978260869565217</v>
      </c>
      <c r="I4" s="35">
        <f t="shared" ca="1" si="3"/>
        <v>61.333333333333336</v>
      </c>
      <c r="J4" t="s">
        <v>50</v>
      </c>
      <c r="K4">
        <v>0</v>
      </c>
      <c r="M4">
        <v>67108864</v>
      </c>
    </row>
    <row r="5" spans="1:13" x14ac:dyDescent="0.3">
      <c r="A5" t="s">
        <v>18</v>
      </c>
      <c r="B5">
        <f>COUNTIF('Per Tool Deadlines'!$B:$B,"="&amp;'Analysis Steps'!A5)</f>
        <v>4</v>
      </c>
      <c r="C5">
        <f>MATCH('Analysis Steps'!A5,Gantt!$B:$B,0)</f>
        <v>16</v>
      </c>
      <c r="D5" s="9">
        <f ca="1">INDEX(Gantt!$E$1:$AO$1,MATCH(1,INDIRECT("Gantt!$E$"&amp;'Analysis Steps'!C5&amp;":$AO$"&amp;'Analysis Steps'!C5),0))</f>
        <v>44440</v>
      </c>
      <c r="E5" s="9">
        <f ca="1">INDEX(Gantt!$E$1:$AO$1,1,SUMPRODUCT(MAX(COLUMN(INDIRECT("Gantt!$E$"&amp;C5&amp;":AO"&amp;C5))*(1=INDIRECT("Gantt!$E$"&amp;C5&amp;":AO"&amp;C5)))-3))</f>
        <v>44621</v>
      </c>
      <c r="F5" s="10">
        <f t="shared" ca="1" si="0"/>
        <v>181</v>
      </c>
      <c r="G5" s="10">
        <f t="shared" ca="1" si="1"/>
        <v>-235</v>
      </c>
      <c r="H5" s="11">
        <f t="shared" ca="1" si="2"/>
        <v>-1.298342541436464</v>
      </c>
      <c r="I5" s="35">
        <f t="shared" ca="1" si="3"/>
        <v>45.25</v>
      </c>
      <c r="J5" t="s">
        <v>51</v>
      </c>
    </row>
    <row r="6" spans="1:13" x14ac:dyDescent="0.3">
      <c r="A6" t="s">
        <v>19</v>
      </c>
      <c r="B6">
        <f>COUNTIF('Per Tool Deadlines'!$B:$B,"="&amp;'Analysis Steps'!A6)</f>
        <v>6</v>
      </c>
      <c r="C6">
        <f>MATCH('Analysis Steps'!A6,Gantt!$B:$B,0)</f>
        <v>17</v>
      </c>
      <c r="D6" s="9">
        <f ca="1">INDEX(Gantt!$E$1:$AO$1,MATCH(1,INDIRECT("Gantt!$E$"&amp;'Analysis Steps'!C6&amp;":$AO$"&amp;'Analysis Steps'!C6),0))</f>
        <v>44621</v>
      </c>
      <c r="E6" s="9">
        <f ca="1">INDEX(Gantt!$E$1:$AO$1,1,SUMPRODUCT(MAX(COLUMN(INDIRECT("Gantt!$E$"&amp;C6&amp;":AO"&amp;C6))*(1=INDIRECT("Gantt!$E$"&amp;C6&amp;":AO"&amp;C6)))-3))</f>
        <v>44682</v>
      </c>
      <c r="F6" s="10">
        <f t="shared" ca="1" si="0"/>
        <v>61</v>
      </c>
      <c r="G6" s="10">
        <f t="shared" ca="1" si="1"/>
        <v>-174</v>
      </c>
      <c r="H6" s="11">
        <f t="shared" ca="1" si="2"/>
        <v>-2.8524590163934427</v>
      </c>
      <c r="I6" s="35">
        <f t="shared" ca="1" si="3"/>
        <v>10.166666666666666</v>
      </c>
      <c r="J6" t="s">
        <v>52</v>
      </c>
    </row>
    <row r="7" spans="1:13" x14ac:dyDescent="0.3">
      <c r="A7" t="s">
        <v>20</v>
      </c>
      <c r="B7">
        <f>COUNTIF('Per Tool Deadlines'!$B:$B,"="&amp;'Analysis Steps'!A7)</f>
        <v>5</v>
      </c>
      <c r="C7">
        <f>MATCH('Analysis Steps'!A7,Gantt!$B:$B,0)</f>
        <v>18</v>
      </c>
      <c r="D7" s="9">
        <f ca="1">INDEX(Gantt!$E$1:$AO$1,MATCH(1,INDIRECT("Gantt!$E$"&amp;'Analysis Steps'!C7&amp;":$AO$"&amp;'Analysis Steps'!C7),0))</f>
        <v>44562</v>
      </c>
      <c r="E7" s="9">
        <f ca="1">INDEX(Gantt!$E$1:$AO$1,1,SUMPRODUCT(MAX(COLUMN(INDIRECT("Gantt!$E$"&amp;C7&amp;":AO"&amp;C7))*(1=INDIRECT("Gantt!$E$"&amp;C7&amp;":AO"&amp;C7)))-3))</f>
        <v>44743</v>
      </c>
      <c r="F7" s="10">
        <f t="shared" ca="1" si="0"/>
        <v>181</v>
      </c>
      <c r="G7" s="10">
        <f t="shared" ca="1" si="1"/>
        <v>-113</v>
      </c>
      <c r="H7" s="11">
        <f t="shared" ca="1" si="2"/>
        <v>-0.62430939226519333</v>
      </c>
      <c r="I7" s="35">
        <f t="shared" ca="1" si="3"/>
        <v>36.200000000000003</v>
      </c>
    </row>
    <row r="8" spans="1:13" x14ac:dyDescent="0.3">
      <c r="A8" t="s">
        <v>21</v>
      </c>
      <c r="B8">
        <f>COUNTIF('Per Tool Deadlines'!$B:$B,"="&amp;'Analysis Steps'!A8)</f>
        <v>4</v>
      </c>
      <c r="C8">
        <f>MATCH('Analysis Steps'!A8,Gantt!$B:$B,0)</f>
        <v>19</v>
      </c>
      <c r="D8" s="9">
        <f ca="1">INDEX(Gantt!$E$1:$AO$1,MATCH(1,INDIRECT("Gantt!$E$"&amp;'Analysis Steps'!C8&amp;":$AO$"&amp;'Analysis Steps'!C8),0))</f>
        <v>44652</v>
      </c>
      <c r="E8" s="9">
        <f ca="1">INDEX(Gantt!$E$1:$AO$1,1,SUMPRODUCT(MAX(COLUMN(INDIRECT("Gantt!$E$"&amp;C8&amp;":AO"&amp;C8))*(1=INDIRECT("Gantt!$E$"&amp;C8&amp;":AO"&amp;C8)))-3))</f>
        <v>44805</v>
      </c>
      <c r="F8" s="10">
        <f t="shared" ca="1" si="0"/>
        <v>153</v>
      </c>
      <c r="G8" s="10">
        <f t="shared" ca="1" si="1"/>
        <v>-51</v>
      </c>
      <c r="H8" s="11">
        <f t="shared" ca="1" si="2"/>
        <v>-0.33333333333333331</v>
      </c>
      <c r="I8" s="35">
        <f ca="1">F8/B8</f>
        <v>38.25</v>
      </c>
    </row>
    <row r="9" spans="1:13" x14ac:dyDescent="0.3">
      <c r="A9" t="s">
        <v>26</v>
      </c>
      <c r="B9">
        <f>COUNTIF('Per Tool Deadlines'!$B:$B,"="&amp;'Analysis Steps'!A9)</f>
        <v>19</v>
      </c>
      <c r="C9">
        <f>MATCH('Analysis Steps'!A9,Gantt!$B:$B,0)</f>
        <v>25</v>
      </c>
      <c r="D9" s="9">
        <f ca="1">INDEX(Gantt!$E$1:$AO$1,MATCH(1,INDIRECT("Gantt!$E$"&amp;'Analysis Steps'!C9&amp;":$AO$"&amp;'Analysis Steps'!C9),0))</f>
        <v>44593</v>
      </c>
      <c r="E9" s="9">
        <f ca="1">INDEX(Gantt!$E$1:$AO$1,1,SUMPRODUCT(MAX(COLUMN(INDIRECT("Gantt!$E$"&amp;C9&amp;":AO"&amp;C9))*(1=INDIRECT("Gantt!$E$"&amp;C9&amp;":AO"&amp;C9)))-3))</f>
        <v>44743</v>
      </c>
      <c r="F9" s="10">
        <f t="shared" ca="1" si="0"/>
        <v>150</v>
      </c>
      <c r="G9" s="10">
        <f t="shared" ca="1" si="1"/>
        <v>-113</v>
      </c>
      <c r="H9" s="11">
        <f t="shared" ca="1" si="2"/>
        <v>-0.7533333333333333</v>
      </c>
      <c r="I9" s="35">
        <f t="shared" ca="1" si="3"/>
        <v>7.8947368421052628</v>
      </c>
    </row>
    <row r="10" spans="1:13" x14ac:dyDescent="0.3">
      <c r="A10" t="s">
        <v>27</v>
      </c>
      <c r="B10">
        <f>COUNTIF('Per Tool Deadlines'!$B:$B,"="&amp;'Analysis Steps'!A10)</f>
        <v>13</v>
      </c>
      <c r="C10">
        <f>MATCH('Analysis Steps'!A10,Gantt!$B:$B,0)</f>
        <v>26</v>
      </c>
      <c r="D10" s="9">
        <f ca="1">INDEX(Gantt!$E$1:$AO$1,MATCH(1,INDIRECT("Gantt!$E$"&amp;'Analysis Steps'!C10&amp;":$AO$"&amp;'Analysis Steps'!C10),0))</f>
        <v>44652</v>
      </c>
      <c r="E10" s="9">
        <f ca="1">INDEX(Gantt!$E$1:$AO$1,1,SUMPRODUCT(MAX(COLUMN(INDIRECT("Gantt!$E$"&amp;C10&amp;":AO"&amp;C10))*(1=INDIRECT("Gantt!$E$"&amp;C10&amp;":AO"&amp;C10)))-3))</f>
        <v>44805</v>
      </c>
      <c r="F10" s="10">
        <f t="shared" ca="1" si="0"/>
        <v>153</v>
      </c>
      <c r="G10" s="10">
        <f t="shared" ca="1" si="1"/>
        <v>-51</v>
      </c>
      <c r="H10" s="11">
        <f t="shared" ca="1" si="2"/>
        <v>-0.33333333333333331</v>
      </c>
      <c r="I10" s="35">
        <f t="shared" ca="1" si="3"/>
        <v>11.76923076923077</v>
      </c>
    </row>
    <row r="11" spans="1:13" x14ac:dyDescent="0.3">
      <c r="A11" t="s">
        <v>34</v>
      </c>
      <c r="B11">
        <f>COUNTIF('Per Tool Deadlines'!$B:$B,"="&amp;'Analysis Steps'!A11)</f>
        <v>0</v>
      </c>
      <c r="C11">
        <f>MATCH('Analysis Steps'!A11,Gantt!$B:$B,0)</f>
        <v>33</v>
      </c>
      <c r="D11" s="9">
        <f ca="1">INDEX(Gantt!$E$1:$AO$1,MATCH(1,INDIRECT("Gantt!$E$"&amp;'Analysis Steps'!C11&amp;":$AO$"&amp;'Analysis Steps'!C11),0))</f>
        <v>44774</v>
      </c>
      <c r="E11" s="9">
        <f ca="1">INDEX(Gantt!$E$1:$AO$1,1,SUMPRODUCT(MAX(COLUMN(INDIRECT("Gantt!$E$"&amp;C11&amp;":AO"&amp;C11))*(1=INDIRECT("Gantt!$E$"&amp;C11&amp;":AO"&amp;C11)))-3))</f>
        <v>44866</v>
      </c>
      <c r="F11" s="10">
        <f t="shared" ca="1" si="0"/>
        <v>92</v>
      </c>
      <c r="G11" s="10">
        <f t="shared" ca="1" si="1"/>
        <v>10</v>
      </c>
      <c r="H11" s="11">
        <f t="shared" ca="1" si="2"/>
        <v>0.10869565217391304</v>
      </c>
      <c r="I11" s="35" t="e">
        <f ca="1">F11/B11</f>
        <v>#DIV/0!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5721-7CA9-417B-BA5C-1EA407530525}">
  <dimension ref="A1"/>
  <sheetViews>
    <sheetView workbookViewId="0">
      <selection activeCell="H31" sqref="H3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CDA48-05F6-4848-892E-81287A8B8099}">
  <dimension ref="A1"/>
  <sheetViews>
    <sheetView workbookViewId="0">
      <selection activeCell="P11" sqref="P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4213-6BCF-49D4-8C51-2B0350144B03}">
  <dimension ref="A1:N22"/>
  <sheetViews>
    <sheetView workbookViewId="0">
      <selection activeCell="H34" sqref="H34"/>
    </sheetView>
  </sheetViews>
  <sheetFormatPr defaultRowHeight="14.4" x14ac:dyDescent="0.3"/>
  <cols>
    <col min="1" max="1" width="23" bestFit="1" customWidth="1"/>
    <col min="2" max="2" width="12.33203125" bestFit="1" customWidth="1"/>
    <col min="3" max="3" width="11.88671875" customWidth="1"/>
    <col min="4" max="4" width="9.88671875" bestFit="1" customWidth="1"/>
    <col min="10" max="10" width="9.88671875" bestFit="1" customWidth="1"/>
    <col min="13" max="13" width="10" bestFit="1" customWidth="1"/>
  </cols>
  <sheetData>
    <row r="1" spans="1:14" x14ac:dyDescent="0.3">
      <c r="A1" t="s">
        <v>143</v>
      </c>
      <c r="B1" t="s">
        <v>144</v>
      </c>
      <c r="C1" t="s">
        <v>145</v>
      </c>
      <c r="D1" t="s">
        <v>53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  <c r="J1" t="s">
        <v>151</v>
      </c>
      <c r="K1" t="s">
        <v>152</v>
      </c>
      <c r="L1" t="s">
        <v>150</v>
      </c>
      <c r="M1" t="s">
        <v>153</v>
      </c>
      <c r="N1" t="s">
        <v>154</v>
      </c>
    </row>
    <row r="2" spans="1:14" x14ac:dyDescent="0.3">
      <c r="A2" s="12" t="s">
        <v>155</v>
      </c>
      <c r="B2" t="s">
        <v>156</v>
      </c>
      <c r="C2" t="s">
        <v>157</v>
      </c>
      <c r="D2" t="s">
        <v>158</v>
      </c>
      <c r="E2" t="s">
        <v>159</v>
      </c>
      <c r="F2" t="s">
        <v>48</v>
      </c>
      <c r="G2">
        <v>960479</v>
      </c>
      <c r="H2">
        <v>12</v>
      </c>
      <c r="I2" s="67">
        <v>6.2100000000000002E-2</v>
      </c>
      <c r="J2">
        <f>ROUNDUP(I2*H2,0)</f>
        <v>1</v>
      </c>
      <c r="K2">
        <v>60</v>
      </c>
      <c r="L2" s="67">
        <v>3.4599999999999999E-2</v>
      </c>
      <c r="M2">
        <f>L2*K2</f>
        <v>2.0760000000000001</v>
      </c>
      <c r="N2" s="68">
        <v>4.5000000000000005E-2</v>
      </c>
    </row>
    <row r="3" spans="1:14" x14ac:dyDescent="0.3">
      <c r="B3" t="s">
        <v>160</v>
      </c>
      <c r="C3" t="s">
        <v>155</v>
      </c>
      <c r="D3" t="s">
        <v>161</v>
      </c>
      <c r="E3">
        <v>1.1100000000000001</v>
      </c>
      <c r="F3" t="s">
        <v>48</v>
      </c>
      <c r="G3">
        <v>960491</v>
      </c>
      <c r="H3">
        <v>2</v>
      </c>
      <c r="I3" s="67">
        <v>4.1000000000000002E-2</v>
      </c>
      <c r="J3">
        <f>ROUNDUP(I3*H3,0)</f>
        <v>1</v>
      </c>
      <c r="K3">
        <v>10</v>
      </c>
      <c r="L3" s="67">
        <v>8.8000000000000005E-3</v>
      </c>
      <c r="M3">
        <f>L3*K3</f>
        <v>8.8000000000000009E-2</v>
      </c>
      <c r="N3" s="68">
        <v>7.0601851851851847E-4</v>
      </c>
    </row>
    <row r="4" spans="1:14" x14ac:dyDescent="0.3">
      <c r="A4" s="12" t="s">
        <v>74</v>
      </c>
      <c r="B4" t="s">
        <v>162</v>
      </c>
      <c r="C4" t="s">
        <v>74</v>
      </c>
      <c r="D4" t="s">
        <v>74</v>
      </c>
      <c r="E4" t="s">
        <v>163</v>
      </c>
      <c r="F4" t="s">
        <v>48</v>
      </c>
    </row>
    <row r="5" spans="1:14" x14ac:dyDescent="0.3">
      <c r="A5" s="12" t="s">
        <v>75</v>
      </c>
    </row>
    <row r="6" spans="1:14" x14ac:dyDescent="0.3">
      <c r="A6" s="12" t="s">
        <v>76</v>
      </c>
    </row>
    <row r="7" spans="1:14" x14ac:dyDescent="0.3">
      <c r="A7" s="12" t="s">
        <v>78</v>
      </c>
    </row>
    <row r="8" spans="1:14" x14ac:dyDescent="0.3">
      <c r="A8" s="12" t="s">
        <v>80</v>
      </c>
    </row>
    <row r="9" spans="1:14" x14ac:dyDescent="0.3">
      <c r="A9" s="12" t="s">
        <v>81</v>
      </c>
    </row>
    <row r="10" spans="1:14" x14ac:dyDescent="0.3">
      <c r="A10" s="12" t="s">
        <v>82</v>
      </c>
    </row>
    <row r="11" spans="1:14" x14ac:dyDescent="0.3">
      <c r="A11" s="12" t="s">
        <v>83</v>
      </c>
    </row>
    <row r="12" spans="1:14" x14ac:dyDescent="0.3">
      <c r="A12" s="12" t="s">
        <v>85</v>
      </c>
    </row>
    <row r="13" spans="1:14" x14ac:dyDescent="0.3">
      <c r="A13" s="12" t="s">
        <v>86</v>
      </c>
    </row>
    <row r="14" spans="1:14" x14ac:dyDescent="0.3">
      <c r="A14" s="12" t="s">
        <v>87</v>
      </c>
    </row>
    <row r="15" spans="1:14" x14ac:dyDescent="0.3">
      <c r="A15" s="12" t="s">
        <v>88</v>
      </c>
    </row>
    <row r="16" spans="1:14" x14ac:dyDescent="0.3">
      <c r="A16" s="12" t="s">
        <v>89</v>
      </c>
    </row>
    <row r="17" spans="1:1" x14ac:dyDescent="0.3">
      <c r="A17" s="12" t="s">
        <v>90</v>
      </c>
    </row>
    <row r="18" spans="1:1" x14ac:dyDescent="0.3">
      <c r="A18" s="12" t="s">
        <v>91</v>
      </c>
    </row>
    <row r="19" spans="1:1" x14ac:dyDescent="0.3">
      <c r="A19" s="12" t="s">
        <v>92</v>
      </c>
    </row>
    <row r="20" spans="1:1" x14ac:dyDescent="0.3">
      <c r="A20" s="12" t="s">
        <v>93</v>
      </c>
    </row>
    <row r="21" spans="1:1" x14ac:dyDescent="0.3">
      <c r="A21" s="12" t="s">
        <v>94</v>
      </c>
    </row>
    <row r="22" spans="1:1" x14ac:dyDescent="0.3">
      <c r="A22" s="12" t="s">
        <v>95</v>
      </c>
    </row>
  </sheetData>
  <conditionalFormatting sqref="A4:A22">
    <cfRule type="expression" dxfId="50" priority="4" stopIfTrue="1">
      <formula>AND(COUNTIF($F3:$O3,"&lt;"&amp;"0")=0,COUNTIF($F3:$O3,"=")=0)</formula>
    </cfRule>
    <cfRule type="expression" dxfId="49" priority="5" stopIfTrue="1">
      <formula>AND($D3&lt;TODAY(),$D3&lt;&gt;"")</formula>
    </cfRule>
  </conditionalFormatting>
  <conditionalFormatting sqref="A2">
    <cfRule type="expression" dxfId="48" priority="1" stopIfTrue="1">
      <formula>AND(COUNTIF($F2:$O2,"&lt;"&amp;"0")=0,COUNTIF($F2:$O2,"=")=0)</formula>
    </cfRule>
    <cfRule type="expression" dxfId="47" priority="2" stopIfTrue="1">
      <formula>AND($D2&lt;TODAY(),$D2&lt;&gt;"")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90" stopIfTrue="1" id="{498EA686-D2A9-410E-9E15-F362CA464681}">
            <xm:f>$D3&lt;(TODAY()-INDEX('Analysis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A4:A22</xm:sqref>
        </x14:conditionalFormatting>
        <x14:conditionalFormatting xmlns:xm="http://schemas.microsoft.com/office/excel/2006/main">
          <x14:cfRule type="expression" priority="191" stopIfTrue="1" id="{6BA90E01-6B85-4705-9BD5-18D829335858}">
            <xm:f>$D2&lt;(TODAY()-INDEX('Analysis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A2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1CACC-D3C7-4FFB-8F50-756C1610B8DD}">
  <dimension ref="A1:I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9" sqref="G9"/>
    </sheetView>
  </sheetViews>
  <sheetFormatPr defaultRowHeight="14.4" x14ac:dyDescent="0.3"/>
  <cols>
    <col min="1" max="1" width="23" customWidth="1"/>
    <col min="2" max="2" width="11.88671875" bestFit="1" customWidth="1"/>
    <col min="3" max="3" width="19.5546875" bestFit="1" customWidth="1"/>
    <col min="4" max="4" width="33.109375" bestFit="1" customWidth="1"/>
    <col min="5" max="5" width="12.109375" bestFit="1" customWidth="1"/>
    <col min="6" max="6" width="10.44140625" hidden="1" customWidth="1"/>
    <col min="7" max="7" width="64.44140625" style="8" bestFit="1" customWidth="1"/>
    <col min="8" max="8" width="42.109375" style="7" bestFit="1" customWidth="1"/>
    <col min="9" max="9" width="48.44140625" style="7" bestFit="1" customWidth="1"/>
  </cols>
  <sheetData>
    <row r="1" spans="1:9" x14ac:dyDescent="0.3">
      <c r="A1" s="5" t="s">
        <v>53</v>
      </c>
      <c r="B1" s="5" t="s">
        <v>164</v>
      </c>
      <c r="C1" s="5" t="s">
        <v>165</v>
      </c>
      <c r="D1" s="5" t="s">
        <v>166</v>
      </c>
      <c r="E1" s="5" t="s">
        <v>167</v>
      </c>
      <c r="F1" s="5" t="s">
        <v>168</v>
      </c>
      <c r="G1" s="5" t="s">
        <v>169</v>
      </c>
      <c r="H1" s="5" t="s">
        <v>170</v>
      </c>
      <c r="I1" s="5" t="s">
        <v>171</v>
      </c>
    </row>
    <row r="2" spans="1:9" x14ac:dyDescent="0.3">
      <c r="A2" t="s">
        <v>74</v>
      </c>
      <c r="G2" t="s">
        <v>172</v>
      </c>
      <c r="H2" t="s">
        <v>173</v>
      </c>
      <c r="I2"/>
    </row>
    <row r="3" spans="1:9" x14ac:dyDescent="0.3">
      <c r="A3" t="s">
        <v>72</v>
      </c>
      <c r="B3" t="s">
        <v>174</v>
      </c>
      <c r="C3" t="s">
        <v>175</v>
      </c>
      <c r="E3" t="s">
        <v>176</v>
      </c>
      <c r="F3" t="s">
        <v>48</v>
      </c>
      <c r="G3" s="8" t="s">
        <v>177</v>
      </c>
      <c r="H3" s="7" t="s">
        <v>178</v>
      </c>
    </row>
    <row r="4" spans="1:9" x14ac:dyDescent="0.3">
      <c r="A4" t="s">
        <v>85</v>
      </c>
      <c r="B4" t="s">
        <v>179</v>
      </c>
      <c r="C4" t="s">
        <v>175</v>
      </c>
      <c r="D4" s="1" t="s">
        <v>180</v>
      </c>
      <c r="E4" t="s">
        <v>181</v>
      </c>
      <c r="F4" t="s">
        <v>51</v>
      </c>
    </row>
    <row r="5" spans="1:9" x14ac:dyDescent="0.3">
      <c r="A5" t="s">
        <v>75</v>
      </c>
      <c r="B5" t="s">
        <v>182</v>
      </c>
      <c r="C5" t="s">
        <v>183</v>
      </c>
      <c r="E5" t="s">
        <v>184</v>
      </c>
      <c r="F5" t="s">
        <v>48</v>
      </c>
      <c r="G5" s="8" t="s">
        <v>185</v>
      </c>
      <c r="H5" s="7" t="s">
        <v>186</v>
      </c>
    </row>
    <row r="6" spans="1:9" ht="31.8" x14ac:dyDescent="0.3">
      <c r="A6" t="s">
        <v>187</v>
      </c>
      <c r="G6" s="7" t="s">
        <v>188</v>
      </c>
    </row>
    <row r="7" spans="1:9" ht="21.6" x14ac:dyDescent="0.3">
      <c r="A7" t="s">
        <v>189</v>
      </c>
      <c r="I7" s="7" t="s">
        <v>190</v>
      </c>
    </row>
    <row r="8" spans="1:9" x14ac:dyDescent="0.3">
      <c r="A8" t="s">
        <v>76</v>
      </c>
      <c r="G8" s="8" t="s">
        <v>191</v>
      </c>
    </row>
    <row r="9" spans="1:9" ht="103.2" x14ac:dyDescent="0.3">
      <c r="A9" t="s">
        <v>192</v>
      </c>
      <c r="G9" s="7" t="s">
        <v>193</v>
      </c>
    </row>
    <row r="10" spans="1:9" ht="21.6" x14ac:dyDescent="0.3">
      <c r="A10" t="s">
        <v>194</v>
      </c>
      <c r="G10" s="7" t="s">
        <v>195</v>
      </c>
    </row>
    <row r="11" spans="1:9" ht="103.2" x14ac:dyDescent="0.3">
      <c r="A11" t="s">
        <v>196</v>
      </c>
      <c r="B11" t="s">
        <v>182</v>
      </c>
      <c r="C11" t="s">
        <v>183</v>
      </c>
      <c r="D11" s="6" t="s">
        <v>197</v>
      </c>
      <c r="E11" t="s">
        <v>198</v>
      </c>
      <c r="F11" t="s">
        <v>51</v>
      </c>
      <c r="G11" s="7" t="s">
        <v>199</v>
      </c>
    </row>
    <row r="12" spans="1:9" x14ac:dyDescent="0.3">
      <c r="A12" t="s">
        <v>88</v>
      </c>
      <c r="D12" t="s">
        <v>200</v>
      </c>
      <c r="F12" t="s">
        <v>48</v>
      </c>
      <c r="G12" s="8" t="s">
        <v>201</v>
      </c>
      <c r="H12" s="7" t="s">
        <v>202</v>
      </c>
    </row>
    <row r="13" spans="1:9" x14ac:dyDescent="0.3">
      <c r="A13" t="s">
        <v>89</v>
      </c>
      <c r="D13" t="s">
        <v>203</v>
      </c>
      <c r="F13" t="s">
        <v>48</v>
      </c>
      <c r="G13" s="8" t="s">
        <v>204</v>
      </c>
    </row>
    <row r="14" spans="1:9" x14ac:dyDescent="0.3">
      <c r="A14" t="s">
        <v>90</v>
      </c>
      <c r="D14" t="s">
        <v>205</v>
      </c>
      <c r="F14" t="s">
        <v>48</v>
      </c>
      <c r="G14" s="8" t="s">
        <v>206</v>
      </c>
    </row>
    <row r="15" spans="1:9" ht="21.6" x14ac:dyDescent="0.3">
      <c r="A15" t="s">
        <v>91</v>
      </c>
      <c r="F15" t="s">
        <v>48</v>
      </c>
      <c r="G15" s="8" t="s">
        <v>207</v>
      </c>
      <c r="H15" s="7" t="s">
        <v>208</v>
      </c>
    </row>
    <row r="16" spans="1:9" x14ac:dyDescent="0.3">
      <c r="A16" t="s">
        <v>92</v>
      </c>
      <c r="D16" t="s">
        <v>209</v>
      </c>
      <c r="F16" t="s">
        <v>48</v>
      </c>
      <c r="G16" s="69" t="s">
        <v>210</v>
      </c>
    </row>
    <row r="17" spans="1:9" ht="15.6" customHeight="1" x14ac:dyDescent="0.3">
      <c r="A17" t="s">
        <v>93</v>
      </c>
      <c r="D17" t="s">
        <v>211</v>
      </c>
      <c r="F17" t="s">
        <v>52</v>
      </c>
      <c r="G17" s="7" t="s">
        <v>212</v>
      </c>
    </row>
    <row r="18" spans="1:9" ht="15.6" customHeight="1" x14ac:dyDescent="0.3">
      <c r="A18" t="s">
        <v>94</v>
      </c>
      <c r="D18" t="s">
        <v>213</v>
      </c>
      <c r="F18" t="s">
        <v>52</v>
      </c>
      <c r="G18" s="7" t="s">
        <v>214</v>
      </c>
      <c r="H18" s="7" t="s">
        <v>215</v>
      </c>
    </row>
    <row r="19" spans="1:9" ht="16.2" customHeight="1" x14ac:dyDescent="0.3">
      <c r="A19" t="s">
        <v>95</v>
      </c>
      <c r="D19" t="s">
        <v>216</v>
      </c>
      <c r="F19" t="s">
        <v>52</v>
      </c>
      <c r="G19" s="7" t="s">
        <v>217</v>
      </c>
      <c r="H19" s="7" t="s">
        <v>486</v>
      </c>
    </row>
    <row r="20" spans="1:9" x14ac:dyDescent="0.3">
      <c r="A20" t="s">
        <v>97</v>
      </c>
    </row>
    <row r="21" spans="1:9" x14ac:dyDescent="0.3">
      <c r="A21" t="s">
        <v>218</v>
      </c>
      <c r="G21" s="8" t="s">
        <v>219</v>
      </c>
    </row>
    <row r="22" spans="1:9" x14ac:dyDescent="0.3">
      <c r="A22" t="s">
        <v>220</v>
      </c>
      <c r="G22" s="8" t="s">
        <v>221</v>
      </c>
    </row>
    <row r="23" spans="1:9" ht="21.6" x14ac:dyDescent="0.3">
      <c r="A23" t="s">
        <v>222</v>
      </c>
      <c r="G23" s="7" t="s">
        <v>223</v>
      </c>
      <c r="I23" s="7" t="s">
        <v>224</v>
      </c>
    </row>
    <row r="24" spans="1:9" ht="13.2" customHeight="1" x14ac:dyDescent="0.3">
      <c r="A24" t="s">
        <v>107</v>
      </c>
      <c r="D24" t="s">
        <v>225</v>
      </c>
      <c r="G24" s="7" t="s">
        <v>226</v>
      </c>
      <c r="H24" s="7" t="s">
        <v>227</v>
      </c>
      <c r="I24" s="7" t="s">
        <v>549</v>
      </c>
    </row>
    <row r="25" spans="1:9" x14ac:dyDescent="0.3">
      <c r="A25" t="s">
        <v>108</v>
      </c>
      <c r="D25" t="s">
        <v>228</v>
      </c>
    </row>
    <row r="26" spans="1:9" ht="13.95" customHeight="1" x14ac:dyDescent="0.3">
      <c r="A26" t="s">
        <v>109</v>
      </c>
      <c r="D26" t="s">
        <v>229</v>
      </c>
      <c r="G26" s="7" t="s">
        <v>230</v>
      </c>
    </row>
    <row r="27" spans="1:9" x14ac:dyDescent="0.3">
      <c r="A27" t="s">
        <v>100</v>
      </c>
      <c r="D27" t="s">
        <v>231</v>
      </c>
    </row>
    <row r="28" spans="1:9" ht="21.6" x14ac:dyDescent="0.3">
      <c r="A28" t="s">
        <v>551</v>
      </c>
      <c r="G28" s="7" t="s">
        <v>552</v>
      </c>
    </row>
    <row r="29" spans="1:9" ht="144" x14ac:dyDescent="0.3">
      <c r="A29" t="s">
        <v>105</v>
      </c>
      <c r="I29" s="7" t="s">
        <v>550</v>
      </c>
    </row>
    <row r="30" spans="1:9" ht="123.6" x14ac:dyDescent="0.3">
      <c r="A30" t="s">
        <v>101</v>
      </c>
      <c r="D30" t="s">
        <v>232</v>
      </c>
      <c r="G30" s="7" t="s">
        <v>233</v>
      </c>
      <c r="H30" s="7" t="s">
        <v>234</v>
      </c>
      <c r="I30" s="7" t="s">
        <v>548</v>
      </c>
    </row>
    <row r="31" spans="1:9" x14ac:dyDescent="0.3">
      <c r="A31" t="s">
        <v>103</v>
      </c>
    </row>
    <row r="32" spans="1:9" ht="17.399999999999999" customHeight="1" x14ac:dyDescent="0.3">
      <c r="A32" t="s">
        <v>104</v>
      </c>
      <c r="G32" s="7" t="s">
        <v>235</v>
      </c>
    </row>
    <row r="33" spans="1:9" ht="16.95" customHeight="1" x14ac:dyDescent="0.3">
      <c r="A33" t="s">
        <v>236</v>
      </c>
      <c r="C33" t="s">
        <v>237</v>
      </c>
      <c r="G33" s="7" t="s">
        <v>238</v>
      </c>
      <c r="I33" s="7" t="s">
        <v>239</v>
      </c>
    </row>
    <row r="34" spans="1:9" x14ac:dyDescent="0.3">
      <c r="A34" t="s">
        <v>112</v>
      </c>
      <c r="C34" t="s">
        <v>240</v>
      </c>
      <c r="G34" s="8" t="s">
        <v>471</v>
      </c>
      <c r="I34" s="7" t="s">
        <v>241</v>
      </c>
    </row>
    <row r="35" spans="1:9" x14ac:dyDescent="0.3">
      <c r="A35" t="s">
        <v>113</v>
      </c>
      <c r="C35" t="s">
        <v>242</v>
      </c>
    </row>
    <row r="36" spans="1:9" x14ac:dyDescent="0.3">
      <c r="A36" t="s">
        <v>114</v>
      </c>
      <c r="C36" t="s">
        <v>243</v>
      </c>
    </row>
    <row r="37" spans="1:9" s="3" customFormat="1" x14ac:dyDescent="0.3">
      <c r="A37" s="3" t="s">
        <v>115</v>
      </c>
      <c r="H37" s="45"/>
      <c r="I37" s="45"/>
    </row>
    <row r="38" spans="1:9" s="3" customFormat="1" x14ac:dyDescent="0.3">
      <c r="A38" s="3" t="s">
        <v>116</v>
      </c>
      <c r="H38" s="45"/>
      <c r="I38" s="45"/>
    </row>
    <row r="39" spans="1:9" x14ac:dyDescent="0.3">
      <c r="A39" t="s">
        <v>117</v>
      </c>
    </row>
    <row r="40" spans="1:9" s="4" customFormat="1" x14ac:dyDescent="0.3">
      <c r="A40" s="4" t="s">
        <v>244</v>
      </c>
      <c r="C40" s="4" t="s">
        <v>245</v>
      </c>
      <c r="H40" s="52"/>
      <c r="I40" s="52"/>
    </row>
    <row r="41" spans="1:9" s="3" customFormat="1" x14ac:dyDescent="0.3">
      <c r="A41" s="3" t="s">
        <v>118</v>
      </c>
      <c r="C41" s="3" t="s">
        <v>246</v>
      </c>
      <c r="H41" s="45"/>
      <c r="I41" s="45"/>
    </row>
    <row r="42" spans="1:9" s="3" customFormat="1" x14ac:dyDescent="0.3">
      <c r="A42" s="3" t="s">
        <v>119</v>
      </c>
      <c r="C42" s="3" t="s">
        <v>246</v>
      </c>
      <c r="H42" s="45"/>
      <c r="I42" s="45"/>
    </row>
    <row r="43" spans="1:9" s="3" customFormat="1" x14ac:dyDescent="0.3">
      <c r="A43" s="3" t="s">
        <v>120</v>
      </c>
      <c r="C43" s="3" t="s">
        <v>246</v>
      </c>
      <c r="H43" s="45"/>
      <c r="I43" s="45"/>
    </row>
    <row r="44" spans="1:9" s="3" customFormat="1" x14ac:dyDescent="0.3">
      <c r="A44" s="3" t="s">
        <v>121</v>
      </c>
      <c r="C44" s="3" t="s">
        <v>246</v>
      </c>
      <c r="H44" s="45"/>
      <c r="I44" s="45"/>
    </row>
    <row r="45" spans="1:9" x14ac:dyDescent="0.3">
      <c r="A45" t="s">
        <v>122</v>
      </c>
      <c r="G45"/>
      <c r="H45"/>
      <c r="I45"/>
    </row>
    <row r="46" spans="1:9" s="4" customFormat="1" x14ac:dyDescent="0.3">
      <c r="A46" s="4" t="s">
        <v>247</v>
      </c>
      <c r="C46" s="4" t="s">
        <v>248</v>
      </c>
    </row>
    <row r="47" spans="1:9" x14ac:dyDescent="0.3">
      <c r="A47" t="s">
        <v>123</v>
      </c>
    </row>
    <row r="48" spans="1:9" x14ac:dyDescent="0.3">
      <c r="A48" t="s">
        <v>124</v>
      </c>
    </row>
    <row r="49" spans="1:4" x14ac:dyDescent="0.3">
      <c r="A49" t="s">
        <v>125</v>
      </c>
    </row>
    <row r="50" spans="1:4" x14ac:dyDescent="0.3">
      <c r="A50" t="s">
        <v>126</v>
      </c>
    </row>
    <row r="51" spans="1:4" x14ac:dyDescent="0.3">
      <c r="A51" t="s">
        <v>127</v>
      </c>
    </row>
    <row r="52" spans="1:4" x14ac:dyDescent="0.3">
      <c r="A52" t="s">
        <v>135</v>
      </c>
    </row>
    <row r="53" spans="1:4" x14ac:dyDescent="0.3">
      <c r="A53" t="s">
        <v>136</v>
      </c>
    </row>
    <row r="54" spans="1:4" x14ac:dyDescent="0.3">
      <c r="A54" t="s">
        <v>137</v>
      </c>
    </row>
    <row r="55" spans="1:4" x14ac:dyDescent="0.3">
      <c r="A55" t="s">
        <v>138</v>
      </c>
    </row>
    <row r="56" spans="1:4" x14ac:dyDescent="0.3">
      <c r="A56" t="s">
        <v>139</v>
      </c>
    </row>
    <row r="57" spans="1:4" x14ac:dyDescent="0.3">
      <c r="A57" t="s">
        <v>140</v>
      </c>
    </row>
    <row r="58" spans="1:4" x14ac:dyDescent="0.3">
      <c r="A58" t="s">
        <v>141</v>
      </c>
    </row>
    <row r="59" spans="1:4" x14ac:dyDescent="0.3">
      <c r="A59" t="s">
        <v>142</v>
      </c>
    </row>
    <row r="60" spans="1:4" x14ac:dyDescent="0.3">
      <c r="A60" t="s">
        <v>249</v>
      </c>
      <c r="D60" s="1" t="s">
        <v>250</v>
      </c>
    </row>
  </sheetData>
  <hyperlinks>
    <hyperlink ref="D4" r:id="rId1" display="https://github.com/yfukasawa/LongQC" xr:uid="{A0D5FB26-E9AF-48BD-90B5-DC4F79B45B44}"/>
    <hyperlink ref="D60" r:id="rId2" xr:uid="{0C361547-A14E-46CE-B903-A55CB982AF4C}"/>
  </hyperlinks>
  <pageMargins left="0.7" right="0.7" top="0.75" bottom="0.75" header="0.3" footer="0.3"/>
  <pageSetup paperSize="9" orientation="portrait"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6F35150-6B66-41A8-B52C-F7E3858F5D00}">
          <x14:formula1>
            <xm:f>'Analysis Steps'!$J$2:$J$6</xm:f>
          </x14:formula1>
          <xm:sqref>F3:F1048576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0A8D6-F940-43CC-8209-BF462D1EE1C3}">
  <dimension ref="A1:A7"/>
  <sheetViews>
    <sheetView workbookViewId="0">
      <selection activeCell="A23" sqref="A23"/>
    </sheetView>
  </sheetViews>
  <sheetFormatPr defaultRowHeight="14.4" x14ac:dyDescent="0.3"/>
  <cols>
    <col min="1" max="1" width="60" bestFit="1" customWidth="1"/>
  </cols>
  <sheetData>
    <row r="1" spans="1:1" x14ac:dyDescent="0.3">
      <c r="A1" t="s">
        <v>859</v>
      </c>
    </row>
    <row r="2" spans="1:1" x14ac:dyDescent="0.3">
      <c r="A2" t="s">
        <v>860</v>
      </c>
    </row>
    <row r="3" spans="1:1" x14ac:dyDescent="0.3">
      <c r="A3" t="s">
        <v>861</v>
      </c>
    </row>
    <row r="4" spans="1:1" x14ac:dyDescent="0.3">
      <c r="A4" t="s">
        <v>862</v>
      </c>
    </row>
    <row r="5" spans="1:1" x14ac:dyDescent="0.3">
      <c r="A5" t="s">
        <v>863</v>
      </c>
    </row>
    <row r="6" spans="1:1" x14ac:dyDescent="0.3">
      <c r="A6" t="s">
        <v>864</v>
      </c>
    </row>
    <row r="7" spans="1:1" x14ac:dyDescent="0.3">
      <c r="A7" t="s">
        <v>865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CF70-4439-4F39-B2C6-DB2DEBABA40B}">
  <dimension ref="A1:P27"/>
  <sheetViews>
    <sheetView workbookViewId="0">
      <selection sqref="A1:B27"/>
    </sheetView>
  </sheetViews>
  <sheetFormatPr defaultRowHeight="14.4" x14ac:dyDescent="0.3"/>
  <cols>
    <col min="1" max="1" width="59.5546875" bestFit="1" customWidth="1"/>
    <col min="13" max="13" width="52.33203125" bestFit="1" customWidth="1"/>
    <col min="14" max="14" width="41.109375" bestFit="1" customWidth="1"/>
    <col min="15" max="15" width="14.88671875" bestFit="1" customWidth="1"/>
    <col min="16" max="16" width="22.109375" bestFit="1" customWidth="1"/>
  </cols>
  <sheetData>
    <row r="1" spans="1:16" x14ac:dyDescent="0.3">
      <c r="A1" t="s">
        <v>688</v>
      </c>
    </row>
    <row r="2" spans="1:16" x14ac:dyDescent="0.3">
      <c r="A2" t="s">
        <v>689</v>
      </c>
    </row>
    <row r="3" spans="1:16" x14ac:dyDescent="0.3">
      <c r="A3" t="s">
        <v>690</v>
      </c>
    </row>
    <row r="4" spans="1:16" x14ac:dyDescent="0.3">
      <c r="A4" t="s">
        <v>697</v>
      </c>
      <c r="N4" s="67"/>
    </row>
    <row r="5" spans="1:16" x14ac:dyDescent="0.3">
      <c r="A5" t="s">
        <v>691</v>
      </c>
      <c r="B5" s="207" t="s">
        <v>717</v>
      </c>
    </row>
    <row r="6" spans="1:16" x14ac:dyDescent="0.3">
      <c r="A6" t="s">
        <v>692</v>
      </c>
      <c r="B6" s="207" t="s">
        <v>718</v>
      </c>
    </row>
    <row r="7" spans="1:16" x14ac:dyDescent="0.3">
      <c r="A7" t="s">
        <v>693</v>
      </c>
      <c r="B7" t="s">
        <v>695</v>
      </c>
    </row>
    <row r="8" spans="1:16" x14ac:dyDescent="0.3">
      <c r="A8" t="s">
        <v>694</v>
      </c>
      <c r="B8" t="s">
        <v>696</v>
      </c>
    </row>
    <row r="9" spans="1:16" x14ac:dyDescent="0.3">
      <c r="A9" t="s">
        <v>698</v>
      </c>
    </row>
    <row r="10" spans="1:16" ht="72" x14ac:dyDescent="0.3">
      <c r="A10" s="208" t="s">
        <v>719</v>
      </c>
      <c r="B10" s="207" t="s">
        <v>699</v>
      </c>
      <c r="P10" s="67"/>
    </row>
    <row r="11" spans="1:16" x14ac:dyDescent="0.3">
      <c r="A11" t="s">
        <v>709</v>
      </c>
    </row>
    <row r="12" spans="1:16" ht="43.2" x14ac:dyDescent="0.3">
      <c r="A12" s="70" t="s">
        <v>711</v>
      </c>
      <c r="B12" s="207" t="s">
        <v>710</v>
      </c>
    </row>
    <row r="13" spans="1:16" x14ac:dyDescent="0.3">
      <c r="A13" t="s">
        <v>700</v>
      </c>
    </row>
    <row r="14" spans="1:16" x14ac:dyDescent="0.3">
      <c r="A14" t="s">
        <v>707</v>
      </c>
    </row>
    <row r="15" spans="1:16" x14ac:dyDescent="0.3">
      <c r="A15" t="s">
        <v>708</v>
      </c>
    </row>
    <row r="16" spans="1:16" x14ac:dyDescent="0.3">
      <c r="A16" t="s">
        <v>701</v>
      </c>
    </row>
    <row r="17" spans="1:1" x14ac:dyDescent="0.3">
      <c r="A17" t="s">
        <v>702</v>
      </c>
    </row>
    <row r="18" spans="1:1" x14ac:dyDescent="0.3">
      <c r="A18" t="s">
        <v>703</v>
      </c>
    </row>
    <row r="19" spans="1:1" x14ac:dyDescent="0.3">
      <c r="A19" t="s">
        <v>704</v>
      </c>
    </row>
    <row r="20" spans="1:1" x14ac:dyDescent="0.3">
      <c r="A20" t="s">
        <v>705</v>
      </c>
    </row>
    <row r="21" spans="1:1" x14ac:dyDescent="0.3">
      <c r="A21" t="s">
        <v>706</v>
      </c>
    </row>
    <row r="22" spans="1:1" x14ac:dyDescent="0.3">
      <c r="A22" t="s">
        <v>700</v>
      </c>
    </row>
    <row r="23" spans="1:1" x14ac:dyDescent="0.3">
      <c r="A23" t="s">
        <v>713</v>
      </c>
    </row>
    <row r="24" spans="1:1" x14ac:dyDescent="0.3">
      <c r="A24" t="s">
        <v>712</v>
      </c>
    </row>
    <row r="25" spans="1:1" x14ac:dyDescent="0.3">
      <c r="A25" t="s">
        <v>714</v>
      </c>
    </row>
    <row r="26" spans="1:1" x14ac:dyDescent="0.3">
      <c r="A26" t="s">
        <v>716</v>
      </c>
    </row>
    <row r="27" spans="1:1" x14ac:dyDescent="0.3">
      <c r="A27" t="s">
        <v>715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B7CB-F7BA-4145-A3AF-3B2E211B55FC}">
  <dimension ref="A1"/>
  <sheetViews>
    <sheetView topLeftCell="A31" workbookViewId="0">
      <selection activeCell="U8" sqref="U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E1557-BF9D-43FC-A83E-A5A1E82F1C0C}">
  <dimension ref="A1:D6"/>
  <sheetViews>
    <sheetView workbookViewId="0">
      <selection activeCell="A6" sqref="A6"/>
    </sheetView>
  </sheetViews>
  <sheetFormatPr defaultRowHeight="14.4" x14ac:dyDescent="0.3"/>
  <cols>
    <col min="1" max="1" width="15.44140625" bestFit="1" customWidth="1"/>
    <col min="2" max="2" width="9.6640625" bestFit="1" customWidth="1"/>
    <col min="3" max="3" width="30" bestFit="1" customWidth="1"/>
    <col min="4" max="4" width="12.21875" bestFit="1" customWidth="1"/>
  </cols>
  <sheetData>
    <row r="1" spans="1:4" x14ac:dyDescent="0.3">
      <c r="A1" t="s">
        <v>852</v>
      </c>
    </row>
    <row r="2" spans="1:4" x14ac:dyDescent="0.3">
      <c r="A2" t="s">
        <v>849</v>
      </c>
      <c r="B2" t="s">
        <v>851</v>
      </c>
      <c r="C2" t="s">
        <v>853</v>
      </c>
      <c r="D2" t="s">
        <v>854</v>
      </c>
    </row>
    <row r="3" spans="1:4" x14ac:dyDescent="0.3">
      <c r="A3" t="s">
        <v>850</v>
      </c>
    </row>
    <row r="5" spans="1:4" x14ac:dyDescent="0.3">
      <c r="A5" t="s">
        <v>855</v>
      </c>
    </row>
    <row r="6" spans="1:4" x14ac:dyDescent="0.3">
      <c r="A6" t="s">
        <v>856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1F933-49C9-49C6-BAF7-22038E28543B}">
  <dimension ref="A1:F34"/>
  <sheetViews>
    <sheetView workbookViewId="0">
      <selection activeCell="J9" sqref="J9"/>
    </sheetView>
  </sheetViews>
  <sheetFormatPr defaultRowHeight="14.4" x14ac:dyDescent="0.3"/>
  <cols>
    <col min="1" max="1" width="21.77734375" bestFit="1" customWidth="1"/>
    <col min="2" max="2" width="15.109375" bestFit="1" customWidth="1"/>
    <col min="3" max="3" width="13.5546875" bestFit="1" customWidth="1"/>
    <col min="4" max="4" width="11.33203125" bestFit="1" customWidth="1"/>
    <col min="5" max="5" width="10" bestFit="1" customWidth="1"/>
    <col min="6" max="6" width="6" bestFit="1" customWidth="1"/>
    <col min="8" max="8" width="9" bestFit="1" customWidth="1"/>
    <col min="10" max="10" width="10" bestFit="1" customWidth="1"/>
  </cols>
  <sheetData>
    <row r="1" spans="1:6" x14ac:dyDescent="0.3">
      <c r="B1" t="s">
        <v>811</v>
      </c>
    </row>
    <row r="2" spans="1:6" x14ac:dyDescent="0.3">
      <c r="D2" t="s">
        <v>813</v>
      </c>
      <c r="E2" t="s">
        <v>814</v>
      </c>
      <c r="F2" t="s">
        <v>812</v>
      </c>
    </row>
    <row r="3" spans="1:6" x14ac:dyDescent="0.3">
      <c r="A3" t="s">
        <v>809</v>
      </c>
      <c r="F3">
        <v>35.96</v>
      </c>
    </row>
    <row r="4" spans="1:6" x14ac:dyDescent="0.3">
      <c r="A4" t="s">
        <v>810</v>
      </c>
      <c r="E4">
        <v>832013180</v>
      </c>
      <c r="F4">
        <v>61.01</v>
      </c>
    </row>
    <row r="5" spans="1:6" x14ac:dyDescent="0.3">
      <c r="A5" s="5" t="s">
        <v>808</v>
      </c>
      <c r="D5">
        <v>726086</v>
      </c>
      <c r="E5">
        <v>236123230</v>
      </c>
      <c r="F5">
        <v>17.309999999999999</v>
      </c>
    </row>
    <row r="6" spans="1:6" x14ac:dyDescent="0.3">
      <c r="B6" t="s">
        <v>815</v>
      </c>
      <c r="D6">
        <v>33220</v>
      </c>
      <c r="E6">
        <v>5860237</v>
      </c>
      <c r="F6">
        <v>0.43</v>
      </c>
    </row>
    <row r="7" spans="1:6" x14ac:dyDescent="0.3">
      <c r="B7" t="s">
        <v>817</v>
      </c>
      <c r="D7">
        <v>432461</v>
      </c>
      <c r="E7">
        <v>126323734</v>
      </c>
      <c r="F7">
        <v>9.26</v>
      </c>
    </row>
    <row r="8" spans="1:6" x14ac:dyDescent="0.3">
      <c r="C8" s="5" t="s">
        <v>816</v>
      </c>
      <c r="D8">
        <v>215418</v>
      </c>
      <c r="E8">
        <v>58308560</v>
      </c>
      <c r="F8">
        <v>4.28</v>
      </c>
    </row>
    <row r="9" spans="1:6" x14ac:dyDescent="0.3">
      <c r="C9" t="s">
        <v>818</v>
      </c>
      <c r="D9">
        <v>0</v>
      </c>
      <c r="E9">
        <v>0</v>
      </c>
      <c r="F9">
        <v>0</v>
      </c>
    </row>
    <row r="10" spans="1:6" x14ac:dyDescent="0.3">
      <c r="C10" s="5" t="s">
        <v>819</v>
      </c>
      <c r="D10">
        <v>26633</v>
      </c>
      <c r="E10">
        <v>11071337</v>
      </c>
      <c r="F10">
        <v>0.81</v>
      </c>
    </row>
    <row r="11" spans="1:6" x14ac:dyDescent="0.3">
      <c r="C11" t="s">
        <v>820</v>
      </c>
      <c r="D11">
        <v>106604</v>
      </c>
      <c r="E11">
        <v>23386066</v>
      </c>
      <c r="F11">
        <v>1.71</v>
      </c>
    </row>
    <row r="12" spans="1:6" x14ac:dyDescent="0.3">
      <c r="C12" t="s">
        <v>821</v>
      </c>
      <c r="D12">
        <v>0</v>
      </c>
      <c r="E12">
        <v>0</v>
      </c>
      <c r="F12">
        <v>0</v>
      </c>
    </row>
    <row r="13" spans="1:6" x14ac:dyDescent="0.3">
      <c r="C13" t="s">
        <v>822</v>
      </c>
      <c r="D13">
        <v>45137</v>
      </c>
      <c r="E13">
        <v>15099529</v>
      </c>
      <c r="F13">
        <v>1.1100000000000001</v>
      </c>
    </row>
    <row r="14" spans="1:6" x14ac:dyDescent="0.3">
      <c r="C14" s="5" t="s">
        <v>823</v>
      </c>
      <c r="D14">
        <v>135</v>
      </c>
      <c r="E14">
        <v>23960</v>
      </c>
      <c r="F14">
        <v>0</v>
      </c>
    </row>
    <row r="15" spans="1:6" x14ac:dyDescent="0.3">
      <c r="B15" t="s">
        <v>848</v>
      </c>
      <c r="D15">
        <v>260405</v>
      </c>
      <c r="E15">
        <v>103939259</v>
      </c>
      <c r="F15">
        <v>7.62</v>
      </c>
    </row>
    <row r="16" spans="1:6" x14ac:dyDescent="0.3">
      <c r="C16" s="5" t="s">
        <v>825</v>
      </c>
      <c r="D16">
        <v>20088</v>
      </c>
      <c r="E16">
        <v>9967752</v>
      </c>
      <c r="F16">
        <v>0.73</v>
      </c>
    </row>
    <row r="17" spans="1:6" x14ac:dyDescent="0.3">
      <c r="C17" t="s">
        <v>826</v>
      </c>
      <c r="D17">
        <v>128</v>
      </c>
      <c r="E17">
        <v>159285</v>
      </c>
      <c r="F17">
        <v>0.01</v>
      </c>
    </row>
    <row r="18" spans="1:6" x14ac:dyDescent="0.3">
      <c r="C18" s="5" t="s">
        <v>827</v>
      </c>
      <c r="D18">
        <v>156680</v>
      </c>
      <c r="E18">
        <v>69568956</v>
      </c>
      <c r="F18">
        <v>5.0999999999999996</v>
      </c>
    </row>
    <row r="19" spans="1:6" x14ac:dyDescent="0.3">
      <c r="C19" t="s">
        <v>828</v>
      </c>
      <c r="D19">
        <v>822</v>
      </c>
      <c r="E19">
        <v>296915</v>
      </c>
      <c r="F19">
        <v>0.02</v>
      </c>
    </row>
    <row r="20" spans="1:6" x14ac:dyDescent="0.3">
      <c r="A20" t="s">
        <v>843</v>
      </c>
      <c r="B20" t="s">
        <v>843</v>
      </c>
      <c r="D20">
        <v>160107</v>
      </c>
      <c r="E20">
        <v>65889495</v>
      </c>
      <c r="F20">
        <v>4.83</v>
      </c>
    </row>
    <row r="21" spans="1:6" x14ac:dyDescent="0.3">
      <c r="C21" t="s">
        <v>829</v>
      </c>
      <c r="D21">
        <v>16810</v>
      </c>
      <c r="E21">
        <v>6264655</v>
      </c>
      <c r="F21">
        <v>0.46</v>
      </c>
    </row>
    <row r="22" spans="1:6" x14ac:dyDescent="0.3">
      <c r="C22" t="s">
        <v>830</v>
      </c>
      <c r="D22">
        <v>19674</v>
      </c>
      <c r="E22">
        <v>12603682</v>
      </c>
      <c r="F22">
        <v>0.92</v>
      </c>
    </row>
    <row r="23" spans="1:6" x14ac:dyDescent="0.3">
      <c r="C23" t="s">
        <v>831</v>
      </c>
      <c r="D23">
        <v>0</v>
      </c>
      <c r="E23">
        <v>0</v>
      </c>
      <c r="F23">
        <v>0</v>
      </c>
    </row>
    <row r="24" spans="1:6" x14ac:dyDescent="0.3">
      <c r="C24" t="s">
        <v>832</v>
      </c>
      <c r="D24">
        <v>0</v>
      </c>
      <c r="E24">
        <v>0</v>
      </c>
      <c r="F24">
        <v>0</v>
      </c>
    </row>
    <row r="25" spans="1:6" x14ac:dyDescent="0.3">
      <c r="C25" t="s">
        <v>833</v>
      </c>
      <c r="D25">
        <v>191</v>
      </c>
      <c r="E25">
        <v>37999</v>
      </c>
      <c r="F25">
        <v>0</v>
      </c>
    </row>
    <row r="26" spans="1:6" x14ac:dyDescent="0.3">
      <c r="C26" t="s">
        <v>834</v>
      </c>
      <c r="D26">
        <v>10123</v>
      </c>
      <c r="E26">
        <v>3293187</v>
      </c>
      <c r="F26">
        <v>0.24</v>
      </c>
    </row>
    <row r="27" spans="1:6" x14ac:dyDescent="0.3">
      <c r="C27" t="s">
        <v>842</v>
      </c>
      <c r="D27">
        <v>1128</v>
      </c>
      <c r="E27">
        <v>481991</v>
      </c>
      <c r="F27">
        <v>0.04</v>
      </c>
    </row>
    <row r="28" spans="1:6" x14ac:dyDescent="0.3">
      <c r="A28" t="s">
        <v>835</v>
      </c>
      <c r="D28">
        <v>24567</v>
      </c>
      <c r="E28">
        <v>2756498</v>
      </c>
      <c r="F28">
        <v>0.2</v>
      </c>
    </row>
    <row r="29" spans="1:6" x14ac:dyDescent="0.3">
      <c r="A29" t="s">
        <v>836</v>
      </c>
      <c r="D29">
        <v>1856908</v>
      </c>
      <c r="E29">
        <v>493064927</v>
      </c>
      <c r="F29">
        <v>36.15</v>
      </c>
    </row>
    <row r="30" spans="1:6" x14ac:dyDescent="0.3">
      <c r="A30" t="s">
        <v>841</v>
      </c>
      <c r="E30">
        <v>795077652</v>
      </c>
      <c r="F30">
        <v>58.3</v>
      </c>
    </row>
    <row r="31" spans="1:6" x14ac:dyDescent="0.3">
      <c r="A31" t="s">
        <v>840</v>
      </c>
      <c r="D31">
        <v>43347</v>
      </c>
      <c r="E31">
        <v>13651548</v>
      </c>
      <c r="F31">
        <v>1</v>
      </c>
    </row>
    <row r="32" spans="1:6" x14ac:dyDescent="0.3">
      <c r="A32" t="s">
        <v>837</v>
      </c>
      <c r="D32">
        <v>1493</v>
      </c>
      <c r="E32">
        <v>9621282</v>
      </c>
      <c r="F32">
        <v>0.71</v>
      </c>
    </row>
    <row r="33" spans="1:6" x14ac:dyDescent="0.3">
      <c r="A33" t="s">
        <v>839</v>
      </c>
      <c r="D33">
        <v>210028</v>
      </c>
      <c r="E33">
        <v>10028675</v>
      </c>
      <c r="F33">
        <v>0.74</v>
      </c>
    </row>
    <row r="34" spans="1:6" x14ac:dyDescent="0.3">
      <c r="A34" t="s">
        <v>838</v>
      </c>
      <c r="D34">
        <v>16069</v>
      </c>
      <c r="E34">
        <v>888421</v>
      </c>
      <c r="F34">
        <v>7.0000000000000007E-2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CC3DA-5730-4A4E-A91C-8A0C4B6619C0}">
  <dimension ref="A1:G24"/>
  <sheetViews>
    <sheetView workbookViewId="0">
      <selection activeCell="G23" sqref="G23"/>
    </sheetView>
  </sheetViews>
  <sheetFormatPr defaultRowHeight="14.4" x14ac:dyDescent="0.3"/>
  <cols>
    <col min="1" max="1" width="42.77734375" bestFit="1" customWidth="1"/>
    <col min="2" max="2" width="14.44140625" customWidth="1"/>
    <col min="3" max="3" width="14.5546875" customWidth="1"/>
    <col min="4" max="4" width="13.5546875" customWidth="1"/>
    <col min="5" max="5" width="13.44140625" customWidth="1"/>
    <col min="6" max="6" width="13.33203125" customWidth="1"/>
    <col min="7" max="7" width="14.44140625" customWidth="1"/>
  </cols>
  <sheetData>
    <row r="1" spans="1:7" x14ac:dyDescent="0.3">
      <c r="A1" t="s">
        <v>903</v>
      </c>
      <c r="C1">
        <v>29590278</v>
      </c>
      <c r="D1">
        <v>29597507</v>
      </c>
      <c r="E1">
        <v>29606733</v>
      </c>
      <c r="F1">
        <v>29628066</v>
      </c>
      <c r="G1">
        <v>29674701</v>
      </c>
    </row>
    <row r="2" spans="1:7" x14ac:dyDescent="0.3">
      <c r="A2" t="s">
        <v>891</v>
      </c>
      <c r="C2" t="s">
        <v>893</v>
      </c>
      <c r="D2" s="102" t="s">
        <v>893</v>
      </c>
      <c r="E2" s="102" t="s">
        <v>893</v>
      </c>
      <c r="F2" s="102" t="s">
        <v>897</v>
      </c>
      <c r="G2" t="s">
        <v>901</v>
      </c>
    </row>
    <row r="3" spans="1:7" x14ac:dyDescent="0.3">
      <c r="A3" t="s">
        <v>888</v>
      </c>
      <c r="C3" t="s">
        <v>892</v>
      </c>
      <c r="D3" s="102" t="s">
        <v>894</v>
      </c>
      <c r="E3" s="102" t="s">
        <v>895</v>
      </c>
      <c r="F3" s="102" t="s">
        <v>896</v>
      </c>
      <c r="G3" t="s">
        <v>902</v>
      </c>
    </row>
    <row r="4" spans="1:7" x14ac:dyDescent="0.3">
      <c r="A4" t="s">
        <v>881</v>
      </c>
      <c r="C4">
        <v>31731</v>
      </c>
      <c r="D4">
        <v>31731</v>
      </c>
      <c r="E4">
        <v>31731</v>
      </c>
      <c r="F4">
        <v>31731</v>
      </c>
      <c r="G4">
        <v>31724</v>
      </c>
    </row>
    <row r="5" spans="1:7" x14ac:dyDescent="0.3">
      <c r="A5" t="s">
        <v>869</v>
      </c>
      <c r="C5">
        <v>31059</v>
      </c>
      <c r="D5">
        <v>31059</v>
      </c>
      <c r="E5">
        <v>31059</v>
      </c>
      <c r="F5">
        <v>31059</v>
      </c>
      <c r="G5">
        <v>31052</v>
      </c>
    </row>
    <row r="6" spans="1:7" x14ac:dyDescent="0.3">
      <c r="A6" t="s">
        <v>898</v>
      </c>
      <c r="C6">
        <v>12322</v>
      </c>
      <c r="D6">
        <v>12322</v>
      </c>
      <c r="E6">
        <v>12322</v>
      </c>
      <c r="F6">
        <v>12322</v>
      </c>
      <c r="G6">
        <v>12321</v>
      </c>
    </row>
    <row r="7" spans="1:7" x14ac:dyDescent="0.3">
      <c r="A7" t="s">
        <v>870</v>
      </c>
      <c r="C7">
        <v>1081</v>
      </c>
      <c r="D7">
        <v>1081</v>
      </c>
      <c r="E7">
        <v>1081</v>
      </c>
      <c r="F7">
        <v>1081</v>
      </c>
      <c r="G7">
        <v>1081</v>
      </c>
    </row>
    <row r="8" spans="1:7" x14ac:dyDescent="0.3">
      <c r="A8" t="s">
        <v>899</v>
      </c>
      <c r="C8">
        <v>319</v>
      </c>
      <c r="D8">
        <v>319</v>
      </c>
      <c r="E8">
        <v>319</v>
      </c>
      <c r="F8">
        <v>319</v>
      </c>
      <c r="G8">
        <v>319</v>
      </c>
    </row>
    <row r="9" spans="1:7" x14ac:dyDescent="0.3">
      <c r="A9" t="s">
        <v>900</v>
      </c>
      <c r="C9">
        <v>120</v>
      </c>
      <c r="D9">
        <v>120</v>
      </c>
      <c r="E9">
        <v>120</v>
      </c>
      <c r="F9">
        <v>120</v>
      </c>
      <c r="G9">
        <v>120</v>
      </c>
    </row>
    <row r="10" spans="1:7" x14ac:dyDescent="0.3">
      <c r="A10" t="s">
        <v>871</v>
      </c>
      <c r="C10">
        <v>1169</v>
      </c>
      <c r="D10">
        <v>1169</v>
      </c>
      <c r="E10">
        <v>1169</v>
      </c>
      <c r="F10">
        <v>1169</v>
      </c>
      <c r="G10">
        <v>1169</v>
      </c>
    </row>
    <row r="11" spans="1:7" x14ac:dyDescent="0.3">
      <c r="A11" t="s">
        <v>872</v>
      </c>
      <c r="C11">
        <v>1165</v>
      </c>
      <c r="D11">
        <v>1165</v>
      </c>
      <c r="E11">
        <v>1165</v>
      </c>
      <c r="F11">
        <v>1165</v>
      </c>
      <c r="G11">
        <v>1165</v>
      </c>
    </row>
    <row r="12" spans="1:7" x14ac:dyDescent="0.3">
      <c r="A12" t="s">
        <v>873</v>
      </c>
      <c r="C12">
        <v>1135</v>
      </c>
      <c r="D12">
        <v>1135</v>
      </c>
      <c r="E12">
        <v>1135</v>
      </c>
      <c r="F12">
        <v>1135</v>
      </c>
      <c r="G12">
        <v>1135</v>
      </c>
    </row>
    <row r="13" spans="1:7" x14ac:dyDescent="0.3">
      <c r="A13" t="s">
        <v>874</v>
      </c>
      <c r="C13">
        <v>3990600</v>
      </c>
      <c r="D13">
        <v>3990600</v>
      </c>
      <c r="E13">
        <v>3990600</v>
      </c>
      <c r="F13">
        <v>3990600</v>
      </c>
      <c r="G13">
        <v>3990600</v>
      </c>
    </row>
    <row r="14" spans="1:7" x14ac:dyDescent="0.3">
      <c r="A14" t="s">
        <v>875</v>
      </c>
      <c r="C14">
        <v>3566061</v>
      </c>
      <c r="D14">
        <v>3562740</v>
      </c>
      <c r="E14">
        <v>3571988</v>
      </c>
      <c r="F14">
        <v>3576649</v>
      </c>
      <c r="G14">
        <v>3572298</v>
      </c>
    </row>
    <row r="15" spans="1:7" x14ac:dyDescent="0.3">
      <c r="A15" t="s">
        <v>876</v>
      </c>
      <c r="C15">
        <v>3347</v>
      </c>
      <c r="D15">
        <v>3347</v>
      </c>
      <c r="E15">
        <v>3347</v>
      </c>
      <c r="F15">
        <v>3347</v>
      </c>
      <c r="G15">
        <v>3347</v>
      </c>
    </row>
    <row r="16" spans="1:7" x14ac:dyDescent="0.3">
      <c r="A16" t="s">
        <v>877</v>
      </c>
      <c r="C16">
        <v>7737269</v>
      </c>
      <c r="D16">
        <v>7737269</v>
      </c>
      <c r="E16">
        <v>7737269</v>
      </c>
      <c r="F16">
        <v>7737269</v>
      </c>
      <c r="G16">
        <v>7737269</v>
      </c>
    </row>
    <row r="17" spans="1:7" x14ac:dyDescent="0.3">
      <c r="A17" t="s">
        <v>878</v>
      </c>
      <c r="C17">
        <v>1069</v>
      </c>
      <c r="D17">
        <v>1070</v>
      </c>
      <c r="E17">
        <v>1071</v>
      </c>
      <c r="F17">
        <v>1071</v>
      </c>
      <c r="G17">
        <v>1071</v>
      </c>
    </row>
    <row r="18" spans="1:7" x14ac:dyDescent="0.3">
      <c r="A18" t="s">
        <v>882</v>
      </c>
      <c r="C18">
        <v>3868804</v>
      </c>
      <c r="D18">
        <v>3865415</v>
      </c>
      <c r="E18">
        <v>3874850</v>
      </c>
      <c r="F18">
        <v>3879604</v>
      </c>
      <c r="G18">
        <v>3875165</v>
      </c>
    </row>
    <row r="19" spans="1:7" x14ac:dyDescent="0.3">
      <c r="A19" t="s">
        <v>879</v>
      </c>
      <c r="C19">
        <v>1058</v>
      </c>
      <c r="D19">
        <v>1058</v>
      </c>
      <c r="E19">
        <v>1058</v>
      </c>
      <c r="F19">
        <v>1058</v>
      </c>
      <c r="G19">
        <v>1058</v>
      </c>
    </row>
    <row r="20" spans="1:7" x14ac:dyDescent="0.3">
      <c r="A20" t="s">
        <v>880</v>
      </c>
      <c r="C20">
        <v>151</v>
      </c>
      <c r="D20">
        <v>151</v>
      </c>
      <c r="E20">
        <v>151</v>
      </c>
      <c r="F20">
        <v>151</v>
      </c>
      <c r="G20">
        <v>151</v>
      </c>
    </row>
    <row r="21" spans="1:7" x14ac:dyDescent="0.3">
      <c r="A21" t="s">
        <v>884</v>
      </c>
      <c r="C21" t="s">
        <v>887</v>
      </c>
      <c r="D21" t="s">
        <v>887</v>
      </c>
      <c r="E21" s="67">
        <v>0.94898889215288795</v>
      </c>
      <c r="F21" s="67">
        <v>0.94976436242629503</v>
      </c>
      <c r="G21" s="67">
        <v>0.95077147757171698</v>
      </c>
    </row>
    <row r="22" spans="1:7" x14ac:dyDescent="0.3">
      <c r="A22" t="s">
        <v>883</v>
      </c>
      <c r="B22" s="207" t="s">
        <v>885</v>
      </c>
      <c r="E22" s="207" t="s">
        <v>886</v>
      </c>
    </row>
    <row r="23" spans="1:7" x14ac:dyDescent="0.3">
      <c r="A23" t="s">
        <v>888</v>
      </c>
      <c r="B23" t="s">
        <v>890</v>
      </c>
      <c r="E23" t="s">
        <v>889</v>
      </c>
    </row>
    <row r="24" spans="1:7" x14ac:dyDescent="0.3">
      <c r="A24" t="s">
        <v>884</v>
      </c>
      <c r="B24" s="67">
        <v>0.95018198059998105</v>
      </c>
      <c r="E24" t="s">
        <v>887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70A2-2347-4423-B139-729E0A57C50E}">
  <dimension ref="A1:F33"/>
  <sheetViews>
    <sheetView workbookViewId="0">
      <selection activeCell="A6" sqref="A6"/>
    </sheetView>
  </sheetViews>
  <sheetFormatPr defaultRowHeight="14.4" x14ac:dyDescent="0.3"/>
  <cols>
    <col min="1" max="1" width="29.5546875" bestFit="1" customWidth="1"/>
    <col min="2" max="2" width="11.33203125" bestFit="1" customWidth="1"/>
    <col min="3" max="3" width="10" bestFit="1" customWidth="1"/>
    <col min="4" max="4" width="6" bestFit="1" customWidth="1"/>
    <col min="5" max="5" width="13.33203125" bestFit="1" customWidth="1"/>
    <col min="6" max="6" width="4.77734375" bestFit="1" customWidth="1"/>
  </cols>
  <sheetData>
    <row r="1" spans="1:6" x14ac:dyDescent="0.3">
      <c r="B1" t="s">
        <v>811</v>
      </c>
    </row>
    <row r="2" spans="1:6" x14ac:dyDescent="0.3">
      <c r="B2" t="s">
        <v>813</v>
      </c>
      <c r="C2" t="s">
        <v>814</v>
      </c>
      <c r="D2" t="s">
        <v>812</v>
      </c>
    </row>
    <row r="3" spans="1:6" x14ac:dyDescent="0.3">
      <c r="A3" t="s">
        <v>809</v>
      </c>
      <c r="D3">
        <v>35.96</v>
      </c>
    </row>
    <row r="4" spans="1:6" x14ac:dyDescent="0.3">
      <c r="A4" t="s">
        <v>810</v>
      </c>
      <c r="C4">
        <v>832013180</v>
      </c>
      <c r="D4">
        <v>61.01</v>
      </c>
    </row>
    <row r="5" spans="1:6" x14ac:dyDescent="0.3">
      <c r="A5" t="s">
        <v>815</v>
      </c>
      <c r="B5">
        <v>33220</v>
      </c>
      <c r="C5">
        <v>5860237</v>
      </c>
      <c r="D5">
        <v>0.43</v>
      </c>
    </row>
    <row r="6" spans="1:6" x14ac:dyDescent="0.3">
      <c r="A6" t="s">
        <v>816</v>
      </c>
      <c r="B6">
        <v>215418</v>
      </c>
      <c r="C6">
        <v>58308560</v>
      </c>
      <c r="D6">
        <v>4.28</v>
      </c>
      <c r="E6" s="5" t="s">
        <v>808</v>
      </c>
      <c r="F6" t="s">
        <v>844</v>
      </c>
    </row>
    <row r="7" spans="1:6" x14ac:dyDescent="0.3">
      <c r="A7" t="s">
        <v>847</v>
      </c>
      <c r="B7">
        <v>253952</v>
      </c>
      <c r="C7">
        <v>76742842</v>
      </c>
      <c r="D7">
        <v>5.63</v>
      </c>
      <c r="E7" s="5" t="s">
        <v>808</v>
      </c>
      <c r="F7" t="s">
        <v>845</v>
      </c>
    </row>
    <row r="8" spans="1:6" x14ac:dyDescent="0.3">
      <c r="A8" t="s">
        <v>818</v>
      </c>
      <c r="B8">
        <v>0</v>
      </c>
      <c r="C8">
        <v>0</v>
      </c>
      <c r="D8">
        <v>0</v>
      </c>
      <c r="E8" s="5" t="s">
        <v>808</v>
      </c>
      <c r="F8" t="s">
        <v>845</v>
      </c>
    </row>
    <row r="9" spans="1:6" x14ac:dyDescent="0.3">
      <c r="A9" t="s">
        <v>819</v>
      </c>
      <c r="B9">
        <v>26633</v>
      </c>
      <c r="C9">
        <v>11071337</v>
      </c>
      <c r="D9">
        <v>0.81</v>
      </c>
      <c r="E9" s="5" t="s">
        <v>808</v>
      </c>
      <c r="F9" t="s">
        <v>845</v>
      </c>
    </row>
    <row r="10" spans="1:6" x14ac:dyDescent="0.3">
      <c r="A10" t="s">
        <v>820</v>
      </c>
      <c r="B10">
        <v>106604</v>
      </c>
      <c r="C10">
        <v>23386066</v>
      </c>
      <c r="D10">
        <v>1.71</v>
      </c>
      <c r="E10" s="5" t="s">
        <v>808</v>
      </c>
      <c r="F10" t="s">
        <v>845</v>
      </c>
    </row>
    <row r="11" spans="1:6" x14ac:dyDescent="0.3">
      <c r="A11" t="s">
        <v>821</v>
      </c>
      <c r="B11">
        <v>0</v>
      </c>
      <c r="C11">
        <v>0</v>
      </c>
      <c r="D11">
        <v>0</v>
      </c>
      <c r="E11" s="5" t="s">
        <v>808</v>
      </c>
      <c r="F11" t="s">
        <v>845</v>
      </c>
    </row>
    <row r="12" spans="1:6" x14ac:dyDescent="0.3">
      <c r="A12" t="s">
        <v>822</v>
      </c>
      <c r="B12">
        <v>45137</v>
      </c>
      <c r="C12">
        <v>15099529</v>
      </c>
      <c r="D12">
        <v>1.1100000000000001</v>
      </c>
      <c r="E12" s="5" t="s">
        <v>808</v>
      </c>
      <c r="F12" t="s">
        <v>845</v>
      </c>
    </row>
    <row r="13" spans="1:6" x14ac:dyDescent="0.3">
      <c r="A13" t="s">
        <v>823</v>
      </c>
      <c r="B13">
        <v>135</v>
      </c>
      <c r="C13">
        <v>23960</v>
      </c>
      <c r="D13">
        <v>0</v>
      </c>
      <c r="E13" s="5" t="s">
        <v>808</v>
      </c>
      <c r="F13" t="s">
        <v>845</v>
      </c>
    </row>
    <row r="14" spans="1:6" x14ac:dyDescent="0.3">
      <c r="A14" t="s">
        <v>846</v>
      </c>
      <c r="B14">
        <v>82687</v>
      </c>
      <c r="C14">
        <v>23946351</v>
      </c>
      <c r="D14">
        <v>1.7600000000000007</v>
      </c>
      <c r="E14" s="5" t="s">
        <v>808</v>
      </c>
      <c r="F14" t="s">
        <v>824</v>
      </c>
    </row>
    <row r="15" spans="1:6" x14ac:dyDescent="0.3">
      <c r="A15" t="s">
        <v>825</v>
      </c>
      <c r="B15">
        <v>20088</v>
      </c>
      <c r="C15">
        <v>9967752</v>
      </c>
      <c r="D15">
        <v>0.73</v>
      </c>
      <c r="E15" s="5" t="s">
        <v>808</v>
      </c>
      <c r="F15" t="s">
        <v>824</v>
      </c>
    </row>
    <row r="16" spans="1:6" x14ac:dyDescent="0.3">
      <c r="A16" t="s">
        <v>826</v>
      </c>
      <c r="B16">
        <v>128</v>
      </c>
      <c r="C16">
        <v>159285</v>
      </c>
      <c r="D16">
        <v>0.01</v>
      </c>
      <c r="E16" s="5" t="s">
        <v>808</v>
      </c>
      <c r="F16" t="s">
        <v>824</v>
      </c>
    </row>
    <row r="17" spans="1:6" x14ac:dyDescent="0.3">
      <c r="A17" t="s">
        <v>827</v>
      </c>
      <c r="B17">
        <v>156680</v>
      </c>
      <c r="C17">
        <v>69568956</v>
      </c>
      <c r="D17">
        <v>5.0999999999999996</v>
      </c>
      <c r="E17" s="5" t="s">
        <v>808</v>
      </c>
      <c r="F17" t="s">
        <v>824</v>
      </c>
    </row>
    <row r="18" spans="1:6" x14ac:dyDescent="0.3">
      <c r="A18" t="s">
        <v>828</v>
      </c>
      <c r="B18">
        <v>822</v>
      </c>
      <c r="C18">
        <v>296915</v>
      </c>
      <c r="D18">
        <v>0.02</v>
      </c>
      <c r="E18" s="5" t="s">
        <v>808</v>
      </c>
      <c r="F18" t="s">
        <v>824</v>
      </c>
    </row>
    <row r="19" spans="1:6" x14ac:dyDescent="0.3">
      <c r="A19" t="s">
        <v>843</v>
      </c>
      <c r="B19">
        <v>160107</v>
      </c>
      <c r="C19">
        <v>65889495</v>
      </c>
      <c r="D19">
        <v>4.83</v>
      </c>
    </row>
    <row r="20" spans="1:6" x14ac:dyDescent="0.3">
      <c r="A20" t="s">
        <v>829</v>
      </c>
      <c r="B20">
        <v>16810</v>
      </c>
      <c r="C20">
        <v>6264655</v>
      </c>
      <c r="D20">
        <v>0.46</v>
      </c>
    </row>
    <row r="21" spans="1:6" x14ac:dyDescent="0.3">
      <c r="A21" t="s">
        <v>830</v>
      </c>
      <c r="B21">
        <v>19674</v>
      </c>
      <c r="C21">
        <v>12603682</v>
      </c>
      <c r="D21">
        <v>0.92</v>
      </c>
    </row>
    <row r="22" spans="1:6" x14ac:dyDescent="0.3">
      <c r="A22" t="s">
        <v>831</v>
      </c>
      <c r="B22">
        <v>0</v>
      </c>
      <c r="C22">
        <v>0</v>
      </c>
      <c r="D22">
        <v>0</v>
      </c>
    </row>
    <row r="23" spans="1:6" x14ac:dyDescent="0.3">
      <c r="A23" t="s">
        <v>832</v>
      </c>
      <c r="B23">
        <v>0</v>
      </c>
      <c r="C23">
        <v>0</v>
      </c>
      <c r="D23">
        <v>0</v>
      </c>
    </row>
    <row r="24" spans="1:6" x14ac:dyDescent="0.3">
      <c r="A24" t="s">
        <v>833</v>
      </c>
      <c r="B24">
        <v>191</v>
      </c>
      <c r="C24">
        <v>37999</v>
      </c>
      <c r="D24">
        <v>0</v>
      </c>
    </row>
    <row r="25" spans="1:6" x14ac:dyDescent="0.3">
      <c r="A25" t="s">
        <v>834</v>
      </c>
      <c r="B25">
        <v>10123</v>
      </c>
      <c r="C25">
        <v>3293187</v>
      </c>
      <c r="D25">
        <v>0.24</v>
      </c>
    </row>
    <row r="26" spans="1:6" x14ac:dyDescent="0.3">
      <c r="A26" t="s">
        <v>842</v>
      </c>
      <c r="B26">
        <v>1128</v>
      </c>
      <c r="C26">
        <v>481991</v>
      </c>
      <c r="D26">
        <v>0.04</v>
      </c>
    </row>
    <row r="27" spans="1:6" x14ac:dyDescent="0.3">
      <c r="A27" t="s">
        <v>835</v>
      </c>
      <c r="B27">
        <v>24567</v>
      </c>
      <c r="C27">
        <v>2756498</v>
      </c>
      <c r="D27">
        <v>0.2</v>
      </c>
    </row>
    <row r="28" spans="1:6" x14ac:dyDescent="0.3">
      <c r="A28" t="s">
        <v>836</v>
      </c>
      <c r="B28">
        <v>1856908</v>
      </c>
      <c r="C28">
        <v>493064927</v>
      </c>
      <c r="D28">
        <v>36.15</v>
      </c>
    </row>
    <row r="29" spans="1:6" x14ac:dyDescent="0.3">
      <c r="A29" t="s">
        <v>841</v>
      </c>
      <c r="C29">
        <v>795077652</v>
      </c>
      <c r="D29">
        <v>58.3</v>
      </c>
    </row>
    <row r="30" spans="1:6" x14ac:dyDescent="0.3">
      <c r="A30" t="s">
        <v>840</v>
      </c>
      <c r="B30">
        <v>43347</v>
      </c>
      <c r="C30">
        <v>13651548</v>
      </c>
      <c r="D30">
        <v>1</v>
      </c>
    </row>
    <row r="31" spans="1:6" x14ac:dyDescent="0.3">
      <c r="A31" t="s">
        <v>837</v>
      </c>
      <c r="B31">
        <v>1493</v>
      </c>
      <c r="C31">
        <v>9621282</v>
      </c>
      <c r="D31">
        <v>0.71</v>
      </c>
    </row>
    <row r="32" spans="1:6" x14ac:dyDescent="0.3">
      <c r="A32" t="s">
        <v>839</v>
      </c>
      <c r="B32">
        <v>210028</v>
      </c>
      <c r="C32">
        <v>10028675</v>
      </c>
      <c r="D32">
        <v>0.74</v>
      </c>
    </row>
    <row r="33" spans="1:4" x14ac:dyDescent="0.3">
      <c r="A33" t="s">
        <v>838</v>
      </c>
      <c r="B33">
        <v>16069</v>
      </c>
      <c r="C33">
        <v>888421</v>
      </c>
      <c r="D33">
        <v>7.0000000000000007E-2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D68A-1E8E-4526-A388-2825587C2B75}">
  <dimension ref="A1:AB19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L11" sqref="L11"/>
    </sheetView>
  </sheetViews>
  <sheetFormatPr defaultRowHeight="14.4" x14ac:dyDescent="0.3"/>
  <cols>
    <col min="1" max="1" width="17.33203125" style="5" bestFit="1" customWidth="1"/>
    <col min="2" max="2" width="8.109375" bestFit="1" customWidth="1"/>
    <col min="3" max="3" width="11.5546875" bestFit="1" customWidth="1"/>
    <col min="4" max="4" width="7.6640625" bestFit="1" customWidth="1"/>
    <col min="5" max="5" width="8.44140625" customWidth="1"/>
    <col min="6" max="6" width="6.5546875" bestFit="1" customWidth="1"/>
    <col min="9" max="9" width="11.5546875" bestFit="1" customWidth="1"/>
    <col min="10" max="10" width="14.44140625" bestFit="1" customWidth="1"/>
    <col min="11" max="11" width="11" style="39" bestFit="1" customWidth="1"/>
    <col min="12" max="12" width="11.6640625" style="39" bestFit="1" customWidth="1"/>
    <col min="13" max="13" width="11.109375" style="39" customWidth="1"/>
    <col min="14" max="14" width="6.6640625" style="2" bestFit="1" customWidth="1"/>
    <col min="15" max="15" width="10.6640625" style="56" bestFit="1" customWidth="1"/>
    <col min="16" max="16" width="13.88671875" style="56" bestFit="1" customWidth="1"/>
    <col min="17" max="17" width="12" style="56" bestFit="1" customWidth="1"/>
    <col min="18" max="18" width="7.88671875" style="3" bestFit="1" customWidth="1"/>
    <col min="19" max="19" width="12.33203125" style="56" bestFit="1" customWidth="1"/>
    <col min="20" max="21" width="12.33203125" style="3" customWidth="1"/>
    <col min="22" max="22" width="12.6640625" style="3" bestFit="1" customWidth="1"/>
    <col min="23" max="23" width="13.33203125" style="3" bestFit="1" customWidth="1"/>
    <col min="24" max="24" width="10.88671875" style="3" bestFit="1" customWidth="1"/>
    <col min="25" max="25" width="15.6640625" style="4" bestFit="1" customWidth="1"/>
    <col min="26" max="26" width="14.33203125" style="4" customWidth="1"/>
    <col min="27" max="27" width="19.109375" style="55" bestFit="1" customWidth="1"/>
    <col min="28" max="28" width="11.33203125" style="4" bestFit="1" customWidth="1"/>
  </cols>
  <sheetData>
    <row r="1" spans="1:28" x14ac:dyDescent="0.3">
      <c r="N1" s="354" t="s">
        <v>251</v>
      </c>
      <c r="O1" s="355"/>
      <c r="P1" s="355"/>
      <c r="Q1" s="355"/>
      <c r="R1" s="355"/>
      <c r="S1" s="357" t="s">
        <v>252</v>
      </c>
      <c r="T1" s="357"/>
      <c r="U1" s="357"/>
      <c r="V1" s="58"/>
      <c r="W1" s="58"/>
      <c r="X1" s="345" t="s">
        <v>253</v>
      </c>
      <c r="Y1" s="345"/>
      <c r="Z1" s="356"/>
      <c r="AA1" s="55" t="s">
        <v>254</v>
      </c>
      <c r="AB1" s="4" t="s">
        <v>255</v>
      </c>
    </row>
    <row r="2" spans="1:28" s="5" customFormat="1" ht="15" thickBot="1" x14ac:dyDescent="0.35">
      <c r="B2" s="5" t="s">
        <v>256</v>
      </c>
      <c r="C2" s="5" t="s">
        <v>257</v>
      </c>
      <c r="D2" s="5" t="s">
        <v>258</v>
      </c>
      <c r="E2" s="5" t="s">
        <v>259</v>
      </c>
      <c r="F2" s="5" t="s">
        <v>260</v>
      </c>
      <c r="G2" s="5" t="s">
        <v>261</v>
      </c>
      <c r="H2" s="5" t="s">
        <v>262</v>
      </c>
      <c r="I2" s="5" t="s">
        <v>263</v>
      </c>
      <c r="J2" s="5" t="s">
        <v>264</v>
      </c>
      <c r="K2" s="37" t="s">
        <v>265</v>
      </c>
      <c r="L2" s="37" t="s">
        <v>266</v>
      </c>
      <c r="M2" s="37" t="s">
        <v>267</v>
      </c>
      <c r="N2" s="2" t="s">
        <v>109</v>
      </c>
      <c r="O2" s="56" t="s">
        <v>268</v>
      </c>
      <c r="P2" s="56" t="s">
        <v>100</v>
      </c>
      <c r="Q2" s="56" t="s">
        <v>101</v>
      </c>
      <c r="R2" s="3" t="s">
        <v>103</v>
      </c>
      <c r="S2" s="56" t="s">
        <v>269</v>
      </c>
      <c r="T2" s="3" t="s">
        <v>270</v>
      </c>
      <c r="U2" s="3" t="s">
        <v>271</v>
      </c>
      <c r="V2" s="3" t="s">
        <v>272</v>
      </c>
      <c r="W2" s="3" t="s">
        <v>273</v>
      </c>
      <c r="X2" s="3" t="s">
        <v>274</v>
      </c>
      <c r="Y2" s="4" t="s">
        <v>275</v>
      </c>
      <c r="Z2" s="4" t="s">
        <v>276</v>
      </c>
      <c r="AA2" s="55" t="s">
        <v>277</v>
      </c>
      <c r="AB2" s="4" t="s">
        <v>113</v>
      </c>
    </row>
    <row r="3" spans="1:28" ht="58.8" thickTop="1" thickBot="1" x14ac:dyDescent="0.35">
      <c r="A3" s="2" t="s">
        <v>88</v>
      </c>
      <c r="B3" t="s">
        <v>278</v>
      </c>
      <c r="C3" t="s">
        <v>279</v>
      </c>
      <c r="D3" t="s">
        <v>280</v>
      </c>
      <c r="E3" s="46" t="s">
        <v>278</v>
      </c>
      <c r="F3" s="46" t="s">
        <v>278</v>
      </c>
      <c r="G3" t="s">
        <v>278</v>
      </c>
      <c r="I3" s="2" t="s">
        <v>281</v>
      </c>
      <c r="J3" s="2">
        <v>693071</v>
      </c>
      <c r="K3" s="38" t="s">
        <v>282</v>
      </c>
      <c r="L3" s="38" t="s">
        <v>283</v>
      </c>
      <c r="M3" s="40">
        <v>0.13060185185185186</v>
      </c>
      <c r="N3" s="2" t="s">
        <v>284</v>
      </c>
      <c r="O3" s="56" t="s">
        <v>284</v>
      </c>
      <c r="P3" s="56" t="s">
        <v>284</v>
      </c>
      <c r="Q3" s="57" t="s">
        <v>285</v>
      </c>
      <c r="R3" s="3" t="s">
        <v>284</v>
      </c>
      <c r="S3" s="56" t="s">
        <v>284</v>
      </c>
      <c r="Y3" s="4" t="s">
        <v>286</v>
      </c>
      <c r="Z3" s="4" t="s">
        <v>286</v>
      </c>
      <c r="AA3" s="55" t="s">
        <v>287</v>
      </c>
      <c r="AB3" s="4" t="s">
        <v>288</v>
      </c>
    </row>
    <row r="4" spans="1:28" ht="15.6" thickTop="1" thickBot="1" x14ac:dyDescent="0.35">
      <c r="A4" s="2" t="s">
        <v>89</v>
      </c>
      <c r="B4" t="s">
        <v>278</v>
      </c>
      <c r="C4" t="s">
        <v>278</v>
      </c>
      <c r="D4" s="2">
        <v>2</v>
      </c>
      <c r="E4" s="2" t="s">
        <v>279</v>
      </c>
      <c r="F4" s="2" t="s">
        <v>279</v>
      </c>
      <c r="G4" s="43" t="s">
        <v>279</v>
      </c>
      <c r="H4" s="43">
        <v>51</v>
      </c>
      <c r="I4" s="2"/>
      <c r="J4" s="2">
        <v>715904</v>
      </c>
      <c r="K4" s="38" t="s">
        <v>289</v>
      </c>
      <c r="L4" s="38">
        <f>14.24%*198</f>
        <v>28.1952</v>
      </c>
      <c r="M4" s="40">
        <v>0.19799768518518521</v>
      </c>
      <c r="Q4" s="56">
        <v>1</v>
      </c>
      <c r="Y4" s="59" t="s">
        <v>290</v>
      </c>
      <c r="Z4" s="59" t="s">
        <v>290</v>
      </c>
    </row>
    <row r="5" spans="1:28" ht="15.6" thickTop="1" thickBot="1" x14ac:dyDescent="0.35">
      <c r="A5" s="2" t="s">
        <v>90</v>
      </c>
      <c r="B5" t="s">
        <v>279</v>
      </c>
      <c r="C5" t="s">
        <v>279</v>
      </c>
      <c r="D5" s="2" t="s">
        <v>291</v>
      </c>
      <c r="E5" s="53" t="s">
        <v>278</v>
      </c>
      <c r="F5" s="46" t="s">
        <v>278</v>
      </c>
      <c r="G5" t="s">
        <v>278</v>
      </c>
      <c r="I5" s="2"/>
      <c r="J5" s="2">
        <v>718356</v>
      </c>
      <c r="K5" s="38" t="s">
        <v>292</v>
      </c>
      <c r="L5" s="38">
        <f>65.14%*128</f>
        <v>83.379199999999997</v>
      </c>
      <c r="M5" s="38" t="s">
        <v>293</v>
      </c>
    </row>
    <row r="6" spans="1:28" ht="15.6" thickTop="1" thickBot="1" x14ac:dyDescent="0.35">
      <c r="A6" s="2" t="s">
        <v>294</v>
      </c>
      <c r="B6" t="s">
        <v>279</v>
      </c>
      <c r="C6" t="s">
        <v>279</v>
      </c>
      <c r="D6" s="2">
        <v>1</v>
      </c>
      <c r="E6" s="2" t="s">
        <v>279</v>
      </c>
      <c r="F6" s="2" t="s">
        <v>279</v>
      </c>
      <c r="G6" t="s">
        <v>278</v>
      </c>
      <c r="I6" s="2"/>
      <c r="J6" s="2">
        <v>718325</v>
      </c>
      <c r="K6" s="38" t="s">
        <v>295</v>
      </c>
      <c r="L6" s="38">
        <f>18.79%*198</f>
        <v>37.2042</v>
      </c>
      <c r="M6" s="38" t="s">
        <v>296</v>
      </c>
      <c r="Y6" s="59" t="s">
        <v>290</v>
      </c>
      <c r="Z6" s="59" t="s">
        <v>290</v>
      </c>
    </row>
    <row r="7" spans="1:28" ht="15.6" thickTop="1" thickBot="1" x14ac:dyDescent="0.35">
      <c r="A7" s="2" t="s">
        <v>92</v>
      </c>
      <c r="B7" t="s">
        <v>278</v>
      </c>
      <c r="C7" t="s">
        <v>278</v>
      </c>
      <c r="D7" s="2" t="s">
        <v>297</v>
      </c>
      <c r="E7" s="46" t="s">
        <v>278</v>
      </c>
      <c r="F7" s="46" t="s">
        <v>278</v>
      </c>
      <c r="G7" t="s">
        <v>278</v>
      </c>
      <c r="H7">
        <v>15</v>
      </c>
      <c r="I7" s="2"/>
      <c r="J7" s="2">
        <v>677303</v>
      </c>
      <c r="K7" s="38" t="s">
        <v>298</v>
      </c>
      <c r="L7" s="38">
        <f>4.72%*198</f>
        <v>9.3455999999999992</v>
      </c>
      <c r="M7" s="40">
        <v>6.6284722222222217E-2</v>
      </c>
      <c r="Q7" s="56">
        <v>1</v>
      </c>
    </row>
    <row r="8" spans="1:28" ht="15.6" thickTop="1" thickBot="1" x14ac:dyDescent="0.35">
      <c r="A8" s="2" t="s">
        <v>93</v>
      </c>
      <c r="B8" t="s">
        <v>278</v>
      </c>
      <c r="C8" t="s">
        <v>278</v>
      </c>
      <c r="D8">
        <v>1</v>
      </c>
      <c r="E8" s="46" t="s">
        <v>278</v>
      </c>
      <c r="F8" s="46" t="s">
        <v>278</v>
      </c>
      <c r="G8" t="s">
        <v>278</v>
      </c>
      <c r="H8">
        <v>16</v>
      </c>
      <c r="I8" s="2"/>
      <c r="J8" s="2" t="s">
        <v>299</v>
      </c>
      <c r="K8" s="38" t="s">
        <v>300</v>
      </c>
      <c r="L8" s="38">
        <f>3.82%*198</f>
        <v>7.5635999999999992</v>
      </c>
      <c r="M8" s="40">
        <v>5.6712962962962965E-2</v>
      </c>
      <c r="Q8" s="56">
        <v>1</v>
      </c>
    </row>
    <row r="9" spans="1:28" ht="15.6" thickTop="1" thickBot="1" x14ac:dyDescent="0.35">
      <c r="A9" s="2" t="s">
        <v>94</v>
      </c>
      <c r="B9" t="s">
        <v>279</v>
      </c>
      <c r="C9" t="s">
        <v>279</v>
      </c>
      <c r="D9" s="2">
        <v>1</v>
      </c>
      <c r="E9" s="2" t="s">
        <v>279</v>
      </c>
      <c r="F9" s="2" t="s">
        <v>279</v>
      </c>
      <c r="G9" s="44" t="s">
        <v>279</v>
      </c>
      <c r="H9" s="44"/>
      <c r="I9" s="2"/>
      <c r="J9" s="2"/>
      <c r="K9" s="38"/>
      <c r="L9" s="38"/>
      <c r="M9" s="38" t="s">
        <v>301</v>
      </c>
      <c r="Y9" s="59" t="s">
        <v>290</v>
      </c>
      <c r="Z9" s="59" t="s">
        <v>290</v>
      </c>
    </row>
    <row r="10" spans="1:28" ht="15.6" thickTop="1" thickBot="1" x14ac:dyDescent="0.35">
      <c r="A10" s="47" t="s">
        <v>302</v>
      </c>
      <c r="B10" s="47"/>
      <c r="C10" s="47"/>
      <c r="D10" s="47"/>
      <c r="E10" s="47"/>
      <c r="F10" s="47"/>
      <c r="G10" s="51"/>
      <c r="H10" s="51"/>
      <c r="I10" s="47"/>
      <c r="J10" s="47">
        <v>707775</v>
      </c>
      <c r="K10" s="48">
        <v>162.13999999999999</v>
      </c>
      <c r="L10" s="48">
        <f>3.04%*198</f>
        <v>6.0191999999999997</v>
      </c>
      <c r="M10" s="48" t="s">
        <v>303</v>
      </c>
      <c r="Y10" s="59"/>
      <c r="Z10" s="59"/>
    </row>
    <row r="11" spans="1:28" ht="15.6" thickTop="1" thickBot="1" x14ac:dyDescent="0.35">
      <c r="A11" s="47" t="s">
        <v>304</v>
      </c>
      <c r="B11" s="47"/>
      <c r="C11" s="47"/>
      <c r="D11" s="47"/>
      <c r="E11" s="47"/>
      <c r="F11" s="47"/>
      <c r="G11" s="51"/>
      <c r="H11" s="51"/>
      <c r="I11" s="47"/>
      <c r="J11" s="47">
        <v>714993</v>
      </c>
      <c r="K11" s="48"/>
      <c r="L11" s="48"/>
      <c r="M11" s="48" t="s">
        <v>305</v>
      </c>
      <c r="Y11" s="59"/>
      <c r="Z11" s="59"/>
    </row>
    <row r="12" spans="1:28" ht="15.6" thickTop="1" thickBot="1" x14ac:dyDescent="0.35">
      <c r="A12" s="47" t="s">
        <v>306</v>
      </c>
      <c r="B12" s="47"/>
      <c r="C12" s="47"/>
      <c r="D12" s="47"/>
      <c r="E12" s="47"/>
      <c r="F12" s="47"/>
      <c r="G12" s="51"/>
      <c r="H12" s="51"/>
      <c r="I12" s="47"/>
      <c r="J12" s="47" t="s">
        <v>307</v>
      </c>
      <c r="K12" s="48"/>
      <c r="L12" s="48"/>
      <c r="M12" s="50">
        <v>0.19625000000000001</v>
      </c>
      <c r="Y12" s="59"/>
      <c r="Z12" s="59"/>
    </row>
    <row r="13" spans="1:28" ht="14.4" customHeight="1" thickTop="1" thickBot="1" x14ac:dyDescent="0.35">
      <c r="A13" s="2" t="s">
        <v>308</v>
      </c>
      <c r="B13" t="s">
        <v>279</v>
      </c>
      <c r="C13" t="s">
        <v>278</v>
      </c>
      <c r="D13">
        <v>1</v>
      </c>
      <c r="E13" s="46" t="s">
        <v>278</v>
      </c>
      <c r="F13" s="46" t="s">
        <v>278</v>
      </c>
      <c r="G13" t="s">
        <v>278</v>
      </c>
      <c r="I13" s="2"/>
      <c r="J13" s="2">
        <v>710535</v>
      </c>
      <c r="K13" s="38" t="s">
        <v>309</v>
      </c>
      <c r="L13" s="38" t="s">
        <v>310</v>
      </c>
      <c r="M13" s="41">
        <v>0.34737268518518521</v>
      </c>
      <c r="Q13" s="56">
        <v>1</v>
      </c>
    </row>
    <row r="14" spans="1:28" ht="15" thickTop="1" x14ac:dyDescent="0.3">
      <c r="A14" s="47" t="s">
        <v>311</v>
      </c>
      <c r="B14" s="47"/>
      <c r="C14" s="47"/>
      <c r="D14" s="47"/>
      <c r="E14" s="47"/>
      <c r="F14" s="47"/>
      <c r="G14" s="47"/>
      <c r="H14" s="47"/>
      <c r="I14" s="47"/>
      <c r="J14" s="47">
        <v>713807</v>
      </c>
      <c r="K14" s="48" t="s">
        <v>312</v>
      </c>
      <c r="L14" s="49" t="s">
        <v>313</v>
      </c>
      <c r="M14" s="50">
        <v>4.08912037037037E-2</v>
      </c>
    </row>
    <row r="15" spans="1:28" x14ac:dyDescent="0.3">
      <c r="A15" s="5" t="s">
        <v>314</v>
      </c>
      <c r="M15" s="42">
        <v>0.38826388888888891</v>
      </c>
    </row>
    <row r="19" spans="12:12" x14ac:dyDescent="0.3">
      <c r="L19" s="39">
        <f>198*0.3374*2</f>
        <v>133.6104</v>
      </c>
    </row>
  </sheetData>
  <mergeCells count="3">
    <mergeCell ref="N1:R1"/>
    <mergeCell ref="X1:Z1"/>
    <mergeCell ref="S1:U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BC838-BE93-47FB-8FD6-7CE82B4B6271}">
  <dimension ref="A1:C29"/>
  <sheetViews>
    <sheetView workbookViewId="0">
      <selection activeCell="D6" sqref="D6"/>
    </sheetView>
  </sheetViews>
  <sheetFormatPr defaultRowHeight="14.4" x14ac:dyDescent="0.3"/>
  <cols>
    <col min="1" max="1" width="28.88671875" bestFit="1" customWidth="1"/>
    <col min="2" max="2" width="15.6640625" bestFit="1" customWidth="1"/>
    <col min="3" max="3" width="32.6640625" bestFit="1" customWidth="1"/>
    <col min="4" max="4" width="43.33203125" bestFit="1" customWidth="1"/>
    <col min="5" max="5" width="30" bestFit="1" customWidth="1"/>
    <col min="6" max="6" width="16.109375" bestFit="1" customWidth="1"/>
  </cols>
  <sheetData>
    <row r="1" spans="1:3" x14ac:dyDescent="0.3">
      <c r="A1" s="73" t="s">
        <v>771</v>
      </c>
      <c r="B1" s="73" t="s">
        <v>772</v>
      </c>
    </row>
    <row r="2" spans="1:3" x14ac:dyDescent="0.3">
      <c r="A2" s="74" t="s">
        <v>773</v>
      </c>
      <c r="B2" s="74">
        <v>3000</v>
      </c>
    </row>
    <row r="3" spans="1:3" x14ac:dyDescent="0.3">
      <c r="A3" s="74" t="s">
        <v>774</v>
      </c>
      <c r="B3" s="74">
        <v>1000</v>
      </c>
      <c r="C3" s="358" t="s">
        <v>791</v>
      </c>
    </row>
    <row r="4" spans="1:3" x14ac:dyDescent="0.3">
      <c r="A4" s="74" t="s">
        <v>775</v>
      </c>
      <c r="B4" s="74">
        <v>415</v>
      </c>
      <c r="C4" s="358"/>
    </row>
    <row r="5" spans="1:3" x14ac:dyDescent="0.3">
      <c r="A5" s="73" t="s">
        <v>35</v>
      </c>
      <c r="B5" s="74">
        <f>SUM(B2:B4)</f>
        <v>4415</v>
      </c>
    </row>
    <row r="6" spans="1:3" x14ac:dyDescent="0.3">
      <c r="A6" s="5"/>
    </row>
    <row r="7" spans="1:3" x14ac:dyDescent="0.3">
      <c r="A7" s="212" t="s">
        <v>776</v>
      </c>
      <c r="B7" s="212" t="s">
        <v>779</v>
      </c>
      <c r="C7" s="212" t="s">
        <v>781</v>
      </c>
    </row>
    <row r="8" spans="1:3" ht="28.8" x14ac:dyDescent="0.3">
      <c r="A8" s="211" t="s">
        <v>777</v>
      </c>
      <c r="B8" s="211" t="s">
        <v>280</v>
      </c>
      <c r="C8" s="211" t="s">
        <v>782</v>
      </c>
    </row>
    <row r="9" spans="1:3" ht="28.8" x14ac:dyDescent="0.3">
      <c r="A9" s="211" t="s">
        <v>778</v>
      </c>
      <c r="B9" s="211" t="s">
        <v>780</v>
      </c>
      <c r="C9" s="211" t="s">
        <v>787</v>
      </c>
    </row>
    <row r="10" spans="1:3" ht="28.8" x14ac:dyDescent="0.3">
      <c r="A10" s="211" t="s">
        <v>783</v>
      </c>
      <c r="B10" s="211" t="s">
        <v>280</v>
      </c>
      <c r="C10" s="211" t="s">
        <v>784</v>
      </c>
    </row>
    <row r="11" spans="1:3" ht="28.8" x14ac:dyDescent="0.3">
      <c r="A11" s="211" t="s">
        <v>785</v>
      </c>
      <c r="B11" s="211" t="s">
        <v>280</v>
      </c>
      <c r="C11" s="211" t="s">
        <v>786</v>
      </c>
    </row>
    <row r="12" spans="1:3" x14ac:dyDescent="0.3">
      <c r="A12" s="211" t="s">
        <v>788</v>
      </c>
      <c r="B12" s="211" t="s">
        <v>280</v>
      </c>
      <c r="C12" s="211" t="s">
        <v>789</v>
      </c>
    </row>
    <row r="13" spans="1:3" x14ac:dyDescent="0.3">
      <c r="A13" s="211" t="s">
        <v>790</v>
      </c>
      <c r="B13" s="211" t="s">
        <v>280</v>
      </c>
      <c r="C13" s="211" t="s">
        <v>789</v>
      </c>
    </row>
    <row r="14" spans="1:3" x14ac:dyDescent="0.3">
      <c r="A14" s="70"/>
      <c r="B14" s="70"/>
      <c r="C14" s="70"/>
    </row>
    <row r="15" spans="1:3" x14ac:dyDescent="0.3">
      <c r="A15" s="70"/>
      <c r="B15" s="70"/>
      <c r="C15" s="70"/>
    </row>
    <row r="16" spans="1:3" x14ac:dyDescent="0.3">
      <c r="A16" s="70"/>
      <c r="B16" s="70"/>
      <c r="C16" s="70"/>
    </row>
    <row r="17" spans="1:3" x14ac:dyDescent="0.3">
      <c r="A17" s="70"/>
      <c r="B17" s="70"/>
      <c r="C17" s="70"/>
    </row>
    <row r="18" spans="1:3" x14ac:dyDescent="0.3">
      <c r="A18" s="70"/>
      <c r="B18" s="70"/>
      <c r="C18" s="70"/>
    </row>
    <row r="19" spans="1:3" x14ac:dyDescent="0.3">
      <c r="A19" s="70"/>
      <c r="B19" s="70"/>
      <c r="C19" s="70"/>
    </row>
    <row r="20" spans="1:3" x14ac:dyDescent="0.3">
      <c r="A20" s="70"/>
      <c r="B20" s="70"/>
      <c r="C20" s="70"/>
    </row>
    <row r="21" spans="1:3" x14ac:dyDescent="0.3">
      <c r="A21" s="70"/>
      <c r="B21" s="70"/>
      <c r="C21" s="70"/>
    </row>
    <row r="22" spans="1:3" x14ac:dyDescent="0.3">
      <c r="A22" s="70"/>
      <c r="B22" s="70"/>
      <c r="C22" s="70"/>
    </row>
    <row r="23" spans="1:3" x14ac:dyDescent="0.3">
      <c r="A23" s="70"/>
      <c r="B23" s="70"/>
      <c r="C23" s="70"/>
    </row>
    <row r="24" spans="1:3" x14ac:dyDescent="0.3">
      <c r="A24" s="70"/>
      <c r="B24" s="70"/>
      <c r="C24" s="70"/>
    </row>
    <row r="25" spans="1:3" x14ac:dyDescent="0.3">
      <c r="A25" s="70"/>
      <c r="B25" s="70"/>
      <c r="C25" s="70"/>
    </row>
    <row r="26" spans="1:3" x14ac:dyDescent="0.3">
      <c r="A26" s="70"/>
      <c r="B26" s="70"/>
      <c r="C26" s="70"/>
    </row>
    <row r="27" spans="1:3" x14ac:dyDescent="0.3">
      <c r="A27" s="70"/>
      <c r="B27" s="70"/>
      <c r="C27" s="70"/>
    </row>
    <row r="28" spans="1:3" x14ac:dyDescent="0.3">
      <c r="A28" s="70"/>
      <c r="B28" s="70"/>
      <c r="C28" s="70"/>
    </row>
    <row r="29" spans="1:3" x14ac:dyDescent="0.3">
      <c r="A29" s="70"/>
      <c r="B29" s="70"/>
      <c r="C29" s="70"/>
    </row>
  </sheetData>
  <mergeCells count="1">
    <mergeCell ref="C3:C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76A1-DEDD-431B-8659-4D59DE4B221D}">
  <dimension ref="A1:B5"/>
  <sheetViews>
    <sheetView workbookViewId="0"/>
  </sheetViews>
  <sheetFormatPr defaultRowHeight="14.4" x14ac:dyDescent="0.3"/>
  <cols>
    <col min="1" max="1" width="32.21875" style="70" customWidth="1"/>
  </cols>
  <sheetData>
    <row r="1" spans="1:2" ht="57.6" x14ac:dyDescent="0.3">
      <c r="A1" s="70" t="s">
        <v>535</v>
      </c>
      <c r="B1">
        <v>9662</v>
      </c>
    </row>
    <row r="2" spans="1:2" ht="72" x14ac:dyDescent="0.3">
      <c r="A2" s="70" t="s">
        <v>534</v>
      </c>
      <c r="B2">
        <v>9662</v>
      </c>
    </row>
    <row r="3" spans="1:2" ht="72" x14ac:dyDescent="0.3">
      <c r="A3" s="70" t="s">
        <v>533</v>
      </c>
      <c r="B3">
        <v>7378</v>
      </c>
    </row>
    <row r="4" spans="1:2" x14ac:dyDescent="0.3">
      <c r="A4" s="70" t="s">
        <v>532</v>
      </c>
      <c r="B4">
        <v>7378</v>
      </c>
    </row>
    <row r="5" spans="1:2" ht="72" x14ac:dyDescent="0.3">
      <c r="A5" s="70" t="s">
        <v>531</v>
      </c>
      <c r="B5">
        <v>7378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F1111-D0D5-48AB-8CB9-D8DB8974ED16}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4831-9D61-4310-A4C8-230E831E163D}">
  <dimension ref="A1:M6"/>
  <sheetViews>
    <sheetView topLeftCell="A19" workbookViewId="0">
      <selection activeCell="N5" sqref="N5"/>
    </sheetView>
  </sheetViews>
  <sheetFormatPr defaultRowHeight="14.4" x14ac:dyDescent="0.3"/>
  <cols>
    <col min="3" max="3" width="10" bestFit="1" customWidth="1"/>
    <col min="4" max="6" width="12.33203125" bestFit="1" customWidth="1"/>
    <col min="7" max="7" width="14.88671875" bestFit="1" customWidth="1"/>
    <col min="8" max="8" width="12.33203125" bestFit="1" customWidth="1"/>
    <col min="9" max="9" width="14.88671875" bestFit="1" customWidth="1"/>
    <col min="10" max="11" width="10" bestFit="1" customWidth="1"/>
  </cols>
  <sheetData>
    <row r="1" spans="1:13" x14ac:dyDescent="0.3">
      <c r="A1" t="s">
        <v>331</v>
      </c>
      <c r="B1" s="345" t="s">
        <v>316</v>
      </c>
      <c r="C1" s="345"/>
      <c r="D1" s="345" t="s">
        <v>317</v>
      </c>
      <c r="E1" s="345"/>
      <c r="F1" s="345" t="s">
        <v>318</v>
      </c>
      <c r="G1" s="345"/>
      <c r="H1" s="345" t="s">
        <v>319</v>
      </c>
      <c r="I1" s="345"/>
      <c r="J1" s="345" t="s">
        <v>320</v>
      </c>
      <c r="K1" s="345"/>
      <c r="L1" s="345" t="s">
        <v>321</v>
      </c>
      <c r="M1" s="345"/>
    </row>
    <row r="2" spans="1:13" x14ac:dyDescent="0.3">
      <c r="B2" t="s">
        <v>322</v>
      </c>
      <c r="C2" t="s">
        <v>323</v>
      </c>
      <c r="D2" t="s">
        <v>322</v>
      </c>
      <c r="E2" t="s">
        <v>323</v>
      </c>
      <c r="F2" t="s">
        <v>322</v>
      </c>
      <c r="G2" t="s">
        <v>323</v>
      </c>
      <c r="H2" t="s">
        <v>322</v>
      </c>
      <c r="I2" t="s">
        <v>323</v>
      </c>
      <c r="J2" t="s">
        <v>322</v>
      </c>
      <c r="K2" t="s">
        <v>323</v>
      </c>
      <c r="L2" t="s">
        <v>322</v>
      </c>
      <c r="M2" t="s">
        <v>323</v>
      </c>
    </row>
    <row r="3" spans="1:13" x14ac:dyDescent="0.3">
      <c r="A3">
        <v>1</v>
      </c>
      <c r="B3" s="62">
        <v>4.2952200000000003E-2</v>
      </c>
      <c r="C3" s="62">
        <v>0.12976499999999999</v>
      </c>
      <c r="D3" s="61">
        <v>351410109</v>
      </c>
      <c r="E3" s="61">
        <v>358915033</v>
      </c>
      <c r="F3" s="61">
        <v>224690003</v>
      </c>
      <c r="G3" s="61">
        <v>229488617</v>
      </c>
      <c r="H3" s="61">
        <v>126720106</v>
      </c>
      <c r="I3" s="61">
        <v>129426416</v>
      </c>
      <c r="J3" s="62">
        <v>0.40859400000000001</v>
      </c>
      <c r="K3" s="62">
        <v>0.82883499999999999</v>
      </c>
      <c r="L3" s="62">
        <v>1.0476900000000001E-2</v>
      </c>
      <c r="M3" s="62">
        <v>1.0476900000000001E-2</v>
      </c>
    </row>
    <row r="4" spans="1:13" x14ac:dyDescent="0.3">
      <c r="A4">
        <v>2</v>
      </c>
      <c r="B4" s="62">
        <v>1.7862900000000001E-2</v>
      </c>
      <c r="C4" s="62">
        <v>1.7957000000000001E-2</v>
      </c>
      <c r="D4" s="61">
        <v>851659262</v>
      </c>
      <c r="E4" s="61">
        <v>853328505</v>
      </c>
      <c r="F4" s="61">
        <v>455909590</v>
      </c>
      <c r="G4" s="61">
        <v>456803168</v>
      </c>
      <c r="H4" s="61">
        <v>395749672</v>
      </c>
      <c r="I4" s="61">
        <v>396525337</v>
      </c>
      <c r="J4" s="62">
        <v>0.90817999999999999</v>
      </c>
      <c r="K4" s="62">
        <v>0.97564300000000004</v>
      </c>
      <c r="L4" s="62">
        <v>2.0019E-3</v>
      </c>
      <c r="M4" s="62">
        <v>2.0019E-3</v>
      </c>
    </row>
    <row r="5" spans="1:13" x14ac:dyDescent="0.3">
      <c r="A5">
        <v>3</v>
      </c>
      <c r="B5" s="62">
        <v>1.82387E-2</v>
      </c>
      <c r="C5" s="62">
        <v>1.83474E-2</v>
      </c>
      <c r="D5" s="61">
        <v>818793434</v>
      </c>
      <c r="E5" s="61">
        <v>820431818</v>
      </c>
      <c r="F5" s="61">
        <v>419999536</v>
      </c>
      <c r="G5" s="61">
        <v>420839944</v>
      </c>
      <c r="H5" s="61">
        <v>398793897</v>
      </c>
      <c r="I5" s="61">
        <v>399591874</v>
      </c>
      <c r="J5" s="62">
        <v>0.89751199999999998</v>
      </c>
      <c r="K5" s="62">
        <v>0.96281099999999997</v>
      </c>
      <c r="L5" s="62">
        <v>2.0090799999999999E-3</v>
      </c>
      <c r="M5" s="62">
        <v>2.0090799999999999E-3</v>
      </c>
    </row>
    <row r="6" spans="1:13" x14ac:dyDescent="0.3">
      <c r="F6" s="63"/>
      <c r="G6" s="64"/>
      <c r="H6" s="63"/>
      <c r="I6" s="64"/>
    </row>
  </sheetData>
  <mergeCells count="6">
    <mergeCell ref="L1:M1"/>
    <mergeCell ref="B1:C1"/>
    <mergeCell ref="D1:E1"/>
    <mergeCell ref="F1:G1"/>
    <mergeCell ref="H1:I1"/>
    <mergeCell ref="J1:K1"/>
  </mergeCells>
  <conditionalFormatting sqref="B3:B5">
    <cfRule type="colorScale" priority="12">
      <colorScale>
        <cfvo type="min"/>
        <cfvo type="max"/>
        <color rgb="FF00B050"/>
        <color rgb="FFFF0000"/>
      </colorScale>
    </cfRule>
  </conditionalFormatting>
  <conditionalFormatting sqref="J3:J5">
    <cfRule type="colorScale" priority="11">
      <colorScale>
        <cfvo type="min"/>
        <cfvo type="max"/>
        <color rgb="FFFF0000"/>
        <color rgb="FF00B050"/>
      </colorScale>
    </cfRule>
  </conditionalFormatting>
  <conditionalFormatting sqref="K3:K5">
    <cfRule type="colorScale" priority="10">
      <colorScale>
        <cfvo type="min"/>
        <cfvo type="max"/>
        <color rgb="FFFF0000"/>
        <color rgb="FF00B050"/>
      </colorScale>
    </cfRule>
  </conditionalFormatting>
  <conditionalFormatting sqref="L3:L5">
    <cfRule type="colorScale" priority="9">
      <colorScale>
        <cfvo type="min"/>
        <cfvo type="max"/>
        <color rgb="FF00B050"/>
        <color rgb="FFFF0000"/>
      </colorScale>
    </cfRule>
  </conditionalFormatting>
  <conditionalFormatting sqref="M3:M5">
    <cfRule type="colorScale" priority="8">
      <colorScale>
        <cfvo type="min"/>
        <cfvo type="max"/>
        <color rgb="FF00B050"/>
        <color rgb="FFFF0000"/>
      </colorScale>
    </cfRule>
  </conditionalFormatting>
  <conditionalFormatting sqref="C3:C5">
    <cfRule type="colorScale" priority="7">
      <colorScale>
        <cfvo type="min"/>
        <cfvo type="max"/>
        <color rgb="FF00B050"/>
        <color rgb="FFFF0000"/>
      </colorScale>
    </cfRule>
  </conditionalFormatting>
  <conditionalFormatting sqref="D3:D5">
    <cfRule type="colorScale" priority="6">
      <colorScale>
        <cfvo type="min"/>
        <cfvo type="max"/>
        <color rgb="FFFF0000"/>
        <color rgb="FF00B050"/>
      </colorScale>
    </cfRule>
  </conditionalFormatting>
  <conditionalFormatting sqref="E3:E5">
    <cfRule type="colorScale" priority="5">
      <colorScale>
        <cfvo type="min"/>
        <cfvo type="max"/>
        <color rgb="FFFF0000"/>
        <color rgb="FF00B050"/>
      </colorScale>
    </cfRule>
  </conditionalFormatting>
  <conditionalFormatting sqref="F3:F5">
    <cfRule type="colorScale" priority="4">
      <colorScale>
        <cfvo type="min"/>
        <cfvo type="max"/>
        <color rgb="FFFF0000"/>
        <color rgb="FF00B050"/>
      </colorScale>
    </cfRule>
  </conditionalFormatting>
  <conditionalFormatting sqref="G3:G5">
    <cfRule type="colorScale" priority="3">
      <colorScale>
        <cfvo type="min"/>
        <cfvo type="max"/>
        <color rgb="FFFF0000"/>
        <color rgb="FF00B050"/>
      </colorScale>
    </cfRule>
  </conditionalFormatting>
  <conditionalFormatting sqref="H3:H5">
    <cfRule type="colorScale" priority="2">
      <colorScale>
        <cfvo type="min"/>
        <cfvo type="max"/>
        <color rgb="FFFF0000"/>
        <color rgb="FF00B050"/>
      </colorScale>
    </cfRule>
  </conditionalFormatting>
  <conditionalFormatting sqref="I3:I5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4F09-18F4-4652-A437-3389B281DF01}">
  <dimension ref="A1:AB19"/>
  <sheetViews>
    <sheetView workbookViewId="0">
      <selection activeCell="L24" sqref="L24"/>
    </sheetView>
  </sheetViews>
  <sheetFormatPr defaultRowHeight="14.4" x14ac:dyDescent="0.3"/>
  <cols>
    <col min="2" max="2" width="11.88671875" bestFit="1" customWidth="1"/>
    <col min="3" max="3" width="8" bestFit="1" customWidth="1"/>
    <col min="4" max="4" width="6" bestFit="1" customWidth="1"/>
    <col min="5" max="5" width="7" bestFit="1" customWidth="1"/>
    <col min="6" max="10" width="8.6640625" bestFit="1" customWidth="1"/>
    <col min="11" max="12" width="7" bestFit="1" customWidth="1"/>
    <col min="13" max="14" width="6" bestFit="1" customWidth="1"/>
  </cols>
  <sheetData>
    <row r="1" spans="1:28" x14ac:dyDescent="0.3">
      <c r="A1" t="s">
        <v>331</v>
      </c>
      <c r="B1" t="s">
        <v>324</v>
      </c>
      <c r="D1" s="345" t="s">
        <v>316</v>
      </c>
      <c r="E1" s="345"/>
      <c r="F1" s="71" t="s">
        <v>473</v>
      </c>
      <c r="G1" s="345" t="s">
        <v>318</v>
      </c>
      <c r="H1" s="345"/>
      <c r="I1" s="345" t="s">
        <v>319</v>
      </c>
      <c r="J1" s="345"/>
      <c r="K1" s="345" t="s">
        <v>320</v>
      </c>
      <c r="L1" s="345"/>
      <c r="M1" s="345" t="s">
        <v>472</v>
      </c>
      <c r="N1" s="345"/>
    </row>
    <row r="2" spans="1:28" x14ac:dyDescent="0.3">
      <c r="B2" t="s">
        <v>322</v>
      </c>
      <c r="C2" t="s">
        <v>323</v>
      </c>
      <c r="D2" t="s">
        <v>322</v>
      </c>
      <c r="E2" t="s">
        <v>323</v>
      </c>
      <c r="F2" t="s">
        <v>323</v>
      </c>
      <c r="G2" t="s">
        <v>322</v>
      </c>
      <c r="H2" t="s">
        <v>323</v>
      </c>
      <c r="I2" t="s">
        <v>322</v>
      </c>
      <c r="J2" t="s">
        <v>323</v>
      </c>
      <c r="K2" t="s">
        <v>322</v>
      </c>
      <c r="L2" t="s">
        <v>323</v>
      </c>
      <c r="M2" t="s">
        <v>322</v>
      </c>
      <c r="N2" t="s">
        <v>323</v>
      </c>
      <c r="Q2" s="102" t="s">
        <v>403</v>
      </c>
      <c r="R2" s="102" t="s">
        <v>320</v>
      </c>
      <c r="S2" s="102"/>
      <c r="U2" s="102" t="s">
        <v>403</v>
      </c>
      <c r="V2" s="102" t="s">
        <v>320</v>
      </c>
      <c r="W2" s="102"/>
      <c r="X2" s="102"/>
      <c r="Z2" s="102"/>
      <c r="AA2" s="102" t="s">
        <v>472</v>
      </c>
      <c r="AB2" s="102"/>
    </row>
    <row r="3" spans="1:28" x14ac:dyDescent="0.3">
      <c r="A3">
        <v>1</v>
      </c>
      <c r="B3" s="77">
        <v>0.76097499999999996</v>
      </c>
      <c r="C3" s="77">
        <v>1</v>
      </c>
      <c r="D3" s="77">
        <v>0</v>
      </c>
      <c r="E3" s="77">
        <v>0.23902499999999999</v>
      </c>
      <c r="F3" s="78">
        <v>398901042</v>
      </c>
      <c r="G3" s="78">
        <v>261287082</v>
      </c>
      <c r="H3" s="78">
        <v>281054018</v>
      </c>
      <c r="I3" s="78">
        <v>123586316</v>
      </c>
      <c r="J3" s="78">
        <v>132935889</v>
      </c>
      <c r="K3" s="77">
        <v>0.80540299999999998</v>
      </c>
      <c r="L3" s="77">
        <v>0.82881099999999996</v>
      </c>
      <c r="M3" s="77">
        <v>9.4348000000000001E-3</v>
      </c>
      <c r="N3" s="77">
        <v>9.4348000000000001E-3</v>
      </c>
      <c r="P3" s="77"/>
      <c r="Q3" s="78">
        <v>398901042</v>
      </c>
      <c r="R3" s="77">
        <v>0.80540299999999998</v>
      </c>
      <c r="T3" s="77"/>
      <c r="U3" s="78">
        <v>984092052</v>
      </c>
      <c r="V3" s="77">
        <v>0.973136</v>
      </c>
    </row>
    <row r="4" spans="1:28" x14ac:dyDescent="0.3">
      <c r="A4">
        <v>2</v>
      </c>
      <c r="B4" s="67">
        <v>0.98096899999999998</v>
      </c>
      <c r="C4" s="77">
        <v>0.98237099999999999</v>
      </c>
      <c r="D4" s="77">
        <v>1.7629200000000001E-2</v>
      </c>
      <c r="E4" s="77">
        <v>1.90314E-2</v>
      </c>
      <c r="F4" s="78">
        <v>991835362</v>
      </c>
      <c r="G4" s="78">
        <v>603014584</v>
      </c>
      <c r="H4" s="78">
        <v>613055403</v>
      </c>
      <c r="I4" s="78">
        <v>380698478</v>
      </c>
      <c r="J4" s="78">
        <v>387037503</v>
      </c>
      <c r="K4" s="77">
        <v>0.95675299999999996</v>
      </c>
      <c r="L4" s="77">
        <v>0.96917200000000003</v>
      </c>
      <c r="M4" s="77">
        <v>1.7382700000000001E-3</v>
      </c>
      <c r="N4" s="77">
        <v>1.7382700000000001E-3</v>
      </c>
    </row>
    <row r="5" spans="1:28" x14ac:dyDescent="0.3">
      <c r="A5">
        <v>3</v>
      </c>
      <c r="B5" s="77">
        <v>0.98111000000000004</v>
      </c>
      <c r="C5" s="77">
        <v>0.98188900000000001</v>
      </c>
      <c r="D5" s="77">
        <v>1.8111499999999999E-2</v>
      </c>
      <c r="E5" s="77">
        <v>1.8890500000000001E-2</v>
      </c>
      <c r="F5" s="78">
        <v>984092052</v>
      </c>
      <c r="G5" s="78">
        <v>587318981</v>
      </c>
      <c r="H5" s="78">
        <v>593819032</v>
      </c>
      <c r="I5" s="78">
        <v>391387046</v>
      </c>
      <c r="J5" s="78">
        <v>395718654</v>
      </c>
      <c r="K5" s="77">
        <v>0.973136</v>
      </c>
      <c r="L5" s="77">
        <v>0.973136</v>
      </c>
      <c r="M5" s="77">
        <v>1.6834599999999999E-3</v>
      </c>
      <c r="N5" s="77">
        <v>1.6834599999999999E-3</v>
      </c>
    </row>
    <row r="16" spans="1:28" x14ac:dyDescent="0.3">
      <c r="O16" t="s">
        <v>1211</v>
      </c>
    </row>
    <row r="17" spans="15:15" x14ac:dyDescent="0.3">
      <c r="O17" t="s">
        <v>1210</v>
      </c>
    </row>
    <row r="18" spans="15:15" x14ac:dyDescent="0.3">
      <c r="O18" t="s">
        <v>1209</v>
      </c>
    </row>
    <row r="19" spans="15:15" x14ac:dyDescent="0.3">
      <c r="O19" t="s">
        <v>1212</v>
      </c>
    </row>
  </sheetData>
  <mergeCells count="5">
    <mergeCell ref="M1:N1"/>
    <mergeCell ref="D1:E1"/>
    <mergeCell ref="G1:H1"/>
    <mergeCell ref="I1:J1"/>
    <mergeCell ref="K1:L1"/>
  </mergeCells>
  <conditionalFormatting sqref="K3:K5">
    <cfRule type="colorScale" priority="22">
      <colorScale>
        <cfvo type="min"/>
        <cfvo type="max"/>
        <color rgb="FFFF0000"/>
        <color rgb="FF00B050"/>
      </colorScale>
    </cfRule>
  </conditionalFormatting>
  <conditionalFormatting sqref="L3:L5">
    <cfRule type="colorScale" priority="21">
      <colorScale>
        <cfvo type="min"/>
        <cfvo type="max"/>
        <color rgb="FFFF0000"/>
        <color rgb="FF00B050"/>
      </colorScale>
    </cfRule>
  </conditionalFormatting>
  <conditionalFormatting sqref="M3:M5">
    <cfRule type="colorScale" priority="20">
      <colorScale>
        <cfvo type="min"/>
        <cfvo type="max"/>
        <color rgb="FF00B050"/>
        <color rgb="FFFF0000"/>
      </colorScale>
    </cfRule>
  </conditionalFormatting>
  <conditionalFormatting sqref="N3:N5">
    <cfRule type="colorScale" priority="19">
      <colorScale>
        <cfvo type="min"/>
        <cfvo type="max"/>
        <color rgb="FF00B050"/>
        <color rgb="FFFF0000"/>
      </colorScale>
    </cfRule>
  </conditionalFormatting>
  <conditionalFormatting sqref="E3:E5">
    <cfRule type="colorScale" priority="18">
      <colorScale>
        <cfvo type="min"/>
        <cfvo type="max"/>
        <color rgb="FF00B050"/>
        <color rgb="FFFF0000"/>
      </colorScale>
    </cfRule>
  </conditionalFormatting>
  <conditionalFormatting sqref="F3:F5">
    <cfRule type="colorScale" priority="16">
      <colorScale>
        <cfvo type="min"/>
        <cfvo type="max"/>
        <color rgb="FFFF0000"/>
        <color rgb="FF00B050"/>
      </colorScale>
    </cfRule>
  </conditionalFormatting>
  <conditionalFormatting sqref="G3:G5">
    <cfRule type="colorScale" priority="15">
      <colorScale>
        <cfvo type="min"/>
        <cfvo type="max"/>
        <color rgb="FFFF0000"/>
        <color rgb="FF00B050"/>
      </colorScale>
    </cfRule>
  </conditionalFormatting>
  <conditionalFormatting sqref="H3:H5">
    <cfRule type="colorScale" priority="14">
      <colorScale>
        <cfvo type="min"/>
        <cfvo type="max"/>
        <color rgb="FFFF0000"/>
        <color rgb="FF00B050"/>
      </colorScale>
    </cfRule>
  </conditionalFormatting>
  <conditionalFormatting sqref="I3:I5">
    <cfRule type="colorScale" priority="13">
      <colorScale>
        <cfvo type="min"/>
        <cfvo type="max"/>
        <color rgb="FFFF0000"/>
        <color rgb="FF00B050"/>
      </colorScale>
    </cfRule>
  </conditionalFormatting>
  <conditionalFormatting sqref="J3:J5">
    <cfRule type="colorScale" priority="12">
      <colorScale>
        <cfvo type="min"/>
        <cfvo type="max"/>
        <color rgb="FFFF0000"/>
        <color rgb="FF00B050"/>
      </colorScale>
    </cfRule>
  </conditionalFormatting>
  <conditionalFormatting sqref="B3:B5">
    <cfRule type="colorScale" priority="10">
      <colorScale>
        <cfvo type="min"/>
        <cfvo type="max"/>
        <color rgb="FFFF0000"/>
        <color rgb="FF00B050"/>
      </colorScale>
    </cfRule>
  </conditionalFormatting>
  <conditionalFormatting sqref="P3">
    <cfRule type="colorScale" priority="9">
      <colorScale>
        <cfvo type="min"/>
        <cfvo type="max"/>
        <color rgb="FFFF0000"/>
        <color rgb="FF00B050"/>
      </colorScale>
    </cfRule>
  </conditionalFormatting>
  <conditionalFormatting sqref="Q3">
    <cfRule type="colorScale" priority="8">
      <colorScale>
        <cfvo type="min"/>
        <cfvo type="max"/>
        <color rgb="FFFF0000"/>
        <color rgb="FF00B050"/>
      </colorScale>
    </cfRule>
  </conditionalFormatting>
  <conditionalFormatting sqref="R3">
    <cfRule type="colorScale" priority="7">
      <colorScale>
        <cfvo type="min"/>
        <cfvo type="max"/>
        <color rgb="FFFF0000"/>
        <color rgb="FF00B050"/>
      </colorScale>
    </cfRule>
  </conditionalFormatting>
  <conditionalFormatting sqref="T3">
    <cfRule type="colorScale" priority="3">
      <colorScale>
        <cfvo type="min"/>
        <cfvo type="max"/>
        <color rgb="FFFF0000"/>
        <color rgb="FF00B050"/>
      </colorScale>
    </cfRule>
  </conditionalFormatting>
  <conditionalFormatting sqref="U3">
    <cfRule type="colorScale" priority="2">
      <colorScale>
        <cfvo type="min"/>
        <cfvo type="max"/>
        <color rgb="FFFF0000"/>
        <color rgb="FF00B050"/>
      </colorScale>
    </cfRule>
  </conditionalFormatting>
  <conditionalFormatting sqref="V3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83DA-AC59-488B-89B8-CE4E6872A96D}">
  <dimension ref="A1:O8"/>
  <sheetViews>
    <sheetView workbookViewId="0">
      <selection activeCell="K34" sqref="K34"/>
    </sheetView>
  </sheetViews>
  <sheetFormatPr defaultRowHeight="14.4" x14ac:dyDescent="0.3"/>
  <cols>
    <col min="2" max="2" width="11.88671875" bestFit="1" customWidth="1"/>
    <col min="3" max="3" width="12.88671875" bestFit="1" customWidth="1"/>
    <col min="4" max="7" width="12.33203125" bestFit="1" customWidth="1"/>
    <col min="8" max="8" width="14.33203125" bestFit="1" customWidth="1"/>
    <col min="9" max="9" width="14.88671875" bestFit="1" customWidth="1"/>
    <col min="10" max="10" width="12.33203125" bestFit="1" customWidth="1"/>
    <col min="11" max="11" width="14.88671875" bestFit="1" customWidth="1"/>
    <col min="12" max="13" width="10" bestFit="1" customWidth="1"/>
    <col min="14" max="15" width="9" bestFit="1" customWidth="1"/>
  </cols>
  <sheetData>
    <row r="1" spans="1:15" x14ac:dyDescent="0.3">
      <c r="A1" t="s">
        <v>315</v>
      </c>
      <c r="B1" s="345" t="s">
        <v>324</v>
      </c>
      <c r="C1" s="345"/>
      <c r="D1" s="345" t="s">
        <v>316</v>
      </c>
      <c r="E1" s="345"/>
      <c r="F1" s="345" t="s">
        <v>317</v>
      </c>
      <c r="G1" s="345"/>
      <c r="H1" s="345" t="s">
        <v>318</v>
      </c>
      <c r="I1" s="345"/>
      <c r="J1" s="345" t="s">
        <v>319</v>
      </c>
      <c r="K1" s="345"/>
      <c r="L1" s="345" t="s">
        <v>320</v>
      </c>
      <c r="M1" s="345"/>
      <c r="N1" s="345" t="s">
        <v>321</v>
      </c>
      <c r="O1" s="345"/>
    </row>
    <row r="2" spans="1:15" x14ac:dyDescent="0.3">
      <c r="B2" t="s">
        <v>322</v>
      </c>
      <c r="C2" t="s">
        <v>323</v>
      </c>
      <c r="D2" t="s">
        <v>322</v>
      </c>
      <c r="E2" t="s">
        <v>323</v>
      </c>
      <c r="F2" t="s">
        <v>322</v>
      </c>
      <c r="G2" t="s">
        <v>323</v>
      </c>
      <c r="H2" t="s">
        <v>322</v>
      </c>
      <c r="I2" t="s">
        <v>323</v>
      </c>
      <c r="J2" t="s">
        <v>322</v>
      </c>
      <c r="K2" t="s">
        <v>323</v>
      </c>
      <c r="L2" t="s">
        <v>322</v>
      </c>
      <c r="M2" t="s">
        <v>323</v>
      </c>
      <c r="N2" t="s">
        <v>322</v>
      </c>
      <c r="O2" t="s">
        <v>323</v>
      </c>
    </row>
    <row r="3" spans="1:15" x14ac:dyDescent="0.3">
      <c r="A3">
        <v>1</v>
      </c>
      <c r="B3" s="62">
        <v>0.87023499999999998</v>
      </c>
      <c r="C3" s="62">
        <v>0.95704800000000001</v>
      </c>
      <c r="D3" s="62">
        <v>4.2952200000000003E-2</v>
      </c>
      <c r="E3" s="62">
        <v>0.12976499999999999</v>
      </c>
      <c r="F3" s="61">
        <v>351410109</v>
      </c>
      <c r="G3" s="61">
        <v>358915033</v>
      </c>
      <c r="H3" s="61">
        <v>224690003</v>
      </c>
      <c r="I3" s="61">
        <v>229488617</v>
      </c>
      <c r="J3" s="61">
        <v>126720106</v>
      </c>
      <c r="K3" s="61">
        <v>129426416</v>
      </c>
      <c r="L3" s="62">
        <v>0.40859400000000001</v>
      </c>
      <c r="M3" s="62">
        <v>0.82883499999999999</v>
      </c>
      <c r="N3" s="62">
        <v>1.0476900000000001E-2</v>
      </c>
      <c r="O3" s="62">
        <v>1.0476900000000001E-2</v>
      </c>
    </row>
    <row r="4" spans="1:15" x14ac:dyDescent="0.3">
      <c r="A4">
        <v>2</v>
      </c>
      <c r="B4" s="62">
        <v>0.98117900000000002</v>
      </c>
      <c r="C4" s="62">
        <v>0.98222900000000002</v>
      </c>
      <c r="D4" s="62">
        <v>1.7770600000000001E-2</v>
      </c>
      <c r="E4" s="62">
        <v>1.88205E-2</v>
      </c>
      <c r="F4" s="61">
        <v>845210537</v>
      </c>
      <c r="G4" s="61">
        <v>855852130</v>
      </c>
      <c r="H4" s="61">
        <v>463861188</v>
      </c>
      <c r="I4" s="61">
        <v>469701416</v>
      </c>
      <c r="J4" s="61">
        <v>381349349</v>
      </c>
      <c r="K4" s="61">
        <v>386150714</v>
      </c>
      <c r="L4" s="62">
        <v>0.53690000000000004</v>
      </c>
      <c r="M4" s="62">
        <v>0.96873500000000001</v>
      </c>
      <c r="N4" s="62">
        <v>2.0147400000000001E-3</v>
      </c>
      <c r="O4" s="62">
        <v>2.0147400000000001E-3</v>
      </c>
    </row>
    <row r="5" spans="1:15" x14ac:dyDescent="0.3">
      <c r="A5">
        <v>3</v>
      </c>
      <c r="B5" s="62">
        <f>98.1473%</f>
        <v>0.98147300000000004</v>
      </c>
      <c r="C5" s="62">
        <v>0.98226899999999995</v>
      </c>
      <c r="D5" s="62">
        <f>1.77305%</f>
        <v>1.77305E-2</v>
      </c>
      <c r="E5" s="62">
        <v>1.8526899999999999E-2</v>
      </c>
      <c r="F5" s="61">
        <v>820249910</v>
      </c>
      <c r="G5" s="61">
        <v>829390064</v>
      </c>
      <c r="H5" s="61">
        <v>438158484</v>
      </c>
      <c r="I5" s="61">
        <v>443040943</v>
      </c>
      <c r="J5" s="61">
        <v>382091426</v>
      </c>
      <c r="K5" s="61">
        <v>386349121</v>
      </c>
      <c r="L5" s="62">
        <v>0.54598000000000002</v>
      </c>
      <c r="M5" s="62">
        <v>0.95500200000000002</v>
      </c>
      <c r="N5" s="62">
        <v>2.0262100000000001E-3</v>
      </c>
      <c r="O5" s="62">
        <v>2.0262100000000001E-3</v>
      </c>
    </row>
    <row r="6" spans="1:15" x14ac:dyDescent="0.3">
      <c r="H6" s="63">
        <f>H5/2</f>
        <v>219079242</v>
      </c>
      <c r="I6" s="64">
        <f>I5/2</f>
        <v>221520471.5</v>
      </c>
      <c r="J6" s="63">
        <f>J5+H6</f>
        <v>601170668</v>
      </c>
      <c r="K6" s="64">
        <f>K5+I6</f>
        <v>607869592.5</v>
      </c>
    </row>
    <row r="7" spans="1:15" x14ac:dyDescent="0.3">
      <c r="I7" s="1" t="s">
        <v>365</v>
      </c>
    </row>
    <row r="8" spans="1:15" x14ac:dyDescent="0.3">
      <c r="I8" s="1" t="s">
        <v>366</v>
      </c>
    </row>
  </sheetData>
  <mergeCells count="7">
    <mergeCell ref="N1:O1"/>
    <mergeCell ref="B1:C1"/>
    <mergeCell ref="D1:E1"/>
    <mergeCell ref="F1:G1"/>
    <mergeCell ref="H1:I1"/>
    <mergeCell ref="J1:K1"/>
    <mergeCell ref="L1:M1"/>
  </mergeCells>
  <conditionalFormatting sqref="B3:B5">
    <cfRule type="colorScale" priority="16">
      <colorScale>
        <cfvo type="min"/>
        <cfvo type="max"/>
        <color rgb="FFFF0000"/>
        <color rgb="FF00B050"/>
      </colorScale>
    </cfRule>
  </conditionalFormatting>
  <conditionalFormatting sqref="C3:C5">
    <cfRule type="colorScale" priority="15">
      <colorScale>
        <cfvo type="min"/>
        <cfvo type="max"/>
        <color rgb="FFFF0000"/>
        <color rgb="FF00B050"/>
      </colorScale>
    </cfRule>
  </conditionalFormatting>
  <conditionalFormatting sqref="D3:D5">
    <cfRule type="colorScale" priority="14">
      <colorScale>
        <cfvo type="min"/>
        <cfvo type="max"/>
        <color rgb="FF00B050"/>
        <color rgb="FFFF0000"/>
      </colorScale>
    </cfRule>
  </conditionalFormatting>
  <conditionalFormatting sqref="L3:L5">
    <cfRule type="colorScale" priority="12">
      <colorScale>
        <cfvo type="min"/>
        <cfvo type="max"/>
        <color rgb="FFFF0000"/>
        <color rgb="FF00B050"/>
      </colorScale>
    </cfRule>
  </conditionalFormatting>
  <conditionalFormatting sqref="M3:M5">
    <cfRule type="colorScale" priority="11">
      <colorScale>
        <cfvo type="min"/>
        <cfvo type="max"/>
        <color rgb="FFFF0000"/>
        <color rgb="FF00B050"/>
      </colorScale>
    </cfRule>
  </conditionalFormatting>
  <conditionalFormatting sqref="N3:N5">
    <cfRule type="colorScale" priority="10">
      <colorScale>
        <cfvo type="min"/>
        <cfvo type="max"/>
        <color rgb="FF00B050"/>
        <color rgb="FFFF0000"/>
      </colorScale>
    </cfRule>
  </conditionalFormatting>
  <conditionalFormatting sqref="O3:O5">
    <cfRule type="colorScale" priority="8">
      <colorScale>
        <cfvo type="min"/>
        <cfvo type="max"/>
        <color rgb="FF00B050"/>
        <color rgb="FFFF0000"/>
      </colorScale>
    </cfRule>
  </conditionalFormatting>
  <conditionalFormatting sqref="E3:E5">
    <cfRule type="colorScale" priority="7">
      <colorScale>
        <cfvo type="min"/>
        <cfvo type="max"/>
        <color rgb="FF00B050"/>
        <color rgb="FFFF0000"/>
      </colorScale>
    </cfRule>
  </conditionalFormatting>
  <conditionalFormatting sqref="F3:F5">
    <cfRule type="colorScale" priority="6">
      <colorScale>
        <cfvo type="min"/>
        <cfvo type="max"/>
        <color rgb="FFFF0000"/>
        <color rgb="FF00B050"/>
      </colorScale>
    </cfRule>
  </conditionalFormatting>
  <conditionalFormatting sqref="G3:G5">
    <cfRule type="colorScale" priority="5">
      <colorScale>
        <cfvo type="min"/>
        <cfvo type="max"/>
        <color rgb="FFFF0000"/>
        <color rgb="FF00B050"/>
      </colorScale>
    </cfRule>
  </conditionalFormatting>
  <conditionalFormatting sqref="H3:H5">
    <cfRule type="colorScale" priority="4">
      <colorScale>
        <cfvo type="min"/>
        <cfvo type="max"/>
        <color rgb="FFFF0000"/>
        <color rgb="FF00B050"/>
      </colorScale>
    </cfRule>
  </conditionalFormatting>
  <conditionalFormatting sqref="I3:I5">
    <cfRule type="colorScale" priority="3">
      <colorScale>
        <cfvo type="min"/>
        <cfvo type="max"/>
        <color rgb="FFFF0000"/>
        <color rgb="FF00B050"/>
      </colorScale>
    </cfRule>
  </conditionalFormatting>
  <conditionalFormatting sqref="J3:J5">
    <cfRule type="colorScale" priority="2">
      <colorScale>
        <cfvo type="min"/>
        <cfvo type="max"/>
        <color rgb="FFFF0000"/>
        <color rgb="FF00B050"/>
      </colorScale>
    </cfRule>
  </conditionalFormatting>
  <conditionalFormatting sqref="K3:K5">
    <cfRule type="colorScale" priority="1">
      <colorScale>
        <cfvo type="min"/>
        <cfvo type="max"/>
        <color rgb="FFFF0000"/>
        <color rgb="FF00B050"/>
      </colorScale>
    </cfRule>
  </conditionalFormatting>
  <hyperlinks>
    <hyperlink ref="I8" r:id="rId1" xr:uid="{B4E96615-FC35-45F0-B1DE-5D49FC8171BF}"/>
    <hyperlink ref="I7" r:id="rId2" xr:uid="{35F1566A-B6BC-486B-B660-09332D441192}"/>
  </hyperlinks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89BC-0C6A-4F83-BB73-0639B345EC6E}">
  <dimension ref="A1:B2"/>
  <sheetViews>
    <sheetView workbookViewId="0">
      <selection activeCell="B33" sqref="B33"/>
    </sheetView>
  </sheetViews>
  <sheetFormatPr defaultRowHeight="14.4" x14ac:dyDescent="0.3"/>
  <sheetData>
    <row r="1" spans="1:2" x14ac:dyDescent="0.3">
      <c r="A1" t="s">
        <v>326</v>
      </c>
      <c r="B1">
        <v>45</v>
      </c>
    </row>
    <row r="2" spans="1:2" x14ac:dyDescent="0.3">
      <c r="A2" t="s">
        <v>327</v>
      </c>
      <c r="B2">
        <v>2600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EE8D-AA7C-4352-87A6-2587340A8CD2}">
  <dimension ref="A1:E4"/>
  <sheetViews>
    <sheetView workbookViewId="0">
      <selection activeCell="H24" sqref="H24"/>
    </sheetView>
  </sheetViews>
  <sheetFormatPr defaultRowHeight="14.4" x14ac:dyDescent="0.3"/>
  <cols>
    <col min="3" max="3" width="12.33203125" bestFit="1" customWidth="1"/>
    <col min="5" max="5" width="12.33203125" bestFit="1" customWidth="1"/>
  </cols>
  <sheetData>
    <row r="1" spans="1:5" x14ac:dyDescent="0.3">
      <c r="A1" t="s">
        <v>328</v>
      </c>
      <c r="B1" t="s">
        <v>329</v>
      </c>
      <c r="C1" t="s">
        <v>330</v>
      </c>
    </row>
    <row r="2" spans="1:5" x14ac:dyDescent="0.3">
      <c r="A2">
        <v>3</v>
      </c>
      <c r="B2">
        <v>691</v>
      </c>
      <c r="C2" s="66">
        <v>1688867380</v>
      </c>
      <c r="D2">
        <v>479</v>
      </c>
      <c r="E2" s="66">
        <v>1595326466</v>
      </c>
    </row>
    <row r="3" spans="1:5" x14ac:dyDescent="0.3">
      <c r="A3">
        <v>2</v>
      </c>
      <c r="C3" s="66"/>
    </row>
    <row r="4" spans="1:5" x14ac:dyDescent="0.3">
      <c r="A4">
        <v>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FEE5-765C-44F7-9F0F-B8F078DD9A20}">
  <dimension ref="A1:H4"/>
  <sheetViews>
    <sheetView workbookViewId="0">
      <selection activeCell="H2" sqref="H2"/>
    </sheetView>
  </sheetViews>
  <sheetFormatPr defaultRowHeight="14.4" x14ac:dyDescent="0.3"/>
  <cols>
    <col min="1" max="1" width="12.109375" bestFit="1" customWidth="1"/>
    <col min="2" max="3" width="12" bestFit="1" customWidth="1"/>
    <col min="4" max="4" width="10" bestFit="1" customWidth="1"/>
  </cols>
  <sheetData>
    <row r="1" spans="1:8" x14ac:dyDescent="0.3">
      <c r="A1" t="s">
        <v>367</v>
      </c>
      <c r="B1">
        <v>1000000000</v>
      </c>
      <c r="C1">
        <f>LOG(B1*$B$4)/LOG(4)</f>
        <v>19.930846860889339</v>
      </c>
      <c r="D1">
        <v>400000000</v>
      </c>
      <c r="E1">
        <f>LOG(D1*$B$4)/LOG(4)</f>
        <v>19.269882813445658</v>
      </c>
      <c r="G1" t="s">
        <v>368</v>
      </c>
      <c r="H1">
        <v>21</v>
      </c>
    </row>
    <row r="2" spans="1:8" x14ac:dyDescent="0.3">
      <c r="A2" t="s">
        <v>369</v>
      </c>
      <c r="B2">
        <v>1200000000</v>
      </c>
      <c r="C2">
        <f>LOG(B2*$B$4)/LOG(4)</f>
        <v>20.062364063806239</v>
      </c>
      <c r="D2">
        <v>700000000</v>
      </c>
      <c r="E2">
        <f>LOG(D2*$B$4)/LOG(4)</f>
        <v>19.673560274474461</v>
      </c>
      <c r="G2" t="s">
        <v>370</v>
      </c>
      <c r="H2">
        <v>19</v>
      </c>
    </row>
    <row r="3" spans="1:8" x14ac:dyDescent="0.3">
      <c r="A3" t="s">
        <v>371</v>
      </c>
      <c r="B3">
        <v>1E-3</v>
      </c>
    </row>
    <row r="4" spans="1:8" x14ac:dyDescent="0.3">
      <c r="B4">
        <f>(1-B3)/B3</f>
        <v>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A256-5235-463C-8B85-BBF6A7941324}">
  <dimension ref="A1:B4"/>
  <sheetViews>
    <sheetView workbookViewId="0">
      <selection activeCell="J19" sqref="J19"/>
    </sheetView>
  </sheetViews>
  <sheetFormatPr defaultRowHeight="14.4" x14ac:dyDescent="0.3"/>
  <cols>
    <col min="2" max="2" width="13.6640625" bestFit="1" customWidth="1"/>
  </cols>
  <sheetData>
    <row r="1" spans="1:2" x14ac:dyDescent="0.3">
      <c r="A1" t="s">
        <v>331</v>
      </c>
      <c r="B1" t="s">
        <v>332</v>
      </c>
    </row>
    <row r="2" spans="1:2" x14ac:dyDescent="0.3">
      <c r="A2">
        <v>1</v>
      </c>
      <c r="B2" t="s">
        <v>333</v>
      </c>
    </row>
    <row r="3" spans="1:2" x14ac:dyDescent="0.3">
      <c r="A3">
        <v>2</v>
      </c>
      <c r="B3" s="61">
        <v>1973296367</v>
      </c>
    </row>
    <row r="4" spans="1:2" x14ac:dyDescent="0.3">
      <c r="A4">
        <v>3</v>
      </c>
      <c r="B4" s="61">
        <v>1416180608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CCD4-7909-4832-A6F4-F9258A01EA2D}">
  <dimension ref="A1:I15"/>
  <sheetViews>
    <sheetView workbookViewId="0">
      <selection activeCell="D1" sqref="D1"/>
    </sheetView>
  </sheetViews>
  <sheetFormatPr defaultRowHeight="14.4" x14ac:dyDescent="0.3"/>
  <cols>
    <col min="1" max="1" width="14.88671875" bestFit="1" customWidth="1"/>
    <col min="2" max="2" width="21.88671875" bestFit="1" customWidth="1"/>
    <col min="3" max="3" width="25.109375" bestFit="1" customWidth="1"/>
    <col min="4" max="4" width="15" bestFit="1" customWidth="1"/>
    <col min="5" max="5" width="13.88671875" bestFit="1" customWidth="1"/>
  </cols>
  <sheetData>
    <row r="1" spans="1:9" x14ac:dyDescent="0.3">
      <c r="A1" t="s">
        <v>184</v>
      </c>
      <c r="B1" t="s">
        <v>427</v>
      </c>
      <c r="C1">
        <v>29</v>
      </c>
      <c r="D1">
        <v>29.9178</v>
      </c>
    </row>
    <row r="2" spans="1:9" x14ac:dyDescent="0.3">
      <c r="A2" t="s">
        <v>184</v>
      </c>
      <c r="B2" t="s">
        <v>428</v>
      </c>
      <c r="C2">
        <v>57</v>
      </c>
      <c r="D2">
        <v>56.700400000000002</v>
      </c>
    </row>
    <row r="4" spans="1:9" x14ac:dyDescent="0.3">
      <c r="A4" t="s">
        <v>429</v>
      </c>
      <c r="B4" t="s">
        <v>430</v>
      </c>
      <c r="C4" t="s">
        <v>431</v>
      </c>
      <c r="D4" t="s">
        <v>432</v>
      </c>
    </row>
    <row r="5" spans="1:9" x14ac:dyDescent="0.3">
      <c r="A5" t="s">
        <v>433</v>
      </c>
      <c r="B5" t="s">
        <v>434</v>
      </c>
      <c r="C5" t="s">
        <v>435</v>
      </c>
      <c r="D5" t="s">
        <v>436</v>
      </c>
      <c r="E5" t="s">
        <v>437</v>
      </c>
      <c r="F5">
        <v>4.5812699999999998E-2</v>
      </c>
    </row>
    <row r="6" spans="1:9" x14ac:dyDescent="0.3">
      <c r="A6" t="s">
        <v>429</v>
      </c>
      <c r="B6" t="s">
        <v>430</v>
      </c>
      <c r="C6" t="s">
        <v>438</v>
      </c>
      <c r="D6" t="s">
        <v>439</v>
      </c>
    </row>
    <row r="7" spans="1:9" x14ac:dyDescent="0.3">
      <c r="A7" t="s">
        <v>440</v>
      </c>
      <c r="B7" t="s">
        <v>434</v>
      </c>
      <c r="C7" t="s">
        <v>435</v>
      </c>
      <c r="D7" t="s">
        <v>436</v>
      </c>
      <c r="E7" t="s">
        <v>437</v>
      </c>
      <c r="F7">
        <v>4.7643699999999997E-2</v>
      </c>
    </row>
    <row r="10" spans="1:9" x14ac:dyDescent="0.3">
      <c r="A10" t="s">
        <v>441</v>
      </c>
      <c r="B10" t="s">
        <v>442</v>
      </c>
      <c r="C10" t="s">
        <v>443</v>
      </c>
      <c r="D10" t="s">
        <v>444</v>
      </c>
      <c r="E10" t="s">
        <v>445</v>
      </c>
      <c r="F10" t="s">
        <v>446</v>
      </c>
      <c r="G10" t="s">
        <v>447</v>
      </c>
      <c r="H10" t="s">
        <v>448</v>
      </c>
      <c r="I10" t="s">
        <v>449</v>
      </c>
    </row>
    <row r="11" spans="1:9" x14ac:dyDescent="0.3">
      <c r="A11">
        <v>29</v>
      </c>
      <c r="B11" s="61">
        <v>481516649</v>
      </c>
      <c r="C11" s="61">
        <v>55570934314</v>
      </c>
      <c r="D11">
        <v>26.642299999999999</v>
      </c>
      <c r="E11" s="61">
        <v>2085820000</v>
      </c>
      <c r="F11">
        <v>8.7611700000000001E-2</v>
      </c>
      <c r="G11">
        <v>0.20883499999999999</v>
      </c>
      <c r="H11">
        <v>9.0953999999999993E-2</v>
      </c>
      <c r="I11">
        <v>0.17275199999999999</v>
      </c>
    </row>
    <row r="12" spans="1:9" x14ac:dyDescent="0.3">
      <c r="E12" s="63"/>
    </row>
    <row r="13" spans="1:9" x14ac:dyDescent="0.3">
      <c r="A13" t="s">
        <v>450</v>
      </c>
    </row>
    <row r="14" spans="1:9" x14ac:dyDescent="0.3">
      <c r="A14">
        <v>1289840552</v>
      </c>
    </row>
    <row r="15" spans="1:9" x14ac:dyDescent="0.3">
      <c r="A15" t="s">
        <v>451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15FA-1131-4C41-926B-C5B8CEA3965C}">
  <dimension ref="A1:F9"/>
  <sheetViews>
    <sheetView workbookViewId="0">
      <selection activeCell="F2" sqref="F2"/>
    </sheetView>
  </sheetViews>
  <sheetFormatPr defaultRowHeight="14.4" x14ac:dyDescent="0.3"/>
  <cols>
    <col min="1" max="1" width="22.5546875" bestFit="1" customWidth="1"/>
  </cols>
  <sheetData>
    <row r="1" spans="1:6" x14ac:dyDescent="0.3">
      <c r="A1" t="s">
        <v>356</v>
      </c>
      <c r="F1">
        <f>48*0.0166</f>
        <v>0.79679999999999995</v>
      </c>
    </row>
    <row r="2" spans="1:6" x14ac:dyDescent="0.3">
      <c r="A2" t="s">
        <v>357</v>
      </c>
    </row>
    <row r="3" spans="1:6" x14ac:dyDescent="0.3">
      <c r="A3" t="s">
        <v>358</v>
      </c>
    </row>
    <row r="4" spans="1:6" x14ac:dyDescent="0.3">
      <c r="A4" t="s">
        <v>359</v>
      </c>
    </row>
    <row r="5" spans="1:6" x14ac:dyDescent="0.3">
      <c r="A5" t="s">
        <v>360</v>
      </c>
    </row>
    <row r="6" spans="1:6" x14ac:dyDescent="0.3">
      <c r="A6" t="s">
        <v>361</v>
      </c>
    </row>
    <row r="7" spans="1:6" x14ac:dyDescent="0.3">
      <c r="A7" t="s">
        <v>362</v>
      </c>
    </row>
    <row r="8" spans="1:6" x14ac:dyDescent="0.3">
      <c r="A8" t="s">
        <v>363</v>
      </c>
    </row>
    <row r="9" spans="1:6" x14ac:dyDescent="0.3">
      <c r="A9" t="s">
        <v>364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885A-616B-4759-BAD0-68A0907713A9}">
  <dimension ref="A1"/>
  <sheetViews>
    <sheetView topLeftCell="A13" workbookViewId="0">
      <selection activeCell="G2" sqref="G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2AD3A-DA8E-4BAF-9604-814FCCE80CF5}">
  <dimension ref="A1:A22"/>
  <sheetViews>
    <sheetView workbookViewId="0">
      <selection activeCell="A22" sqref="A22"/>
    </sheetView>
  </sheetViews>
  <sheetFormatPr defaultRowHeight="14.4" x14ac:dyDescent="0.3"/>
  <cols>
    <col min="1" max="1" width="41" bestFit="1" customWidth="1"/>
  </cols>
  <sheetData>
    <row r="1" spans="1:1" x14ac:dyDescent="0.3">
      <c r="A1" t="s">
        <v>334</v>
      </c>
    </row>
    <row r="2" spans="1:1" x14ac:dyDescent="0.3">
      <c r="A2" t="s">
        <v>335</v>
      </c>
    </row>
    <row r="3" spans="1:1" x14ac:dyDescent="0.3">
      <c r="A3" t="s">
        <v>336</v>
      </c>
    </row>
    <row r="4" spans="1:1" x14ac:dyDescent="0.3">
      <c r="A4" t="s">
        <v>337</v>
      </c>
    </row>
    <row r="5" spans="1:1" x14ac:dyDescent="0.3">
      <c r="A5" t="s">
        <v>338</v>
      </c>
    </row>
    <row r="6" spans="1:1" x14ac:dyDescent="0.3">
      <c r="A6" t="s">
        <v>339</v>
      </c>
    </row>
    <row r="7" spans="1:1" x14ac:dyDescent="0.3">
      <c r="A7" t="s">
        <v>340</v>
      </c>
    </row>
    <row r="8" spans="1:1" x14ac:dyDescent="0.3">
      <c r="A8" t="s">
        <v>341</v>
      </c>
    </row>
    <row r="9" spans="1:1" x14ac:dyDescent="0.3">
      <c r="A9" t="s">
        <v>342</v>
      </c>
    </row>
    <row r="10" spans="1:1" x14ac:dyDescent="0.3">
      <c r="A10" t="s">
        <v>343</v>
      </c>
    </row>
    <row r="11" spans="1:1" x14ac:dyDescent="0.3">
      <c r="A11" t="s">
        <v>344</v>
      </c>
    </row>
    <row r="12" spans="1:1" x14ac:dyDescent="0.3">
      <c r="A12" t="s">
        <v>345</v>
      </c>
    </row>
    <row r="13" spans="1:1" x14ac:dyDescent="0.3">
      <c r="A13" t="s">
        <v>346</v>
      </c>
    </row>
    <row r="14" spans="1:1" x14ac:dyDescent="0.3">
      <c r="A14" t="s">
        <v>347</v>
      </c>
    </row>
    <row r="15" spans="1:1" x14ac:dyDescent="0.3">
      <c r="A15" t="s">
        <v>348</v>
      </c>
    </row>
    <row r="16" spans="1:1" x14ac:dyDescent="0.3">
      <c r="A16" t="s">
        <v>349</v>
      </c>
    </row>
    <row r="17" spans="1:1" x14ac:dyDescent="0.3">
      <c r="A17" t="s">
        <v>350</v>
      </c>
    </row>
    <row r="18" spans="1:1" x14ac:dyDescent="0.3">
      <c r="A18" t="s">
        <v>351</v>
      </c>
    </row>
    <row r="19" spans="1:1" x14ac:dyDescent="0.3">
      <c r="A19" t="s">
        <v>352</v>
      </c>
    </row>
    <row r="20" spans="1:1" x14ac:dyDescent="0.3">
      <c r="A20" t="s">
        <v>353</v>
      </c>
    </row>
    <row r="21" spans="1:1" x14ac:dyDescent="0.3">
      <c r="A21" t="s">
        <v>354</v>
      </c>
    </row>
    <row r="22" spans="1:1" x14ac:dyDescent="0.3">
      <c r="A22" t="s">
        <v>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048B-105E-4192-9509-5EACB425DA19}">
  <dimension ref="A1:K36"/>
  <sheetViews>
    <sheetView workbookViewId="0">
      <selection activeCell="F19" sqref="F19"/>
    </sheetView>
  </sheetViews>
  <sheetFormatPr defaultRowHeight="14.4" x14ac:dyDescent="0.3"/>
  <cols>
    <col min="2" max="2" width="14.6640625" bestFit="1" customWidth="1"/>
    <col min="11" max="11" width="15.6640625" bestFit="1" customWidth="1"/>
  </cols>
  <sheetData>
    <row r="1" spans="1:11" x14ac:dyDescent="0.3">
      <c r="A1" t="s">
        <v>1094</v>
      </c>
      <c r="B1" t="s">
        <v>1095</v>
      </c>
    </row>
    <row r="2" spans="1:11" x14ac:dyDescent="0.3">
      <c r="A2">
        <v>-1</v>
      </c>
      <c r="B2" s="283">
        <v>41518.734722222223</v>
      </c>
    </row>
    <row r="3" spans="1:11" x14ac:dyDescent="0.3">
      <c r="A3">
        <v>0</v>
      </c>
      <c r="B3" s="283">
        <v>41518.765972222223</v>
      </c>
    </row>
    <row r="4" spans="1:11" x14ac:dyDescent="0.3">
      <c r="A4">
        <v>1</v>
      </c>
      <c r="B4" s="283">
        <v>41518.794444444444</v>
      </c>
    </row>
    <row r="5" spans="1:11" x14ac:dyDescent="0.3">
      <c r="A5">
        <v>2</v>
      </c>
      <c r="B5" s="283">
        <v>41518.828472222223</v>
      </c>
    </row>
    <row r="6" spans="1:11" x14ac:dyDescent="0.3">
      <c r="A6">
        <v>3</v>
      </c>
      <c r="B6" s="283">
        <v>41518.869444444441</v>
      </c>
    </row>
    <row r="7" spans="1:11" x14ac:dyDescent="0.3">
      <c r="A7">
        <v>4</v>
      </c>
      <c r="B7" s="283">
        <v>41518.911805555559</v>
      </c>
      <c r="K7" s="283">
        <v>41518.725694444445</v>
      </c>
    </row>
    <row r="8" spans="1:11" x14ac:dyDescent="0.3">
      <c r="A8">
        <v>5</v>
      </c>
      <c r="B8" s="283">
        <v>41883.033333333333</v>
      </c>
      <c r="K8" s="283">
        <f>59.848*100+41448</f>
        <v>47432.800000000003</v>
      </c>
    </row>
    <row r="9" spans="1:11" x14ac:dyDescent="0.3">
      <c r="A9">
        <v>6</v>
      </c>
      <c r="B9" s="283">
        <v>41883.197916666664</v>
      </c>
    </row>
    <row r="10" spans="1:11" x14ac:dyDescent="0.3">
      <c r="A10">
        <v>7</v>
      </c>
      <c r="B10" s="283">
        <v>41883.362500000003</v>
      </c>
    </row>
    <row r="11" spans="1:11" x14ac:dyDescent="0.3">
      <c r="A11">
        <v>8</v>
      </c>
      <c r="B11" s="283">
        <v>41883.531944444447</v>
      </c>
    </row>
    <row r="12" spans="1:11" x14ac:dyDescent="0.3">
      <c r="A12">
        <v>9</v>
      </c>
      <c r="B12" s="283">
        <v>41883.703472222223</v>
      </c>
    </row>
    <row r="13" spans="1:11" x14ac:dyDescent="0.3">
      <c r="A13">
        <v>10</v>
      </c>
      <c r="B13" s="283">
        <v>41883.873611111114</v>
      </c>
    </row>
    <row r="14" spans="1:11" x14ac:dyDescent="0.3">
      <c r="A14">
        <v>11</v>
      </c>
      <c r="B14" s="283">
        <v>42248.042361111111</v>
      </c>
    </row>
    <row r="15" spans="1:11" x14ac:dyDescent="0.3">
      <c r="A15">
        <v>12</v>
      </c>
      <c r="B15" s="283">
        <v>42248.211111111108</v>
      </c>
    </row>
    <row r="16" spans="1:11" x14ac:dyDescent="0.3">
      <c r="A16">
        <v>13</v>
      </c>
      <c r="B16" s="283">
        <v>42248.379861111112</v>
      </c>
    </row>
    <row r="17" spans="1:2" x14ac:dyDescent="0.3">
      <c r="A17">
        <v>14</v>
      </c>
      <c r="B17" s="283">
        <v>42248.547222222223</v>
      </c>
    </row>
    <row r="18" spans="1:2" x14ac:dyDescent="0.3">
      <c r="A18">
        <v>15</v>
      </c>
      <c r="B18" s="283">
        <v>42248.714583333334</v>
      </c>
    </row>
    <row r="19" spans="1:2" x14ac:dyDescent="0.3">
      <c r="A19">
        <v>16</v>
      </c>
      <c r="B19" s="283">
        <v>42248.881944444445</v>
      </c>
    </row>
    <row r="20" spans="1:2" x14ac:dyDescent="0.3">
      <c r="A20">
        <v>17</v>
      </c>
      <c r="B20" s="283">
        <v>42614.049305555556</v>
      </c>
    </row>
    <row r="21" spans="1:2" x14ac:dyDescent="0.3">
      <c r="A21">
        <v>18</v>
      </c>
      <c r="B21" s="283">
        <v>42614.21597222222</v>
      </c>
    </row>
    <row r="22" spans="1:2" x14ac:dyDescent="0.3">
      <c r="A22">
        <v>19</v>
      </c>
      <c r="B22" s="283">
        <v>42614.382638888892</v>
      </c>
    </row>
    <row r="23" spans="1:2" x14ac:dyDescent="0.3">
      <c r="A23">
        <v>20</v>
      </c>
      <c r="B23" s="283">
        <v>42614.55</v>
      </c>
    </row>
    <row r="24" spans="1:2" x14ac:dyDescent="0.3">
      <c r="A24">
        <v>21</v>
      </c>
      <c r="B24" s="283">
        <v>42614.716666666667</v>
      </c>
    </row>
    <row r="25" spans="1:2" x14ac:dyDescent="0.3">
      <c r="A25">
        <v>22</v>
      </c>
      <c r="B25" s="283">
        <v>42614.883333333331</v>
      </c>
    </row>
    <row r="26" spans="1:2" x14ac:dyDescent="0.3">
      <c r="A26">
        <v>23</v>
      </c>
      <c r="B26" s="283">
        <v>42979.050694444442</v>
      </c>
    </row>
    <row r="27" spans="1:2" x14ac:dyDescent="0.3">
      <c r="A27">
        <v>24</v>
      </c>
      <c r="B27" s="283">
        <v>42979.217361111114</v>
      </c>
    </row>
    <row r="28" spans="1:2" x14ac:dyDescent="0.3">
      <c r="A28">
        <v>25</v>
      </c>
      <c r="B28" s="283">
        <v>42979.386805555558</v>
      </c>
    </row>
    <row r="29" spans="1:2" x14ac:dyDescent="0.3">
      <c r="A29">
        <v>26</v>
      </c>
      <c r="B29" s="283">
        <v>42979.554166666669</v>
      </c>
    </row>
    <row r="30" spans="1:2" x14ac:dyDescent="0.3">
      <c r="A30">
        <v>27</v>
      </c>
      <c r="B30" s="283">
        <v>42979.720138888886</v>
      </c>
    </row>
    <row r="31" spans="1:2" x14ac:dyDescent="0.3">
      <c r="A31">
        <v>28</v>
      </c>
      <c r="B31" s="283">
        <v>42979.88958333333</v>
      </c>
    </row>
    <row r="32" spans="1:2" x14ac:dyDescent="0.3">
      <c r="A32">
        <v>29</v>
      </c>
      <c r="B32" s="283">
        <v>43344.058333333334</v>
      </c>
    </row>
    <row r="33" spans="1:2" x14ac:dyDescent="0.3">
      <c r="A33">
        <v>30</v>
      </c>
      <c r="B33" s="283">
        <v>43344.224999999999</v>
      </c>
    </row>
    <row r="34" spans="1:2" x14ac:dyDescent="0.3">
      <c r="A34">
        <v>31</v>
      </c>
      <c r="B34" s="283">
        <v>43344.39166666667</v>
      </c>
    </row>
    <row r="35" spans="1:2" x14ac:dyDescent="0.3">
      <c r="A35">
        <v>32</v>
      </c>
      <c r="B35" s="283">
        <v>43344.556944444441</v>
      </c>
    </row>
    <row r="36" spans="1:2" x14ac:dyDescent="0.3">
      <c r="A36">
        <v>33</v>
      </c>
      <c r="B36" s="283">
        <v>43344.724305555559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55CAF-7868-4731-B421-D1D86FA1CBE2}">
  <dimension ref="A1:I52"/>
  <sheetViews>
    <sheetView workbookViewId="0">
      <selection activeCell="C32" sqref="C32"/>
    </sheetView>
  </sheetViews>
  <sheetFormatPr defaultRowHeight="14.4" x14ac:dyDescent="0.3"/>
  <cols>
    <col min="1" max="1" width="11.33203125" bestFit="1" customWidth="1"/>
    <col min="2" max="2" width="11.33203125" customWidth="1"/>
    <col min="3" max="3" width="15.6640625" bestFit="1" customWidth="1"/>
  </cols>
  <sheetData>
    <row r="1" spans="1:9" x14ac:dyDescent="0.3">
      <c r="D1" s="345" t="s">
        <v>396</v>
      </c>
      <c r="E1" s="345"/>
      <c r="F1" s="345"/>
      <c r="G1" s="345"/>
      <c r="H1" s="345"/>
      <c r="I1" t="s">
        <v>397</v>
      </c>
    </row>
    <row r="2" spans="1:9" x14ac:dyDescent="0.3">
      <c r="A2" s="5" t="s">
        <v>398</v>
      </c>
      <c r="B2" s="5" t="s">
        <v>399</v>
      </c>
      <c r="C2" s="5" t="s">
        <v>400</v>
      </c>
      <c r="D2" s="5" t="s">
        <v>401</v>
      </c>
      <c r="E2" t="s">
        <v>402</v>
      </c>
      <c r="F2" t="s">
        <v>403</v>
      </c>
      <c r="G2" t="s">
        <v>404</v>
      </c>
    </row>
    <row r="3" spans="1:9" x14ac:dyDescent="0.3">
      <c r="A3" t="s">
        <v>372</v>
      </c>
      <c r="B3">
        <v>1</v>
      </c>
      <c r="C3" t="s">
        <v>325</v>
      </c>
      <c r="D3">
        <v>27737</v>
      </c>
    </row>
    <row r="4" spans="1:9" x14ac:dyDescent="0.3">
      <c r="A4" t="s">
        <v>90</v>
      </c>
      <c r="B4">
        <v>1</v>
      </c>
      <c r="C4" t="s">
        <v>325</v>
      </c>
      <c r="D4">
        <v>40164</v>
      </c>
    </row>
    <row r="5" spans="1:9" x14ac:dyDescent="0.3">
      <c r="A5" t="s">
        <v>89</v>
      </c>
      <c r="B5">
        <v>1</v>
      </c>
      <c r="C5" t="s">
        <v>325</v>
      </c>
      <c r="D5">
        <v>10922</v>
      </c>
    </row>
    <row r="6" spans="1:9" x14ac:dyDescent="0.3">
      <c r="B6">
        <v>1</v>
      </c>
      <c r="C6" t="s">
        <v>325</v>
      </c>
      <c r="D6">
        <v>6552</v>
      </c>
    </row>
    <row r="7" spans="1:9" x14ac:dyDescent="0.3">
      <c r="A7" t="s">
        <v>384</v>
      </c>
      <c r="B7">
        <v>1</v>
      </c>
      <c r="C7" t="s">
        <v>325</v>
      </c>
      <c r="D7">
        <v>9089</v>
      </c>
    </row>
    <row r="8" spans="1:9" x14ac:dyDescent="0.3">
      <c r="A8" t="s">
        <v>94</v>
      </c>
      <c r="B8">
        <v>1</v>
      </c>
      <c r="C8" t="s">
        <v>325</v>
      </c>
      <c r="D8">
        <v>26971</v>
      </c>
    </row>
    <row r="9" spans="1:9" x14ac:dyDescent="0.3">
      <c r="B9">
        <v>1</v>
      </c>
      <c r="C9" t="s">
        <v>325</v>
      </c>
      <c r="D9">
        <v>26971</v>
      </c>
    </row>
    <row r="10" spans="1:9" x14ac:dyDescent="0.3">
      <c r="A10" t="s">
        <v>91</v>
      </c>
      <c r="B10">
        <v>1</v>
      </c>
      <c r="C10" t="s">
        <v>325</v>
      </c>
      <c r="D10">
        <v>6282</v>
      </c>
    </row>
    <row r="11" spans="1:9" x14ac:dyDescent="0.3">
      <c r="A11" t="s">
        <v>93</v>
      </c>
      <c r="B11">
        <v>1</v>
      </c>
      <c r="C11" t="s">
        <v>325</v>
      </c>
      <c r="D11">
        <v>10462</v>
      </c>
    </row>
    <row r="12" spans="1:9" x14ac:dyDescent="0.3">
      <c r="A12" t="s">
        <v>92</v>
      </c>
      <c r="B12">
        <v>1</v>
      </c>
      <c r="C12" t="s">
        <v>325</v>
      </c>
      <c r="D12">
        <v>11814</v>
      </c>
    </row>
    <row r="13" spans="1:9" x14ac:dyDescent="0.3">
      <c r="A13" t="s">
        <v>372</v>
      </c>
      <c r="B13">
        <v>1</v>
      </c>
      <c r="C13" s="60" t="s">
        <v>405</v>
      </c>
    </row>
    <row r="14" spans="1:9" x14ac:dyDescent="0.3">
      <c r="A14" t="s">
        <v>90</v>
      </c>
      <c r="B14">
        <v>1</v>
      </c>
      <c r="C14" s="60" t="s">
        <v>405</v>
      </c>
    </row>
    <row r="15" spans="1:9" x14ac:dyDescent="0.3">
      <c r="A15" t="s">
        <v>89</v>
      </c>
      <c r="B15">
        <v>1</v>
      </c>
      <c r="C15" s="60" t="s">
        <v>405</v>
      </c>
    </row>
    <row r="16" spans="1:9" x14ac:dyDescent="0.3">
      <c r="B16">
        <v>1</v>
      </c>
      <c r="C16" s="60" t="s">
        <v>405</v>
      </c>
    </row>
    <row r="17" spans="1:3" x14ac:dyDescent="0.3">
      <c r="A17" t="s">
        <v>384</v>
      </c>
      <c r="B17">
        <v>1</v>
      </c>
      <c r="C17" s="60" t="s">
        <v>405</v>
      </c>
    </row>
    <row r="18" spans="1:3" x14ac:dyDescent="0.3">
      <c r="A18" t="s">
        <v>94</v>
      </c>
      <c r="B18">
        <v>1</v>
      </c>
      <c r="C18" s="60" t="s">
        <v>405</v>
      </c>
    </row>
    <row r="19" spans="1:3" x14ac:dyDescent="0.3">
      <c r="B19">
        <v>1</v>
      </c>
      <c r="C19" s="60" t="s">
        <v>405</v>
      </c>
    </row>
    <row r="20" spans="1:3" x14ac:dyDescent="0.3">
      <c r="A20" t="s">
        <v>91</v>
      </c>
      <c r="B20">
        <v>1</v>
      </c>
      <c r="C20" s="60" t="s">
        <v>405</v>
      </c>
    </row>
    <row r="21" spans="1:3" x14ac:dyDescent="0.3">
      <c r="A21" t="s">
        <v>93</v>
      </c>
      <c r="B21">
        <v>1</v>
      </c>
      <c r="C21" s="60" t="s">
        <v>405</v>
      </c>
    </row>
    <row r="22" spans="1:3" x14ac:dyDescent="0.3">
      <c r="A22" t="s">
        <v>92</v>
      </c>
      <c r="B22">
        <v>1</v>
      </c>
      <c r="C22" s="60" t="s">
        <v>405</v>
      </c>
    </row>
    <row r="23" spans="1:3" x14ac:dyDescent="0.3">
      <c r="A23" t="s">
        <v>372</v>
      </c>
      <c r="B23">
        <v>1</v>
      </c>
      <c r="C23" t="s">
        <v>406</v>
      </c>
    </row>
    <row r="24" spans="1:3" x14ac:dyDescent="0.3">
      <c r="A24" t="s">
        <v>90</v>
      </c>
      <c r="B24">
        <v>1</v>
      </c>
      <c r="C24" t="s">
        <v>406</v>
      </c>
    </row>
    <row r="25" spans="1:3" x14ac:dyDescent="0.3">
      <c r="A25" t="s">
        <v>89</v>
      </c>
      <c r="B25">
        <v>1</v>
      </c>
      <c r="C25" t="s">
        <v>406</v>
      </c>
    </row>
    <row r="26" spans="1:3" x14ac:dyDescent="0.3">
      <c r="B26">
        <v>1</v>
      </c>
      <c r="C26" t="s">
        <v>406</v>
      </c>
    </row>
    <row r="27" spans="1:3" x14ac:dyDescent="0.3">
      <c r="A27" t="s">
        <v>384</v>
      </c>
      <c r="B27">
        <v>1</v>
      </c>
      <c r="C27" t="s">
        <v>406</v>
      </c>
    </row>
    <row r="28" spans="1:3" x14ac:dyDescent="0.3">
      <c r="A28" t="s">
        <v>94</v>
      </c>
      <c r="B28">
        <v>1</v>
      </c>
      <c r="C28" t="s">
        <v>406</v>
      </c>
    </row>
    <row r="29" spans="1:3" x14ac:dyDescent="0.3">
      <c r="B29">
        <v>1</v>
      </c>
      <c r="C29" t="s">
        <v>406</v>
      </c>
    </row>
    <row r="30" spans="1:3" x14ac:dyDescent="0.3">
      <c r="A30" t="s">
        <v>91</v>
      </c>
      <c r="B30">
        <v>1</v>
      </c>
      <c r="C30" t="s">
        <v>406</v>
      </c>
    </row>
    <row r="31" spans="1:3" x14ac:dyDescent="0.3">
      <c r="A31" t="s">
        <v>93</v>
      </c>
      <c r="B31">
        <v>1</v>
      </c>
      <c r="C31" t="s">
        <v>406</v>
      </c>
    </row>
    <row r="32" spans="1:3" x14ac:dyDescent="0.3">
      <c r="A32" t="s">
        <v>92</v>
      </c>
      <c r="B32">
        <v>1</v>
      </c>
      <c r="C32" t="s">
        <v>406</v>
      </c>
    </row>
    <row r="33" spans="1:3" x14ac:dyDescent="0.3">
      <c r="A33" t="s">
        <v>372</v>
      </c>
      <c r="B33">
        <v>1</v>
      </c>
      <c r="C33" t="s">
        <v>407</v>
      </c>
    </row>
    <row r="34" spans="1:3" x14ac:dyDescent="0.3">
      <c r="A34" t="s">
        <v>90</v>
      </c>
      <c r="B34">
        <v>1</v>
      </c>
      <c r="C34" t="s">
        <v>407</v>
      </c>
    </row>
    <row r="35" spans="1:3" x14ac:dyDescent="0.3">
      <c r="A35" t="s">
        <v>89</v>
      </c>
      <c r="B35">
        <v>1</v>
      </c>
      <c r="C35" t="s">
        <v>407</v>
      </c>
    </row>
    <row r="36" spans="1:3" x14ac:dyDescent="0.3">
      <c r="B36">
        <v>1</v>
      </c>
      <c r="C36" t="s">
        <v>407</v>
      </c>
    </row>
    <row r="37" spans="1:3" x14ac:dyDescent="0.3">
      <c r="A37" t="s">
        <v>384</v>
      </c>
      <c r="B37">
        <v>1</v>
      </c>
      <c r="C37" t="s">
        <v>407</v>
      </c>
    </row>
    <row r="38" spans="1:3" x14ac:dyDescent="0.3">
      <c r="A38" t="s">
        <v>94</v>
      </c>
      <c r="B38">
        <v>1</v>
      </c>
      <c r="C38" t="s">
        <v>407</v>
      </c>
    </row>
    <row r="39" spans="1:3" x14ac:dyDescent="0.3">
      <c r="B39">
        <v>1</v>
      </c>
      <c r="C39" t="s">
        <v>407</v>
      </c>
    </row>
    <row r="40" spans="1:3" x14ac:dyDescent="0.3">
      <c r="A40" t="s">
        <v>91</v>
      </c>
      <c r="B40">
        <v>1</v>
      </c>
      <c r="C40" t="s">
        <v>407</v>
      </c>
    </row>
    <row r="41" spans="1:3" x14ac:dyDescent="0.3">
      <c r="A41" t="s">
        <v>93</v>
      </c>
      <c r="B41">
        <v>1</v>
      </c>
      <c r="C41" t="s">
        <v>407</v>
      </c>
    </row>
    <row r="42" spans="1:3" x14ac:dyDescent="0.3">
      <c r="A42" t="s">
        <v>92</v>
      </c>
      <c r="B42">
        <v>1</v>
      </c>
      <c r="C42" t="s">
        <v>407</v>
      </c>
    </row>
    <row r="43" spans="1:3" x14ac:dyDescent="0.3">
      <c r="A43" t="s">
        <v>372</v>
      </c>
      <c r="B43">
        <v>1</v>
      </c>
      <c r="C43" t="s">
        <v>408</v>
      </c>
    </row>
    <row r="44" spans="1:3" x14ac:dyDescent="0.3">
      <c r="A44" t="s">
        <v>90</v>
      </c>
      <c r="B44">
        <v>1</v>
      </c>
      <c r="C44" t="s">
        <v>408</v>
      </c>
    </row>
    <row r="45" spans="1:3" x14ac:dyDescent="0.3">
      <c r="A45" t="s">
        <v>89</v>
      </c>
      <c r="B45">
        <v>1</v>
      </c>
      <c r="C45" t="s">
        <v>408</v>
      </c>
    </row>
    <row r="46" spans="1:3" x14ac:dyDescent="0.3">
      <c r="B46">
        <v>1</v>
      </c>
      <c r="C46" t="s">
        <v>408</v>
      </c>
    </row>
    <row r="47" spans="1:3" x14ac:dyDescent="0.3">
      <c r="A47" t="s">
        <v>384</v>
      </c>
      <c r="B47">
        <v>1</v>
      </c>
      <c r="C47" t="s">
        <v>408</v>
      </c>
    </row>
    <row r="48" spans="1:3" x14ac:dyDescent="0.3">
      <c r="A48" t="s">
        <v>94</v>
      </c>
      <c r="B48">
        <v>1</v>
      </c>
      <c r="C48" t="s">
        <v>408</v>
      </c>
    </row>
    <row r="49" spans="1:3" x14ac:dyDescent="0.3">
      <c r="B49">
        <v>1</v>
      </c>
      <c r="C49" t="s">
        <v>408</v>
      </c>
    </row>
    <row r="50" spans="1:3" x14ac:dyDescent="0.3">
      <c r="A50" t="s">
        <v>91</v>
      </c>
      <c r="B50">
        <v>1</v>
      </c>
      <c r="C50" t="s">
        <v>408</v>
      </c>
    </row>
    <row r="51" spans="1:3" x14ac:dyDescent="0.3">
      <c r="A51" t="s">
        <v>93</v>
      </c>
      <c r="B51">
        <v>1</v>
      </c>
      <c r="C51" t="s">
        <v>408</v>
      </c>
    </row>
    <row r="52" spans="1:3" x14ac:dyDescent="0.3">
      <c r="A52" t="s">
        <v>92</v>
      </c>
      <c r="B52">
        <v>1</v>
      </c>
      <c r="C52" t="s">
        <v>408</v>
      </c>
    </row>
  </sheetData>
  <mergeCells count="1">
    <mergeCell ref="D1:H1"/>
  </mergeCells>
  <hyperlinks>
    <hyperlink ref="C13" r:id="rId1" display="HapSolo+PBMM@" xr:uid="{CD96AF56-4816-4387-8D22-AF8548E1EF49}"/>
    <hyperlink ref="C14" r:id="rId2" display="HapSolo+PBMM@" xr:uid="{232B1A6F-3A3E-4667-82D5-F8D945034043}"/>
    <hyperlink ref="C15" r:id="rId3" display="HapSolo+PBMM@" xr:uid="{451C6E3E-ADC8-4EEE-9FB8-13123533F719}"/>
    <hyperlink ref="C16" r:id="rId4" display="HapSolo+PBMM@" xr:uid="{988A66D4-51BC-4F27-B0E6-BBE12F3EF9C0}"/>
    <hyperlink ref="C17" r:id="rId5" display="HapSolo+PBMM@" xr:uid="{0F6353AF-B98E-4743-AEAB-DFAFA453FDAE}"/>
    <hyperlink ref="C18" r:id="rId6" display="HapSolo+PBMM@" xr:uid="{013D66B4-4256-493E-AE70-8CAD70804029}"/>
    <hyperlink ref="C19" r:id="rId7" display="HapSolo+PBMM@" xr:uid="{2E55515A-3DA8-4182-AA2F-4848EAED85DD}"/>
    <hyperlink ref="C20" r:id="rId8" display="HapSolo+PBMM@" xr:uid="{F2860D45-CF69-48EE-87DB-8C938558E70C}"/>
    <hyperlink ref="C21" r:id="rId9" display="HapSolo+PBMM@" xr:uid="{C28CA528-150C-42A0-8920-72DF9126FD13}"/>
    <hyperlink ref="C22" r:id="rId10" display="HapSolo+PBMM@" xr:uid="{D47A72C8-A847-4ED5-8005-D41D4EF6BFB7}"/>
  </hyperlinks>
  <pageMargins left="0.7" right="0.7" top="0.75" bottom="0.75" header="0.3" footer="0.3"/>
  <pageSetup paperSize="9" orientation="portrait" r:id="rId1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50C95-1E35-4171-AB1E-E22C257C6427}">
  <dimension ref="A1:G26"/>
  <sheetViews>
    <sheetView workbookViewId="0">
      <selection activeCell="G12" sqref="G12"/>
    </sheetView>
  </sheetViews>
  <sheetFormatPr defaultRowHeight="14.4" x14ac:dyDescent="0.3"/>
  <cols>
    <col min="1" max="1" width="35.21875" bestFit="1" customWidth="1"/>
    <col min="2" max="2" width="10.5546875" bestFit="1" customWidth="1"/>
    <col min="3" max="3" width="10.21875" bestFit="1" customWidth="1"/>
    <col min="4" max="4" width="12.109375" bestFit="1" customWidth="1"/>
    <col min="5" max="5" width="16.21875" bestFit="1" customWidth="1"/>
    <col min="6" max="6" width="17" bestFit="1" customWidth="1"/>
    <col min="7" max="7" width="19.88671875" customWidth="1"/>
  </cols>
  <sheetData>
    <row r="1" spans="1:6" ht="18" thickBot="1" x14ac:dyDescent="0.35">
      <c r="B1" s="110" t="s">
        <v>508</v>
      </c>
      <c r="C1" s="110" t="s">
        <v>510</v>
      </c>
      <c r="D1" s="110" t="s">
        <v>521</v>
      </c>
      <c r="E1" s="110" t="s">
        <v>522</v>
      </c>
      <c r="F1" s="137" t="s">
        <v>523</v>
      </c>
    </row>
    <row r="2" spans="1:6" ht="15" thickBot="1" x14ac:dyDescent="0.35">
      <c r="A2" s="107" t="s">
        <v>497</v>
      </c>
      <c r="B2" s="108">
        <v>1140787867</v>
      </c>
      <c r="C2" s="108">
        <v>684741128</v>
      </c>
      <c r="D2" s="134">
        <v>647887097</v>
      </c>
      <c r="E2" s="108">
        <v>608622584</v>
      </c>
      <c r="F2" s="108">
        <v>663145247</v>
      </c>
    </row>
    <row r="3" spans="1:6" ht="15" thickBot="1" x14ac:dyDescent="0.35">
      <c r="A3" s="107" t="s">
        <v>498</v>
      </c>
      <c r="B3" s="108">
        <v>1077310669</v>
      </c>
      <c r="C3" s="108">
        <v>684675328</v>
      </c>
      <c r="D3" s="134">
        <v>647867330</v>
      </c>
      <c r="E3" s="108">
        <v>608607574</v>
      </c>
      <c r="F3" s="108">
        <v>662866272</v>
      </c>
    </row>
    <row r="4" spans="1:6" ht="15" thickBot="1" x14ac:dyDescent="0.35">
      <c r="A4" s="107" t="s">
        <v>499</v>
      </c>
      <c r="B4" s="109">
        <v>0</v>
      </c>
      <c r="C4" s="109">
        <v>0</v>
      </c>
      <c r="D4" s="135">
        <v>0</v>
      </c>
      <c r="E4" s="109">
        <v>0</v>
      </c>
      <c r="F4" s="109">
        <v>0</v>
      </c>
    </row>
    <row r="5" spans="1:6" ht="15" thickBot="1" x14ac:dyDescent="0.35">
      <c r="A5" s="107" t="s">
        <v>500</v>
      </c>
      <c r="B5" s="108">
        <v>159429</v>
      </c>
      <c r="C5" s="109">
        <v>11</v>
      </c>
      <c r="D5" s="135">
        <v>236</v>
      </c>
      <c r="E5" s="109">
        <v>659</v>
      </c>
      <c r="F5" s="109">
        <v>60</v>
      </c>
    </row>
    <row r="6" spans="1:6" ht="15" thickBot="1" x14ac:dyDescent="0.35">
      <c r="A6" s="107" t="s">
        <v>501</v>
      </c>
      <c r="B6" s="108">
        <v>12947</v>
      </c>
      <c r="C6" s="108">
        <v>75944018</v>
      </c>
      <c r="D6" s="134">
        <v>58462999</v>
      </c>
      <c r="E6" s="136">
        <v>55855599</v>
      </c>
      <c r="F6" s="108">
        <v>66336742</v>
      </c>
    </row>
    <row r="7" spans="1:6" ht="15" thickBot="1" x14ac:dyDescent="0.35">
      <c r="A7" s="107" t="s">
        <v>502</v>
      </c>
      <c r="B7" s="108">
        <v>24678</v>
      </c>
      <c r="C7" s="109">
        <v>4</v>
      </c>
      <c r="D7" s="135">
        <v>5</v>
      </c>
      <c r="E7" s="109">
        <v>5</v>
      </c>
      <c r="F7" s="109">
        <v>5</v>
      </c>
    </row>
    <row r="8" spans="1:6" ht="15" thickBot="1" x14ac:dyDescent="0.35">
      <c r="A8" s="107" t="s">
        <v>503</v>
      </c>
      <c r="B8" s="108">
        <v>466560</v>
      </c>
      <c r="C8" s="109">
        <v>669</v>
      </c>
      <c r="D8" s="135">
        <v>783</v>
      </c>
      <c r="E8" s="108">
        <v>1071</v>
      </c>
      <c r="F8" s="109">
        <v>522</v>
      </c>
    </row>
    <row r="9" spans="1:6" ht="15" thickBot="1" x14ac:dyDescent="0.35">
      <c r="A9" s="107" t="s">
        <v>504</v>
      </c>
      <c r="B9" s="108">
        <v>7815</v>
      </c>
      <c r="C9" s="108">
        <v>1971208</v>
      </c>
      <c r="D9" s="134">
        <v>1564469</v>
      </c>
      <c r="E9" s="108">
        <v>2576225</v>
      </c>
      <c r="F9" s="108">
        <v>5932265</v>
      </c>
    </row>
    <row r="10" spans="1:6" ht="15" thickBot="1" x14ac:dyDescent="0.35">
      <c r="A10" s="107" t="s">
        <v>505</v>
      </c>
      <c r="B10" s="108">
        <v>40363</v>
      </c>
      <c r="C10" s="109">
        <v>108</v>
      </c>
      <c r="D10" s="135">
        <v>116</v>
      </c>
      <c r="E10" s="109">
        <v>74</v>
      </c>
      <c r="F10" s="109">
        <v>37</v>
      </c>
    </row>
    <row r="11" spans="1:6" ht="15" thickBot="1" x14ac:dyDescent="0.35">
      <c r="A11" s="107" t="s">
        <v>506</v>
      </c>
      <c r="B11" s="109">
        <v>0</v>
      </c>
      <c r="C11" s="109">
        <v>11</v>
      </c>
      <c r="D11" s="135">
        <v>10</v>
      </c>
      <c r="E11" s="109">
        <v>11</v>
      </c>
      <c r="F11" s="109">
        <v>10</v>
      </c>
    </row>
    <row r="12" spans="1:6" ht="15" thickBot="1" x14ac:dyDescent="0.35">
      <c r="A12" s="107" t="s">
        <v>507</v>
      </c>
      <c r="B12" s="108">
        <v>159429</v>
      </c>
      <c r="C12" s="109">
        <v>11</v>
      </c>
      <c r="D12" s="135">
        <v>236</v>
      </c>
      <c r="E12" s="109">
        <v>659</v>
      </c>
      <c r="F12" s="109">
        <v>60</v>
      </c>
    </row>
    <row r="13" spans="1:6" x14ac:dyDescent="0.3">
      <c r="A13" s="111" t="s">
        <v>509</v>
      </c>
      <c r="B13" s="112">
        <v>34.5</v>
      </c>
      <c r="C13">
        <v>34.819099999999999</v>
      </c>
      <c r="D13" s="113">
        <v>33.393300000000004</v>
      </c>
      <c r="E13" s="113">
        <v>33.5214</v>
      </c>
      <c r="F13" s="113">
        <v>33.5822</v>
      </c>
    </row>
    <row r="14" spans="1:6" ht="15" thickBot="1" x14ac:dyDescent="0.35">
      <c r="A14" s="111" t="s">
        <v>511</v>
      </c>
      <c r="C14">
        <v>60201</v>
      </c>
      <c r="D14" s="113">
        <v>63341</v>
      </c>
    </row>
    <row r="15" spans="1:6" ht="15" thickBot="1" x14ac:dyDescent="0.35">
      <c r="A15" t="s">
        <v>512</v>
      </c>
      <c r="C15" s="66">
        <v>38826</v>
      </c>
      <c r="D15" s="133">
        <v>38208</v>
      </c>
    </row>
    <row r="16" spans="1:6" ht="15" thickBot="1" x14ac:dyDescent="0.35">
      <c r="A16" s="116" t="s">
        <v>513</v>
      </c>
      <c r="C16" s="66">
        <v>10828</v>
      </c>
      <c r="D16" s="133">
        <v>10990</v>
      </c>
    </row>
    <row r="17" spans="1:7" x14ac:dyDescent="0.3">
      <c r="A17" s="116" t="s">
        <v>322</v>
      </c>
      <c r="C17" s="129">
        <v>70</v>
      </c>
      <c r="D17">
        <v>69</v>
      </c>
    </row>
    <row r="18" spans="1:7" ht="15" thickBot="1" x14ac:dyDescent="0.35">
      <c r="A18" s="116" t="s">
        <v>323</v>
      </c>
      <c r="C18" s="115">
        <v>529353</v>
      </c>
      <c r="D18" s="66">
        <v>900571</v>
      </c>
    </row>
    <row r="19" spans="1:7" x14ac:dyDescent="0.3">
      <c r="A19" s="119" t="s">
        <v>514</v>
      </c>
      <c r="C19" s="120">
        <v>39493</v>
      </c>
      <c r="D19" s="120">
        <v>38296</v>
      </c>
      <c r="F19" s="119"/>
    </row>
    <row r="20" spans="1:7" x14ac:dyDescent="0.3">
      <c r="A20" s="121" t="s">
        <v>515</v>
      </c>
      <c r="C20" s="117">
        <v>34596</v>
      </c>
      <c r="D20" s="117">
        <v>31371</v>
      </c>
      <c r="F20" s="121"/>
    </row>
    <row r="21" spans="1:7" x14ac:dyDescent="0.3">
      <c r="A21" s="122" t="s">
        <v>516</v>
      </c>
      <c r="C21" s="114">
        <v>4230</v>
      </c>
      <c r="D21" s="114">
        <v>6837</v>
      </c>
      <c r="F21" s="122"/>
    </row>
    <row r="22" spans="1:7" x14ac:dyDescent="0.3">
      <c r="A22" s="121" t="s">
        <v>517</v>
      </c>
      <c r="C22" s="118">
        <v>667</v>
      </c>
      <c r="D22">
        <v>88</v>
      </c>
      <c r="F22" s="121"/>
      <c r="G22" s="118"/>
    </row>
    <row r="23" spans="1:7" ht="15" thickBot="1" x14ac:dyDescent="0.35">
      <c r="A23" s="123" t="s">
        <v>518</v>
      </c>
      <c r="C23" s="124">
        <v>11221</v>
      </c>
      <c r="D23" s="117">
        <v>12384</v>
      </c>
      <c r="F23" s="122"/>
      <c r="G23" s="130"/>
    </row>
    <row r="24" spans="1:7" ht="15" thickBot="1" x14ac:dyDescent="0.35">
      <c r="A24" s="125" t="s">
        <v>519</v>
      </c>
      <c r="C24" s="126">
        <v>1.74</v>
      </c>
      <c r="D24">
        <v>1.95</v>
      </c>
      <c r="F24" s="121"/>
    </row>
    <row r="25" spans="1:7" ht="15" thickBot="1" x14ac:dyDescent="0.35">
      <c r="A25" s="127" t="s">
        <v>520</v>
      </c>
      <c r="C25" s="128">
        <v>10.81</v>
      </c>
      <c r="D25">
        <v>10.87</v>
      </c>
      <c r="F25" s="122"/>
      <c r="G25" s="130"/>
    </row>
    <row r="26" spans="1:7" ht="15" thickBot="1" x14ac:dyDescent="0.35">
      <c r="F26" s="131"/>
      <c r="G26" s="132"/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0754-5535-4C6A-9A3D-7D60F3BE79F7}">
  <dimension ref="A1:B9"/>
  <sheetViews>
    <sheetView workbookViewId="0">
      <selection activeCell="B12" sqref="B12"/>
    </sheetView>
  </sheetViews>
  <sheetFormatPr defaultRowHeight="14.4" x14ac:dyDescent="0.3"/>
  <cols>
    <col min="1" max="1" width="27.21875" bestFit="1" customWidth="1"/>
    <col min="2" max="2" width="109.88671875" bestFit="1" customWidth="1"/>
  </cols>
  <sheetData>
    <row r="1" spans="1:2" x14ac:dyDescent="0.3">
      <c r="A1" t="s">
        <v>409</v>
      </c>
      <c r="B1" t="s">
        <v>410</v>
      </c>
    </row>
    <row r="2" spans="1:2" x14ac:dyDescent="0.3">
      <c r="A2" t="s">
        <v>411</v>
      </c>
      <c r="B2" t="s">
        <v>412</v>
      </c>
    </row>
    <row r="3" spans="1:2" x14ac:dyDescent="0.3">
      <c r="A3" t="s">
        <v>413</v>
      </c>
      <c r="B3" t="s">
        <v>414</v>
      </c>
    </row>
    <row r="4" spans="1:2" x14ac:dyDescent="0.3">
      <c r="A4" t="s">
        <v>415</v>
      </c>
      <c r="B4" t="s">
        <v>416</v>
      </c>
    </row>
    <row r="5" spans="1:2" x14ac:dyDescent="0.3">
      <c r="A5" t="s">
        <v>417</v>
      </c>
      <c r="B5" t="s">
        <v>418</v>
      </c>
    </row>
    <row r="6" spans="1:2" x14ac:dyDescent="0.3">
      <c r="A6" t="s">
        <v>419</v>
      </c>
      <c r="B6" t="s">
        <v>420</v>
      </c>
    </row>
    <row r="7" spans="1:2" x14ac:dyDescent="0.3">
      <c r="A7" t="s">
        <v>554</v>
      </c>
      <c r="B7" t="s">
        <v>553</v>
      </c>
    </row>
    <row r="8" spans="1:2" x14ac:dyDescent="0.3">
      <c r="A8" t="s">
        <v>858</v>
      </c>
      <c r="B8" t="s">
        <v>857</v>
      </c>
    </row>
    <row r="9" spans="1:2" x14ac:dyDescent="0.3">
      <c r="A9" t="s">
        <v>915</v>
      </c>
      <c r="B9" s="207" t="s">
        <v>914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0CE77-51D0-4180-9D93-A0971FBCD51F}">
  <dimension ref="A1:B3"/>
  <sheetViews>
    <sheetView workbookViewId="0">
      <selection activeCell="A24" sqref="A24"/>
    </sheetView>
  </sheetViews>
  <sheetFormatPr defaultRowHeight="14.4" x14ac:dyDescent="0.3"/>
  <cols>
    <col min="1" max="1" width="67.33203125" style="70" customWidth="1"/>
    <col min="2" max="2" width="48.33203125" bestFit="1" customWidth="1"/>
  </cols>
  <sheetData>
    <row r="1" spans="1:2" ht="28.8" x14ac:dyDescent="0.3">
      <c r="A1" s="70" t="s">
        <v>421</v>
      </c>
      <c r="B1" t="s">
        <v>422</v>
      </c>
    </row>
    <row r="2" spans="1:2" ht="28.8" x14ac:dyDescent="0.3">
      <c r="A2" s="70" t="s">
        <v>423</v>
      </c>
      <c r="B2" t="s">
        <v>424</v>
      </c>
    </row>
    <row r="3" spans="1:2" ht="28.8" x14ac:dyDescent="0.3">
      <c r="A3" s="70" t="s">
        <v>425</v>
      </c>
      <c r="B3" t="s">
        <v>426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1BB1-B4F5-4406-B820-D3765682EDA8}">
  <dimension ref="A1:J8"/>
  <sheetViews>
    <sheetView workbookViewId="0">
      <selection activeCell="F9" sqref="F9"/>
    </sheetView>
  </sheetViews>
  <sheetFormatPr defaultRowHeight="14.4" x14ac:dyDescent="0.3"/>
  <cols>
    <col min="1" max="1" width="6.88671875" bestFit="1" customWidth="1"/>
    <col min="2" max="2" width="9.77734375" hidden="1" customWidth="1"/>
    <col min="3" max="3" width="12.21875" bestFit="1" customWidth="1"/>
    <col min="4" max="4" width="15.88671875" hidden="1" customWidth="1"/>
    <col min="5" max="5" width="12" hidden="1" customWidth="1"/>
    <col min="6" max="6" width="12.33203125" bestFit="1" customWidth="1"/>
    <col min="7" max="7" width="21.6640625" bestFit="1" customWidth="1"/>
    <col min="8" max="8" width="7" customWidth="1"/>
    <col min="9" max="9" width="50.109375" bestFit="1" customWidth="1"/>
  </cols>
  <sheetData>
    <row r="1" spans="1:10" x14ac:dyDescent="0.3">
      <c r="A1" s="5" t="s">
        <v>672</v>
      </c>
      <c r="B1" s="5" t="s">
        <v>670</v>
      </c>
      <c r="C1" s="5" t="s">
        <v>680</v>
      </c>
      <c r="D1" s="5" t="s">
        <v>663</v>
      </c>
      <c r="E1" s="5" t="s">
        <v>658</v>
      </c>
      <c r="F1" s="5" t="s">
        <v>681</v>
      </c>
      <c r="G1" s="5" t="s">
        <v>678</v>
      </c>
      <c r="I1" t="s">
        <v>687</v>
      </c>
    </row>
    <row r="2" spans="1:10" x14ac:dyDescent="0.3">
      <c r="A2">
        <v>1</v>
      </c>
      <c r="B2" t="s">
        <v>671</v>
      </c>
      <c r="C2" t="s">
        <v>654</v>
      </c>
      <c r="D2" t="s">
        <v>661</v>
      </c>
      <c r="E2" t="s">
        <v>659</v>
      </c>
      <c r="F2" t="s">
        <v>481</v>
      </c>
      <c r="G2" t="s">
        <v>673</v>
      </c>
      <c r="H2">
        <f>LEN(G2)</f>
        <v>17</v>
      </c>
      <c r="I2" t="s">
        <v>677</v>
      </c>
      <c r="J2">
        <f>LEN(I2)</f>
        <v>44</v>
      </c>
    </row>
    <row r="3" spans="1:10" x14ac:dyDescent="0.3">
      <c r="A3">
        <v>2</v>
      </c>
      <c r="B3" t="s">
        <v>671</v>
      </c>
      <c r="C3" t="s">
        <v>655</v>
      </c>
      <c r="D3" t="s">
        <v>662</v>
      </c>
      <c r="E3" t="s">
        <v>665</v>
      </c>
      <c r="F3" t="s">
        <v>475</v>
      </c>
      <c r="G3" t="s">
        <v>674</v>
      </c>
      <c r="H3">
        <f t="shared" ref="H3:H5" si="0">LEN(G3)</f>
        <v>17</v>
      </c>
      <c r="I3" t="s">
        <v>682</v>
      </c>
    </row>
    <row r="4" spans="1:10" x14ac:dyDescent="0.3">
      <c r="A4">
        <v>3</v>
      </c>
      <c r="B4" t="s">
        <v>671</v>
      </c>
      <c r="C4" t="s">
        <v>657</v>
      </c>
      <c r="D4" t="s">
        <v>660</v>
      </c>
      <c r="E4" t="s">
        <v>666</v>
      </c>
      <c r="F4" t="s">
        <v>669</v>
      </c>
      <c r="G4" t="s">
        <v>676</v>
      </c>
      <c r="H4">
        <f t="shared" si="0"/>
        <v>17</v>
      </c>
      <c r="I4" t="s">
        <v>683</v>
      </c>
    </row>
    <row r="5" spans="1:10" x14ac:dyDescent="0.3">
      <c r="A5">
        <v>4</v>
      </c>
      <c r="B5" t="s">
        <v>671</v>
      </c>
      <c r="C5" t="s">
        <v>656</v>
      </c>
      <c r="D5" t="s">
        <v>664</v>
      </c>
      <c r="E5" t="s">
        <v>667</v>
      </c>
      <c r="F5" t="s">
        <v>668</v>
      </c>
      <c r="G5" t="s">
        <v>675</v>
      </c>
      <c r="H5">
        <f t="shared" si="0"/>
        <v>17</v>
      </c>
      <c r="I5" t="s">
        <v>684</v>
      </c>
    </row>
    <row r="6" spans="1:10" x14ac:dyDescent="0.3">
      <c r="I6" t="s">
        <v>679</v>
      </c>
      <c r="J6">
        <f>LEN(I6)</f>
        <v>31</v>
      </c>
    </row>
    <row r="7" spans="1:10" x14ac:dyDescent="0.3">
      <c r="C7" t="s">
        <v>745</v>
      </c>
      <c r="F7" t="s">
        <v>746</v>
      </c>
      <c r="I7" t="s">
        <v>685</v>
      </c>
    </row>
    <row r="8" spans="1:10" x14ac:dyDescent="0.3">
      <c r="I8" t="s">
        <v>686</v>
      </c>
      <c r="J8">
        <f>LEN(I8)</f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458B-94BE-4A94-9396-7BA2DE934527}">
  <dimension ref="A1:AG87"/>
  <sheetViews>
    <sheetView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P13" sqref="P13"/>
    </sheetView>
  </sheetViews>
  <sheetFormatPr defaultRowHeight="14.4" x14ac:dyDescent="0.3"/>
  <cols>
    <col min="1" max="1" width="4.33203125" bestFit="1" customWidth="1"/>
    <col min="2" max="2" width="5.77734375" customWidth="1"/>
    <col min="3" max="3" width="3.44140625" bestFit="1" customWidth="1"/>
    <col min="4" max="4" width="8.44140625" bestFit="1" customWidth="1"/>
    <col min="6" max="6" width="9.44140625" bestFit="1" customWidth="1"/>
    <col min="7" max="7" width="6" bestFit="1" customWidth="1"/>
    <col min="16" max="16" width="31.6640625" bestFit="1" customWidth="1"/>
    <col min="17" max="17" width="11.88671875" bestFit="1" customWidth="1"/>
    <col min="19" max="19" width="10" bestFit="1" customWidth="1"/>
    <col min="25" max="25" width="11.5546875" customWidth="1"/>
    <col min="26" max="26" width="12.5546875" customWidth="1"/>
    <col min="27" max="27" width="14.6640625" customWidth="1"/>
    <col min="28" max="28" width="5.21875" bestFit="1" customWidth="1"/>
    <col min="29" max="29" width="11.88671875" bestFit="1" customWidth="1"/>
    <col min="30" max="30" width="6.109375" bestFit="1" customWidth="1"/>
    <col min="31" max="31" width="9.6640625" bestFit="1" customWidth="1"/>
    <col min="32" max="32" width="6.109375" bestFit="1" customWidth="1"/>
    <col min="33" max="33" width="15.77734375" bestFit="1" customWidth="1"/>
  </cols>
  <sheetData>
    <row r="1" spans="1:33" x14ac:dyDescent="0.3">
      <c r="A1" s="5" t="s">
        <v>722</v>
      </c>
      <c r="B1" s="5" t="s">
        <v>721</v>
      </c>
      <c r="C1" s="5" t="s">
        <v>720</v>
      </c>
      <c r="D1" s="5" t="s">
        <v>731</v>
      </c>
      <c r="E1" s="5" t="s">
        <v>730</v>
      </c>
      <c r="F1" s="5" t="s">
        <v>729</v>
      </c>
      <c r="G1" s="5" t="s">
        <v>732</v>
      </c>
      <c r="H1" s="5" t="s">
        <v>726</v>
      </c>
      <c r="I1" s="5" t="s">
        <v>727</v>
      </c>
      <c r="J1" s="5" t="s">
        <v>728</v>
      </c>
      <c r="K1" s="5">
        <v>260</v>
      </c>
      <c r="M1" s="5" t="s">
        <v>734</v>
      </c>
      <c r="N1">
        <f>COUNTIF(M2:M49,"&gt;"&amp;10)</f>
        <v>46</v>
      </c>
    </row>
    <row r="2" spans="1:33" ht="28.8" x14ac:dyDescent="0.3">
      <c r="A2" t="s">
        <v>723</v>
      </c>
      <c r="B2" t="s">
        <v>329</v>
      </c>
      <c r="C2">
        <v>24</v>
      </c>
      <c r="D2" s="209" t="s">
        <v>724</v>
      </c>
      <c r="E2">
        <v>69.400000000000006</v>
      </c>
      <c r="G2">
        <f>IF(ISNUMBER(D2),D2,IF(ISNUMBER(E2),E2*5,F2*25))</f>
        <v>347</v>
      </c>
      <c r="H2">
        <v>197.5</v>
      </c>
      <c r="I2">
        <v>1.905</v>
      </c>
      <c r="J2">
        <v>2.1669999999999998</v>
      </c>
      <c r="K2">
        <v>4.0090000000000003</v>
      </c>
      <c r="L2">
        <f>H2/G2</f>
        <v>0.56916426512968299</v>
      </c>
      <c r="M2">
        <f>(G2*10^6)/(660*450)</f>
        <v>1168.3501683501684</v>
      </c>
      <c r="N2" t="str">
        <f>IF(M2&gt;10,"yes", "no")</f>
        <v>yes</v>
      </c>
      <c r="Z2" s="212" t="s">
        <v>757</v>
      </c>
      <c r="AA2" s="212" t="s">
        <v>167</v>
      </c>
      <c r="AB2" s="212" t="s">
        <v>378</v>
      </c>
      <c r="AC2" s="212" t="s">
        <v>760</v>
      </c>
      <c r="AD2" s="212" t="s">
        <v>761</v>
      </c>
      <c r="AE2" s="212" t="s">
        <v>758</v>
      </c>
      <c r="AF2" s="212" t="s">
        <v>769</v>
      </c>
      <c r="AG2" s="212" t="s">
        <v>770</v>
      </c>
    </row>
    <row r="3" spans="1:33" ht="72" x14ac:dyDescent="0.3">
      <c r="A3" t="s">
        <v>723</v>
      </c>
      <c r="B3" t="s">
        <v>329</v>
      </c>
      <c r="C3">
        <v>23</v>
      </c>
      <c r="D3">
        <v>63.2</v>
      </c>
      <c r="F3" t="s">
        <v>733</v>
      </c>
      <c r="G3">
        <f t="shared" ref="G3:G49" si="0">IF(ISNUMBER(D3),D3,IF(ISNUMBER(E3),E3*5,F3*25))</f>
        <v>63.2</v>
      </c>
      <c r="H3">
        <v>85.95</v>
      </c>
      <c r="I3">
        <v>1.9079999999999999</v>
      </c>
      <c r="J3">
        <v>2.5209999999999999</v>
      </c>
      <c r="K3">
        <v>1.7310000000000001</v>
      </c>
      <c r="L3">
        <f t="shared" ref="L3:L49" si="1">H3/G3</f>
        <v>1.3599683544303798</v>
      </c>
      <c r="M3">
        <f t="shared" ref="M3:M49" si="2">(G3*10^6)/(660*450)</f>
        <v>212.79461279461279</v>
      </c>
      <c r="N3" t="str">
        <f t="shared" ref="N3:N49" si="3">IF(M3&gt;10,"yes", "no")</f>
        <v>yes</v>
      </c>
      <c r="Y3" s="210"/>
      <c r="Z3" s="211" t="s">
        <v>765</v>
      </c>
      <c r="AA3" s="211" t="s">
        <v>759</v>
      </c>
      <c r="AB3" s="211">
        <v>24</v>
      </c>
      <c r="AC3" s="211">
        <v>24</v>
      </c>
      <c r="AD3" s="211" t="s">
        <v>280</v>
      </c>
      <c r="AE3" s="211"/>
      <c r="AF3" s="211">
        <v>24</v>
      </c>
      <c r="AG3" s="211">
        <v>1</v>
      </c>
    </row>
    <row r="4" spans="1:33" ht="43.2" x14ac:dyDescent="0.3">
      <c r="A4" t="s">
        <v>723</v>
      </c>
      <c r="B4" t="s">
        <v>329</v>
      </c>
      <c r="C4">
        <v>22</v>
      </c>
      <c r="D4" s="209" t="s">
        <v>724</v>
      </c>
      <c r="E4">
        <v>44.6</v>
      </c>
      <c r="F4" t="s">
        <v>733</v>
      </c>
      <c r="G4">
        <f t="shared" si="0"/>
        <v>223</v>
      </c>
      <c r="H4">
        <v>166.85</v>
      </c>
      <c r="I4">
        <v>1.893</v>
      </c>
      <c r="J4" s="3">
        <v>1.6559999999999999</v>
      </c>
      <c r="K4">
        <v>3.7429999999999999</v>
      </c>
      <c r="L4">
        <f t="shared" si="1"/>
        <v>0.74820627802690576</v>
      </c>
      <c r="M4">
        <f t="shared" si="2"/>
        <v>750.84175084175081</v>
      </c>
      <c r="N4" t="str">
        <f t="shared" si="3"/>
        <v>yes</v>
      </c>
      <c r="Z4" s="211" t="s">
        <v>765</v>
      </c>
      <c r="AA4" s="211" t="s">
        <v>762</v>
      </c>
      <c r="AB4" s="211">
        <v>24</v>
      </c>
      <c r="AC4" s="211">
        <v>24</v>
      </c>
      <c r="AD4" s="211">
        <v>24</v>
      </c>
      <c r="AE4" s="211" t="s">
        <v>763</v>
      </c>
      <c r="AF4" s="211">
        <v>24</v>
      </c>
      <c r="AG4" s="211">
        <v>20</v>
      </c>
    </row>
    <row r="5" spans="1:33" ht="43.2" x14ac:dyDescent="0.3">
      <c r="A5" t="s">
        <v>723</v>
      </c>
      <c r="B5" t="s">
        <v>329</v>
      </c>
      <c r="C5">
        <v>21</v>
      </c>
      <c r="D5" s="209" t="s">
        <v>724</v>
      </c>
      <c r="E5">
        <v>37.200000000000003</v>
      </c>
      <c r="G5">
        <f t="shared" si="0"/>
        <v>186</v>
      </c>
      <c r="H5">
        <v>266.85000000000002</v>
      </c>
      <c r="I5">
        <v>1.9019999999999999</v>
      </c>
      <c r="J5">
        <v>2.0670000000000002</v>
      </c>
      <c r="K5">
        <v>5.4390000000000001</v>
      </c>
      <c r="L5">
        <f t="shared" si="1"/>
        <v>1.4346774193548388</v>
      </c>
      <c r="M5">
        <f t="shared" si="2"/>
        <v>626.26262626262621</v>
      </c>
      <c r="N5" t="str">
        <f t="shared" si="3"/>
        <v>yes</v>
      </c>
      <c r="Z5" s="211" t="s">
        <v>764</v>
      </c>
      <c r="AA5" s="211" t="s">
        <v>767</v>
      </c>
      <c r="AB5" s="211">
        <v>19</v>
      </c>
      <c r="AC5" s="211">
        <v>19</v>
      </c>
      <c r="AD5" s="211">
        <v>19</v>
      </c>
      <c r="AE5" s="211" t="s">
        <v>763</v>
      </c>
      <c r="AF5" s="211">
        <v>19</v>
      </c>
      <c r="AG5" s="211">
        <v>19</v>
      </c>
    </row>
    <row r="6" spans="1:33" ht="172.8" x14ac:dyDescent="0.3">
      <c r="A6" t="s">
        <v>723</v>
      </c>
      <c r="B6" t="s">
        <v>329</v>
      </c>
      <c r="C6">
        <v>20</v>
      </c>
      <c r="D6">
        <v>7.8</v>
      </c>
      <c r="G6">
        <f t="shared" si="0"/>
        <v>7.8</v>
      </c>
      <c r="H6">
        <v>28.1</v>
      </c>
      <c r="I6">
        <v>1.905</v>
      </c>
      <c r="J6">
        <v>3.23</v>
      </c>
      <c r="K6">
        <v>0.56999999999999995</v>
      </c>
      <c r="L6">
        <f t="shared" si="1"/>
        <v>3.6025641025641026</v>
      </c>
      <c r="M6">
        <f t="shared" si="2"/>
        <v>26.262626262626263</v>
      </c>
      <c r="N6" t="str">
        <f t="shared" si="3"/>
        <v>yes</v>
      </c>
      <c r="Z6" s="211" t="s">
        <v>766</v>
      </c>
      <c r="AA6" s="211" t="s">
        <v>768</v>
      </c>
      <c r="AB6" s="211"/>
      <c r="AC6" s="211"/>
      <c r="AD6" s="211"/>
      <c r="AE6" s="211"/>
      <c r="AF6" s="211"/>
      <c r="AG6" s="211"/>
    </row>
    <row r="7" spans="1:33" x14ac:dyDescent="0.3">
      <c r="A7" t="s">
        <v>723</v>
      </c>
      <c r="B7" t="s">
        <v>329</v>
      </c>
      <c r="C7">
        <v>19</v>
      </c>
      <c r="D7">
        <v>10.9</v>
      </c>
      <c r="G7">
        <f t="shared" si="0"/>
        <v>10.9</v>
      </c>
      <c r="H7">
        <v>35.450000000000003</v>
      </c>
      <c r="I7">
        <v>1.911</v>
      </c>
      <c r="J7" s="3">
        <v>3.03</v>
      </c>
      <c r="K7">
        <v>0.70199999999999996</v>
      </c>
      <c r="L7">
        <f t="shared" si="1"/>
        <v>3.2522935779816518</v>
      </c>
      <c r="M7">
        <f t="shared" si="2"/>
        <v>36.700336700336699</v>
      </c>
      <c r="N7" t="str">
        <f t="shared" si="3"/>
        <v>yes</v>
      </c>
    </row>
    <row r="8" spans="1:33" x14ac:dyDescent="0.3">
      <c r="A8" t="s">
        <v>723</v>
      </c>
      <c r="B8" t="s">
        <v>329</v>
      </c>
      <c r="C8">
        <v>18</v>
      </c>
      <c r="D8" s="209" t="s">
        <v>724</v>
      </c>
      <c r="E8">
        <v>31.2</v>
      </c>
      <c r="G8">
        <f t="shared" si="0"/>
        <v>156</v>
      </c>
      <c r="H8">
        <v>288.2</v>
      </c>
      <c r="I8">
        <v>1.919</v>
      </c>
      <c r="J8">
        <v>2.1779999999999999</v>
      </c>
      <c r="K8">
        <v>5.8609999999999998</v>
      </c>
      <c r="L8">
        <f t="shared" si="1"/>
        <v>1.8474358974358973</v>
      </c>
      <c r="M8">
        <f t="shared" si="2"/>
        <v>525.25252525252529</v>
      </c>
      <c r="N8" t="str">
        <f t="shared" si="3"/>
        <v>yes</v>
      </c>
      <c r="P8" s="5" t="s">
        <v>794</v>
      </c>
      <c r="Q8" s="5" t="s">
        <v>795</v>
      </c>
      <c r="R8" s="5" t="s">
        <v>803</v>
      </c>
    </row>
    <row r="9" spans="1:33" ht="28.8" x14ac:dyDescent="0.3">
      <c r="A9" t="s">
        <v>723</v>
      </c>
      <c r="B9" t="s">
        <v>329</v>
      </c>
      <c r="C9">
        <v>17</v>
      </c>
      <c r="D9">
        <v>1.66</v>
      </c>
      <c r="G9">
        <f t="shared" si="0"/>
        <v>1.66</v>
      </c>
      <c r="H9">
        <v>12.55</v>
      </c>
      <c r="I9" s="3">
        <v>1.859</v>
      </c>
      <c r="J9" s="3">
        <v>3.984</v>
      </c>
      <c r="K9">
        <v>0.25700000000000001</v>
      </c>
      <c r="L9">
        <f t="shared" si="1"/>
        <v>7.5602409638554224</v>
      </c>
      <c r="M9">
        <f t="shared" si="2"/>
        <v>5.5892255892255891</v>
      </c>
      <c r="N9" t="str">
        <f t="shared" si="3"/>
        <v>no</v>
      </c>
      <c r="P9" t="s">
        <v>796</v>
      </c>
      <c r="Q9" s="208" t="s">
        <v>805</v>
      </c>
      <c r="R9" t="s">
        <v>325</v>
      </c>
    </row>
    <row r="10" spans="1:33" x14ac:dyDescent="0.3">
      <c r="A10" t="s">
        <v>723</v>
      </c>
      <c r="B10" t="s">
        <v>329</v>
      </c>
      <c r="C10">
        <v>16</v>
      </c>
      <c r="D10">
        <v>104</v>
      </c>
      <c r="G10">
        <f t="shared" si="0"/>
        <v>104</v>
      </c>
      <c r="H10">
        <v>134.9</v>
      </c>
      <c r="I10">
        <v>1.907</v>
      </c>
      <c r="J10">
        <v>1.9550000000000001</v>
      </c>
      <c r="K10">
        <v>2.7850000000000001</v>
      </c>
      <c r="L10">
        <f t="shared" si="1"/>
        <v>1.2971153846153847</v>
      </c>
      <c r="M10">
        <f t="shared" si="2"/>
        <v>350.16835016835017</v>
      </c>
      <c r="N10" t="str">
        <f t="shared" si="3"/>
        <v>yes</v>
      </c>
      <c r="P10" t="s">
        <v>797</v>
      </c>
      <c r="Q10" s="207" t="s">
        <v>798</v>
      </c>
      <c r="R10" t="s">
        <v>804</v>
      </c>
    </row>
    <row r="11" spans="1:33" x14ac:dyDescent="0.3">
      <c r="A11" t="s">
        <v>723</v>
      </c>
      <c r="B11" t="s">
        <v>329</v>
      </c>
      <c r="C11">
        <v>15</v>
      </c>
      <c r="D11">
        <v>94.2</v>
      </c>
      <c r="G11">
        <f t="shared" si="0"/>
        <v>94.2</v>
      </c>
      <c r="H11">
        <v>118.05</v>
      </c>
      <c r="I11">
        <v>1.915</v>
      </c>
      <c r="J11">
        <v>2.4340000000000002</v>
      </c>
      <c r="K11">
        <v>2.383</v>
      </c>
      <c r="L11">
        <f t="shared" si="1"/>
        <v>1.2531847133757961</v>
      </c>
      <c r="M11">
        <f t="shared" si="2"/>
        <v>317.17171717171715</v>
      </c>
      <c r="N11" t="str">
        <f t="shared" si="3"/>
        <v>yes</v>
      </c>
      <c r="P11" t="s">
        <v>800</v>
      </c>
      <c r="Q11" s="207" t="s">
        <v>799</v>
      </c>
      <c r="R11" t="s">
        <v>806</v>
      </c>
    </row>
    <row r="12" spans="1:33" x14ac:dyDescent="0.3">
      <c r="A12" t="s">
        <v>723</v>
      </c>
      <c r="B12" t="s">
        <v>329</v>
      </c>
      <c r="C12">
        <v>14</v>
      </c>
      <c r="D12">
        <v>83.2</v>
      </c>
      <c r="G12">
        <f t="shared" si="0"/>
        <v>83.2</v>
      </c>
      <c r="H12">
        <v>111.35</v>
      </c>
      <c r="I12">
        <v>1.93</v>
      </c>
      <c r="J12">
        <v>2.3570000000000002</v>
      </c>
      <c r="K12">
        <v>2.2480000000000002</v>
      </c>
      <c r="L12">
        <f t="shared" si="1"/>
        <v>1.338341346153846</v>
      </c>
      <c r="M12">
        <f t="shared" si="2"/>
        <v>280.13468013468014</v>
      </c>
      <c r="N12" t="str">
        <f t="shared" si="3"/>
        <v>yes</v>
      </c>
      <c r="P12" t="s">
        <v>802</v>
      </c>
      <c r="Q12" s="207" t="s">
        <v>801</v>
      </c>
      <c r="R12" t="s">
        <v>325</v>
      </c>
    </row>
    <row r="13" spans="1:33" x14ac:dyDescent="0.3">
      <c r="A13" t="s">
        <v>723</v>
      </c>
      <c r="B13" t="s">
        <v>329</v>
      </c>
      <c r="C13">
        <v>13</v>
      </c>
      <c r="D13" s="209" t="s">
        <v>724</v>
      </c>
      <c r="F13">
        <v>3.72</v>
      </c>
      <c r="G13">
        <f t="shared" si="0"/>
        <v>93</v>
      </c>
      <c r="H13">
        <v>175.6</v>
      </c>
      <c r="I13">
        <v>1.909</v>
      </c>
      <c r="J13">
        <v>2.3940000000000001</v>
      </c>
      <c r="K13">
        <v>3.5459999999999998</v>
      </c>
      <c r="L13">
        <f t="shared" si="1"/>
        <v>1.8881720430107527</v>
      </c>
      <c r="M13">
        <f t="shared" si="2"/>
        <v>313.13131313131311</v>
      </c>
      <c r="N13" t="str">
        <f t="shared" si="3"/>
        <v>yes</v>
      </c>
      <c r="P13" s="1" t="s">
        <v>807</v>
      </c>
    </row>
    <row r="14" spans="1:33" x14ac:dyDescent="0.3">
      <c r="A14" t="s">
        <v>723</v>
      </c>
      <c r="B14" t="s">
        <v>329</v>
      </c>
      <c r="C14">
        <v>12</v>
      </c>
      <c r="D14" s="209" t="s">
        <v>724</v>
      </c>
      <c r="E14">
        <v>34.6</v>
      </c>
      <c r="G14">
        <f t="shared" si="0"/>
        <v>173</v>
      </c>
      <c r="H14">
        <v>295.85000000000002</v>
      </c>
      <c r="I14">
        <v>1.8959999999999999</v>
      </c>
      <c r="J14" s="3">
        <v>1.754</v>
      </c>
      <c r="K14">
        <v>6.4850000000000003</v>
      </c>
      <c r="L14">
        <f t="shared" si="1"/>
        <v>1.7101156069364163</v>
      </c>
      <c r="M14">
        <f t="shared" si="2"/>
        <v>582.49158249158245</v>
      </c>
      <c r="N14" t="str">
        <f t="shared" si="3"/>
        <v>yes</v>
      </c>
    </row>
    <row r="15" spans="1:33" x14ac:dyDescent="0.3">
      <c r="A15" t="s">
        <v>723</v>
      </c>
      <c r="B15" t="s">
        <v>329</v>
      </c>
      <c r="C15">
        <v>11</v>
      </c>
      <c r="D15">
        <v>31</v>
      </c>
      <c r="G15">
        <f t="shared" si="0"/>
        <v>31</v>
      </c>
      <c r="H15">
        <v>51.1</v>
      </c>
      <c r="I15">
        <v>1.903</v>
      </c>
      <c r="J15">
        <v>2.9969999999999999</v>
      </c>
      <c r="K15">
        <v>1.0309999999999999</v>
      </c>
      <c r="L15">
        <f t="shared" si="1"/>
        <v>1.6483870967741936</v>
      </c>
      <c r="M15">
        <f t="shared" si="2"/>
        <v>104.37710437710437</v>
      </c>
      <c r="N15" t="str">
        <f t="shared" si="3"/>
        <v>yes</v>
      </c>
    </row>
    <row r="16" spans="1:33" x14ac:dyDescent="0.3">
      <c r="A16" t="s">
        <v>723</v>
      </c>
      <c r="B16" t="s">
        <v>329</v>
      </c>
      <c r="C16">
        <v>10</v>
      </c>
      <c r="D16" s="209" t="s">
        <v>724</v>
      </c>
      <c r="E16">
        <v>23.2</v>
      </c>
      <c r="G16">
        <f t="shared" si="0"/>
        <v>116</v>
      </c>
      <c r="H16">
        <v>167.05</v>
      </c>
      <c r="I16">
        <v>1.9</v>
      </c>
      <c r="J16">
        <v>2.27</v>
      </c>
      <c r="K16">
        <v>3.3879999999999999</v>
      </c>
      <c r="L16">
        <f t="shared" si="1"/>
        <v>1.4400862068965519</v>
      </c>
      <c r="M16">
        <f t="shared" si="2"/>
        <v>390.57239057239059</v>
      </c>
      <c r="N16" t="str">
        <f t="shared" si="3"/>
        <v>yes</v>
      </c>
    </row>
    <row r="17" spans="1:26" x14ac:dyDescent="0.3">
      <c r="A17" t="s">
        <v>723</v>
      </c>
      <c r="B17" t="s">
        <v>329</v>
      </c>
      <c r="C17">
        <v>9</v>
      </c>
      <c r="D17">
        <v>69</v>
      </c>
      <c r="G17">
        <f t="shared" si="0"/>
        <v>69</v>
      </c>
      <c r="H17">
        <v>87.65</v>
      </c>
      <c r="I17">
        <v>1.901</v>
      </c>
      <c r="J17">
        <v>2.6280000000000001</v>
      </c>
      <c r="K17">
        <v>1.7649999999999999</v>
      </c>
      <c r="L17">
        <f t="shared" si="1"/>
        <v>1.2702898550724639</v>
      </c>
      <c r="M17">
        <f t="shared" si="2"/>
        <v>232.32323232323233</v>
      </c>
      <c r="N17" t="str">
        <f t="shared" si="3"/>
        <v>yes</v>
      </c>
    </row>
    <row r="18" spans="1:26" x14ac:dyDescent="0.3">
      <c r="A18" t="s">
        <v>723</v>
      </c>
      <c r="B18" t="s">
        <v>329</v>
      </c>
      <c r="C18">
        <v>8</v>
      </c>
      <c r="D18" s="209" t="s">
        <v>724</v>
      </c>
      <c r="E18">
        <v>41.6</v>
      </c>
      <c r="G18">
        <f t="shared" si="0"/>
        <v>208</v>
      </c>
      <c r="H18">
        <v>216.55</v>
      </c>
      <c r="I18">
        <v>1.9019999999999999</v>
      </c>
      <c r="J18">
        <v>2.0019999999999998</v>
      </c>
      <c r="K18">
        <v>4.4420000000000002</v>
      </c>
      <c r="L18">
        <f t="shared" si="1"/>
        <v>1.0411057692307693</v>
      </c>
      <c r="M18">
        <f t="shared" si="2"/>
        <v>700.33670033670035</v>
      </c>
      <c r="N18" t="str">
        <f t="shared" si="3"/>
        <v>yes</v>
      </c>
    </row>
    <row r="19" spans="1:26" x14ac:dyDescent="0.3">
      <c r="A19" t="s">
        <v>723</v>
      </c>
      <c r="B19" t="s">
        <v>329</v>
      </c>
      <c r="C19">
        <v>7</v>
      </c>
      <c r="D19">
        <v>86.8</v>
      </c>
      <c r="G19">
        <f t="shared" si="0"/>
        <v>86.8</v>
      </c>
      <c r="H19">
        <v>115.6</v>
      </c>
      <c r="I19">
        <v>1.919</v>
      </c>
      <c r="J19">
        <v>2.3980000000000001</v>
      </c>
      <c r="K19">
        <v>2.3410000000000002</v>
      </c>
      <c r="L19">
        <f t="shared" si="1"/>
        <v>1.3317972350230414</v>
      </c>
      <c r="M19">
        <f t="shared" si="2"/>
        <v>292.25589225589226</v>
      </c>
      <c r="N19" t="str">
        <f t="shared" si="3"/>
        <v>yes</v>
      </c>
    </row>
    <row r="20" spans="1:26" x14ac:dyDescent="0.3">
      <c r="A20" t="s">
        <v>723</v>
      </c>
      <c r="B20" t="s">
        <v>329</v>
      </c>
      <c r="C20">
        <v>6</v>
      </c>
      <c r="D20" s="209" t="s">
        <v>724</v>
      </c>
      <c r="E20">
        <v>55.2</v>
      </c>
      <c r="G20">
        <f t="shared" si="0"/>
        <v>276</v>
      </c>
      <c r="H20">
        <v>146.15</v>
      </c>
      <c r="I20">
        <v>1.8959999999999999</v>
      </c>
      <c r="J20">
        <v>2.4649999999999999</v>
      </c>
      <c r="K20">
        <v>2.9510000000000001</v>
      </c>
      <c r="L20">
        <f t="shared" si="1"/>
        <v>0.52952898550724636</v>
      </c>
      <c r="M20">
        <f t="shared" si="2"/>
        <v>929.29292929292933</v>
      </c>
      <c r="N20" t="str">
        <f t="shared" si="3"/>
        <v>yes</v>
      </c>
    </row>
    <row r="21" spans="1:26" x14ac:dyDescent="0.3">
      <c r="A21" t="s">
        <v>723</v>
      </c>
      <c r="B21" t="s">
        <v>329</v>
      </c>
      <c r="C21">
        <v>5</v>
      </c>
      <c r="D21">
        <v>26.6</v>
      </c>
      <c r="G21">
        <f t="shared" si="0"/>
        <v>26.6</v>
      </c>
      <c r="H21">
        <v>46</v>
      </c>
      <c r="I21">
        <v>1.881</v>
      </c>
      <c r="J21">
        <v>2.875</v>
      </c>
      <c r="K21">
        <v>0.92900000000000005</v>
      </c>
      <c r="L21">
        <f t="shared" si="1"/>
        <v>1.7293233082706767</v>
      </c>
      <c r="M21">
        <f t="shared" si="2"/>
        <v>89.562289562289564</v>
      </c>
      <c r="N21" t="str">
        <f t="shared" si="3"/>
        <v>yes</v>
      </c>
    </row>
    <row r="22" spans="1:26" x14ac:dyDescent="0.3">
      <c r="A22" t="s">
        <v>723</v>
      </c>
      <c r="B22" t="s">
        <v>329</v>
      </c>
      <c r="C22">
        <v>4</v>
      </c>
      <c r="D22">
        <v>67.400000000000006</v>
      </c>
      <c r="G22">
        <f t="shared" si="0"/>
        <v>67.400000000000006</v>
      </c>
      <c r="H22">
        <v>97.95</v>
      </c>
      <c r="I22">
        <v>1.919</v>
      </c>
      <c r="J22">
        <v>2.5510000000000002</v>
      </c>
      <c r="K22">
        <v>1.966</v>
      </c>
      <c r="L22">
        <f t="shared" si="1"/>
        <v>1.4532640949554896</v>
      </c>
      <c r="M22">
        <f t="shared" si="2"/>
        <v>226.93602693602693</v>
      </c>
      <c r="N22" t="str">
        <f t="shared" si="3"/>
        <v>yes</v>
      </c>
    </row>
    <row r="23" spans="1:26" x14ac:dyDescent="0.3">
      <c r="A23" t="s">
        <v>723</v>
      </c>
      <c r="B23" t="s">
        <v>329</v>
      </c>
      <c r="C23">
        <v>3</v>
      </c>
      <c r="D23">
        <v>41.6</v>
      </c>
      <c r="G23">
        <f t="shared" si="0"/>
        <v>41.6</v>
      </c>
      <c r="H23">
        <v>82.2</v>
      </c>
      <c r="I23">
        <v>1.9339999999999999</v>
      </c>
      <c r="J23">
        <v>2.339</v>
      </c>
      <c r="K23">
        <v>1.651</v>
      </c>
      <c r="L23">
        <f t="shared" si="1"/>
        <v>1.9759615384615385</v>
      </c>
      <c r="M23">
        <f t="shared" si="2"/>
        <v>140.06734006734007</v>
      </c>
      <c r="N23" t="str">
        <f t="shared" si="3"/>
        <v>yes</v>
      </c>
    </row>
    <row r="24" spans="1:26" x14ac:dyDescent="0.3">
      <c r="A24" t="s">
        <v>723</v>
      </c>
      <c r="B24" t="s">
        <v>329</v>
      </c>
      <c r="C24">
        <v>2</v>
      </c>
      <c r="D24">
        <v>87.6</v>
      </c>
      <c r="G24">
        <f t="shared" si="0"/>
        <v>87.6</v>
      </c>
      <c r="H24">
        <v>109.45</v>
      </c>
      <c r="I24">
        <v>1.907</v>
      </c>
      <c r="J24">
        <v>2.379</v>
      </c>
      <c r="K24">
        <v>2.214</v>
      </c>
      <c r="L24">
        <f t="shared" si="1"/>
        <v>1.2494292237442923</v>
      </c>
      <c r="M24">
        <f t="shared" si="2"/>
        <v>294.94949494949498</v>
      </c>
      <c r="N24" t="str">
        <f t="shared" si="3"/>
        <v>yes</v>
      </c>
      <c r="Z24" s="210"/>
    </row>
    <row r="25" spans="1:26" x14ac:dyDescent="0.3">
      <c r="A25" t="s">
        <v>723</v>
      </c>
      <c r="B25" t="s">
        <v>329</v>
      </c>
      <c r="C25">
        <v>1</v>
      </c>
      <c r="D25" s="209" t="s">
        <v>724</v>
      </c>
      <c r="E25">
        <v>72</v>
      </c>
      <c r="G25">
        <f t="shared" si="0"/>
        <v>360</v>
      </c>
      <c r="H25">
        <v>253.4</v>
      </c>
      <c r="I25">
        <v>1.921</v>
      </c>
      <c r="J25">
        <v>2.4630000000000001</v>
      </c>
      <c r="K25">
        <v>5.0919999999999996</v>
      </c>
      <c r="L25">
        <f t="shared" si="1"/>
        <v>0.7038888888888889</v>
      </c>
      <c r="M25">
        <f t="shared" si="2"/>
        <v>1212.121212121212</v>
      </c>
      <c r="N25" t="str">
        <f t="shared" si="3"/>
        <v>yes</v>
      </c>
      <c r="Z25" s="210"/>
    </row>
    <row r="26" spans="1:26" x14ac:dyDescent="0.3">
      <c r="A26" t="s">
        <v>723</v>
      </c>
      <c r="B26" t="s">
        <v>725</v>
      </c>
      <c r="C26">
        <v>24</v>
      </c>
      <c r="D26">
        <v>79.599999999999994</v>
      </c>
      <c r="G26">
        <f t="shared" si="0"/>
        <v>79.599999999999994</v>
      </c>
      <c r="H26">
        <v>184.9</v>
      </c>
      <c r="I26">
        <v>1.9019999999999999</v>
      </c>
      <c r="J26">
        <v>2.2250000000000001</v>
      </c>
      <c r="K26">
        <v>3.702</v>
      </c>
      <c r="L26">
        <f t="shared" si="1"/>
        <v>2.3228643216080402</v>
      </c>
      <c r="M26">
        <f t="shared" si="2"/>
        <v>268.01346801346801</v>
      </c>
      <c r="N26" t="str">
        <f t="shared" si="3"/>
        <v>yes</v>
      </c>
      <c r="Z26" s="210"/>
    </row>
    <row r="27" spans="1:26" x14ac:dyDescent="0.3">
      <c r="A27" t="s">
        <v>723</v>
      </c>
      <c r="B27" t="s">
        <v>725</v>
      </c>
      <c r="C27">
        <v>23</v>
      </c>
      <c r="D27" s="209" t="s">
        <v>724</v>
      </c>
      <c r="E27">
        <v>74</v>
      </c>
      <c r="G27">
        <f t="shared" si="0"/>
        <v>370</v>
      </c>
      <c r="H27">
        <v>443</v>
      </c>
      <c r="I27">
        <v>1.907</v>
      </c>
      <c r="J27" s="3">
        <v>1.0409999999999999</v>
      </c>
      <c r="K27">
        <v>11.28</v>
      </c>
      <c r="L27">
        <f t="shared" si="1"/>
        <v>1.1972972972972973</v>
      </c>
      <c r="M27">
        <f t="shared" si="2"/>
        <v>1245.7912457912457</v>
      </c>
      <c r="N27" t="str">
        <f t="shared" si="3"/>
        <v>yes</v>
      </c>
      <c r="Z27" s="210"/>
    </row>
    <row r="28" spans="1:26" x14ac:dyDescent="0.3">
      <c r="A28" t="s">
        <v>723</v>
      </c>
      <c r="B28" t="s">
        <v>725</v>
      </c>
      <c r="C28">
        <v>22</v>
      </c>
      <c r="D28" s="209" t="s">
        <v>724</v>
      </c>
      <c r="E28">
        <v>63.6</v>
      </c>
      <c r="G28">
        <f t="shared" si="0"/>
        <v>318</v>
      </c>
      <c r="H28">
        <v>764.05</v>
      </c>
      <c r="I28">
        <v>1.893</v>
      </c>
      <c r="J28" s="3">
        <v>0.94699999999999995</v>
      </c>
      <c r="K28">
        <v>22.02</v>
      </c>
      <c r="L28">
        <f t="shared" si="1"/>
        <v>2.4026729559748428</v>
      </c>
      <c r="M28">
        <f t="shared" si="2"/>
        <v>1070.7070707070707</v>
      </c>
      <c r="N28" t="str">
        <f t="shared" si="3"/>
        <v>yes</v>
      </c>
      <c r="Z28" s="210"/>
    </row>
    <row r="29" spans="1:26" x14ac:dyDescent="0.3">
      <c r="A29" t="s">
        <v>723</v>
      </c>
      <c r="B29" t="s">
        <v>725</v>
      </c>
      <c r="C29">
        <v>21</v>
      </c>
      <c r="D29" s="209" t="s">
        <v>724</v>
      </c>
      <c r="E29">
        <v>37.200000000000003</v>
      </c>
      <c r="G29">
        <f t="shared" si="0"/>
        <v>186</v>
      </c>
      <c r="H29">
        <v>505.8</v>
      </c>
      <c r="I29">
        <v>1.9139999999999999</v>
      </c>
      <c r="J29" s="3">
        <v>0.88400000000000001</v>
      </c>
      <c r="K29">
        <v>13.69</v>
      </c>
      <c r="L29">
        <f t="shared" si="1"/>
        <v>2.7193548387096773</v>
      </c>
      <c r="M29">
        <f t="shared" si="2"/>
        <v>626.26262626262621</v>
      </c>
      <c r="N29" t="str">
        <f t="shared" si="3"/>
        <v>yes</v>
      </c>
      <c r="Z29" s="210"/>
    </row>
    <row r="30" spans="1:26" x14ac:dyDescent="0.3">
      <c r="A30" t="s">
        <v>723</v>
      </c>
      <c r="B30" t="s">
        <v>725</v>
      </c>
      <c r="C30">
        <v>20</v>
      </c>
      <c r="D30">
        <v>88.2</v>
      </c>
      <c r="G30">
        <f t="shared" si="0"/>
        <v>88.2</v>
      </c>
      <c r="H30">
        <v>572.4</v>
      </c>
      <c r="I30">
        <v>1.893</v>
      </c>
      <c r="J30" s="3">
        <v>0.72099999999999997</v>
      </c>
      <c r="K30">
        <v>18.23</v>
      </c>
      <c r="L30">
        <f t="shared" si="1"/>
        <v>6.4897959183673466</v>
      </c>
      <c r="M30">
        <f t="shared" si="2"/>
        <v>296.969696969697</v>
      </c>
      <c r="N30" t="str">
        <f t="shared" si="3"/>
        <v>yes</v>
      </c>
      <c r="Z30" s="210"/>
    </row>
    <row r="31" spans="1:26" x14ac:dyDescent="0.3">
      <c r="A31" t="s">
        <v>723</v>
      </c>
      <c r="B31" t="s">
        <v>725</v>
      </c>
      <c r="C31">
        <v>19</v>
      </c>
      <c r="D31" s="209" t="s">
        <v>724</v>
      </c>
      <c r="E31">
        <v>65.400000000000006</v>
      </c>
      <c r="G31">
        <f t="shared" si="0"/>
        <v>327</v>
      </c>
      <c r="H31">
        <v>620.45000000000005</v>
      </c>
      <c r="I31">
        <v>1.921</v>
      </c>
      <c r="J31" s="3">
        <v>0.995</v>
      </c>
      <c r="K31">
        <v>16.670000000000002</v>
      </c>
      <c r="L31">
        <f t="shared" si="1"/>
        <v>1.8974006116207953</v>
      </c>
      <c r="M31">
        <f t="shared" si="2"/>
        <v>1101.0101010101009</v>
      </c>
      <c r="N31" t="str">
        <f t="shared" si="3"/>
        <v>yes</v>
      </c>
      <c r="Z31" s="210"/>
    </row>
    <row r="32" spans="1:26" x14ac:dyDescent="0.3">
      <c r="A32" t="s">
        <v>723</v>
      </c>
      <c r="B32" t="s">
        <v>725</v>
      </c>
      <c r="C32">
        <v>18</v>
      </c>
      <c r="D32">
        <v>116</v>
      </c>
      <c r="G32">
        <f t="shared" si="0"/>
        <v>116</v>
      </c>
      <c r="H32">
        <v>451.5</v>
      </c>
      <c r="I32">
        <v>1.9139999999999999</v>
      </c>
      <c r="J32" s="3">
        <v>0.95799999999999996</v>
      </c>
      <c r="K32">
        <v>12.23</v>
      </c>
      <c r="L32">
        <f t="shared" si="1"/>
        <v>3.8922413793103448</v>
      </c>
      <c r="M32">
        <f t="shared" si="2"/>
        <v>390.57239057239059</v>
      </c>
      <c r="N32" t="str">
        <f t="shared" si="3"/>
        <v>yes</v>
      </c>
      <c r="Z32" s="210"/>
    </row>
    <row r="33" spans="1:26" x14ac:dyDescent="0.3">
      <c r="A33" t="s">
        <v>723</v>
      </c>
      <c r="B33" t="s">
        <v>725</v>
      </c>
      <c r="C33">
        <v>17</v>
      </c>
      <c r="D33">
        <v>84.6</v>
      </c>
      <c r="G33">
        <f t="shared" si="0"/>
        <v>84.6</v>
      </c>
      <c r="H33">
        <v>422.05</v>
      </c>
      <c r="I33">
        <v>1.895</v>
      </c>
      <c r="J33" s="3">
        <v>0.84799999999999998</v>
      </c>
      <c r="K33">
        <v>11.56</v>
      </c>
      <c r="L33">
        <f t="shared" si="1"/>
        <v>4.9887706855791967</v>
      </c>
      <c r="M33">
        <f t="shared" si="2"/>
        <v>284.84848484848487</v>
      </c>
      <c r="N33" t="str">
        <f t="shared" si="3"/>
        <v>yes</v>
      </c>
      <c r="Z33" s="210"/>
    </row>
    <row r="34" spans="1:26" x14ac:dyDescent="0.3">
      <c r="A34" t="s">
        <v>723</v>
      </c>
      <c r="B34" t="s">
        <v>725</v>
      </c>
      <c r="C34">
        <v>16</v>
      </c>
      <c r="D34" s="209" t="s">
        <v>724</v>
      </c>
      <c r="F34">
        <v>97.6</v>
      </c>
      <c r="G34">
        <f t="shared" si="0"/>
        <v>2440</v>
      </c>
      <c r="H34">
        <v>1275.5</v>
      </c>
      <c r="I34">
        <v>1.95</v>
      </c>
      <c r="J34" s="3">
        <v>1.331</v>
      </c>
      <c r="K34">
        <v>26.86</v>
      </c>
      <c r="L34">
        <f t="shared" si="1"/>
        <v>0.52274590163934431</v>
      </c>
      <c r="M34">
        <f t="shared" si="2"/>
        <v>8215.4882154882162</v>
      </c>
      <c r="N34" t="str">
        <f t="shared" si="3"/>
        <v>yes</v>
      </c>
      <c r="Z34" s="210"/>
    </row>
    <row r="35" spans="1:26" x14ac:dyDescent="0.3">
      <c r="A35" t="s">
        <v>723</v>
      </c>
      <c r="B35" t="s">
        <v>725</v>
      </c>
      <c r="C35">
        <v>15</v>
      </c>
      <c r="D35" s="209" t="s">
        <v>724</v>
      </c>
      <c r="F35">
        <v>3.22</v>
      </c>
      <c r="G35">
        <f t="shared" si="0"/>
        <v>80.5</v>
      </c>
      <c r="H35">
        <v>635.04999999999995</v>
      </c>
      <c r="I35">
        <v>1.9039999999999999</v>
      </c>
      <c r="J35" s="3">
        <v>1.1319999999999999</v>
      </c>
      <c r="K35">
        <v>15.71</v>
      </c>
      <c r="L35">
        <f t="shared" si="1"/>
        <v>7.888819875776397</v>
      </c>
      <c r="M35">
        <f t="shared" si="2"/>
        <v>271.04377104377102</v>
      </c>
      <c r="N35" t="str">
        <f t="shared" si="3"/>
        <v>yes</v>
      </c>
      <c r="Z35" s="210"/>
    </row>
    <row r="36" spans="1:26" x14ac:dyDescent="0.3">
      <c r="A36" t="s">
        <v>723</v>
      </c>
      <c r="B36" t="s">
        <v>725</v>
      </c>
      <c r="C36">
        <v>14</v>
      </c>
      <c r="D36">
        <v>55.4</v>
      </c>
      <c r="G36">
        <f t="shared" si="0"/>
        <v>55.4</v>
      </c>
      <c r="H36">
        <v>211.75</v>
      </c>
      <c r="I36">
        <v>1.899</v>
      </c>
      <c r="J36" s="3">
        <v>0.96</v>
      </c>
      <c r="K36">
        <v>5.4710000000000001</v>
      </c>
      <c r="L36">
        <f t="shared" si="1"/>
        <v>3.8222021660649821</v>
      </c>
      <c r="M36">
        <f t="shared" si="2"/>
        <v>186.53198653198652</v>
      </c>
      <c r="N36" t="str">
        <f t="shared" si="3"/>
        <v>yes</v>
      </c>
      <c r="Z36" s="210"/>
    </row>
    <row r="37" spans="1:26" x14ac:dyDescent="0.3">
      <c r="A37" t="s">
        <v>723</v>
      </c>
      <c r="B37" t="s">
        <v>725</v>
      </c>
      <c r="C37">
        <v>13</v>
      </c>
      <c r="D37">
        <v>93.2</v>
      </c>
      <c r="G37">
        <f t="shared" si="0"/>
        <v>93.2</v>
      </c>
      <c r="H37">
        <v>412.2</v>
      </c>
      <c r="I37">
        <v>1.895</v>
      </c>
      <c r="J37" s="3">
        <v>0.88400000000000001</v>
      </c>
      <c r="K37">
        <v>11.19</v>
      </c>
      <c r="L37">
        <f t="shared" si="1"/>
        <v>4.4227467811158796</v>
      </c>
      <c r="M37">
        <f t="shared" si="2"/>
        <v>313.8047138047138</v>
      </c>
      <c r="N37" t="str">
        <f t="shared" si="3"/>
        <v>yes</v>
      </c>
    </row>
    <row r="38" spans="1:26" x14ac:dyDescent="0.3">
      <c r="A38" t="s">
        <v>723</v>
      </c>
      <c r="B38" t="s">
        <v>725</v>
      </c>
      <c r="C38">
        <v>12</v>
      </c>
      <c r="D38">
        <v>114</v>
      </c>
      <c r="G38">
        <f t="shared" si="0"/>
        <v>114</v>
      </c>
      <c r="H38">
        <v>610.95000000000005</v>
      </c>
      <c r="I38">
        <v>1.9219999999999999</v>
      </c>
      <c r="J38" s="3">
        <v>0.874</v>
      </c>
      <c r="K38">
        <v>17.260000000000002</v>
      </c>
      <c r="L38">
        <f t="shared" si="1"/>
        <v>5.3592105263157901</v>
      </c>
      <c r="M38">
        <f t="shared" si="2"/>
        <v>383.83838383838383</v>
      </c>
      <c r="N38" t="str">
        <f t="shared" si="3"/>
        <v>yes</v>
      </c>
    </row>
    <row r="39" spans="1:26" x14ac:dyDescent="0.3">
      <c r="A39" t="s">
        <v>723</v>
      </c>
      <c r="B39" t="s">
        <v>725</v>
      </c>
      <c r="C39">
        <v>11</v>
      </c>
      <c r="D39" s="209" t="s">
        <v>724</v>
      </c>
      <c r="F39">
        <v>4.38</v>
      </c>
      <c r="G39">
        <f t="shared" si="0"/>
        <v>109.5</v>
      </c>
      <c r="H39">
        <v>923.2</v>
      </c>
      <c r="I39">
        <v>1.9510000000000001</v>
      </c>
      <c r="J39" s="3">
        <v>1.105</v>
      </c>
      <c r="K39">
        <v>22.93</v>
      </c>
      <c r="L39">
        <f t="shared" si="1"/>
        <v>8.431050228310502</v>
      </c>
      <c r="M39">
        <f t="shared" si="2"/>
        <v>368.68686868686871</v>
      </c>
      <c r="N39" t="str">
        <f t="shared" si="3"/>
        <v>yes</v>
      </c>
    </row>
    <row r="40" spans="1:26" x14ac:dyDescent="0.3">
      <c r="A40" t="s">
        <v>723</v>
      </c>
      <c r="B40" t="s">
        <v>725</v>
      </c>
      <c r="C40">
        <v>10</v>
      </c>
      <c r="D40" s="209" t="s">
        <v>724</v>
      </c>
      <c r="E40">
        <v>51.4</v>
      </c>
      <c r="G40">
        <f t="shared" si="0"/>
        <v>257</v>
      </c>
      <c r="H40">
        <v>611.75</v>
      </c>
      <c r="I40">
        <v>1.913</v>
      </c>
      <c r="J40" s="3">
        <v>0.93700000000000006</v>
      </c>
      <c r="K40">
        <v>16.23</v>
      </c>
      <c r="L40">
        <f t="shared" si="1"/>
        <v>2.3803501945525292</v>
      </c>
      <c r="M40">
        <f t="shared" si="2"/>
        <v>865.31986531986536</v>
      </c>
      <c r="N40" t="str">
        <f t="shared" si="3"/>
        <v>yes</v>
      </c>
    </row>
    <row r="41" spans="1:26" x14ac:dyDescent="0.3">
      <c r="A41" t="s">
        <v>723</v>
      </c>
      <c r="B41" t="s">
        <v>725</v>
      </c>
      <c r="C41">
        <v>9</v>
      </c>
      <c r="D41" s="209" t="s">
        <v>724</v>
      </c>
      <c r="F41">
        <v>42.2</v>
      </c>
      <c r="G41">
        <f t="shared" si="0"/>
        <v>1055</v>
      </c>
      <c r="H41">
        <v>400.6</v>
      </c>
      <c r="I41">
        <v>1.859</v>
      </c>
      <c r="J41" s="3">
        <v>1.286</v>
      </c>
      <c r="K41">
        <v>9.7750000000000004</v>
      </c>
      <c r="L41">
        <f t="shared" si="1"/>
        <v>0.37971563981042655</v>
      </c>
      <c r="M41">
        <f t="shared" si="2"/>
        <v>3552.188552188552</v>
      </c>
      <c r="N41" t="str">
        <f t="shared" si="3"/>
        <v>yes</v>
      </c>
    </row>
    <row r="42" spans="1:26" x14ac:dyDescent="0.3">
      <c r="A42" t="s">
        <v>723</v>
      </c>
      <c r="B42" t="s">
        <v>725</v>
      </c>
      <c r="C42">
        <v>8</v>
      </c>
      <c r="D42">
        <v>104</v>
      </c>
      <c r="G42">
        <f t="shared" si="0"/>
        <v>104</v>
      </c>
      <c r="H42">
        <v>532.85</v>
      </c>
      <c r="I42">
        <v>1.911</v>
      </c>
      <c r="J42" s="3">
        <v>0.89400000000000002</v>
      </c>
      <c r="K42">
        <v>16.34</v>
      </c>
      <c r="L42">
        <f t="shared" si="1"/>
        <v>5.1235576923076929</v>
      </c>
      <c r="M42">
        <f t="shared" si="2"/>
        <v>350.16835016835017</v>
      </c>
      <c r="N42" t="str">
        <f t="shared" si="3"/>
        <v>yes</v>
      </c>
    </row>
    <row r="43" spans="1:26" x14ac:dyDescent="0.3">
      <c r="A43" t="s">
        <v>723</v>
      </c>
      <c r="B43" t="s">
        <v>725</v>
      </c>
      <c r="C43">
        <v>7</v>
      </c>
      <c r="D43">
        <v>90.4</v>
      </c>
      <c r="G43">
        <f t="shared" si="0"/>
        <v>90.4</v>
      </c>
      <c r="H43">
        <v>391.1</v>
      </c>
      <c r="I43">
        <v>1.8879999999999999</v>
      </c>
      <c r="J43" s="3">
        <v>0.872</v>
      </c>
      <c r="K43">
        <v>10.75</v>
      </c>
      <c r="L43">
        <f t="shared" si="1"/>
        <v>4.3263274336283182</v>
      </c>
      <c r="M43">
        <f t="shared" si="2"/>
        <v>304.37710437710439</v>
      </c>
      <c r="N43" t="str">
        <f t="shared" si="3"/>
        <v>yes</v>
      </c>
    </row>
    <row r="44" spans="1:26" x14ac:dyDescent="0.3">
      <c r="A44" t="s">
        <v>723</v>
      </c>
      <c r="B44" t="s">
        <v>725</v>
      </c>
      <c r="C44">
        <v>6</v>
      </c>
      <c r="D44">
        <v>116</v>
      </c>
      <c r="G44">
        <f t="shared" si="0"/>
        <v>116</v>
      </c>
      <c r="H44">
        <v>528.6</v>
      </c>
      <c r="I44">
        <v>1.9</v>
      </c>
      <c r="J44" s="3">
        <v>0.91</v>
      </c>
      <c r="K44">
        <v>15</v>
      </c>
      <c r="L44">
        <f t="shared" si="1"/>
        <v>4.5568965517241384</v>
      </c>
      <c r="M44">
        <f t="shared" si="2"/>
        <v>390.57239057239059</v>
      </c>
      <c r="N44" t="str">
        <f t="shared" si="3"/>
        <v>yes</v>
      </c>
    </row>
    <row r="45" spans="1:26" x14ac:dyDescent="0.3">
      <c r="A45" t="s">
        <v>723</v>
      </c>
      <c r="B45" t="s">
        <v>725</v>
      </c>
      <c r="C45">
        <v>5</v>
      </c>
      <c r="D45">
        <v>45.4</v>
      </c>
      <c r="G45">
        <f t="shared" si="0"/>
        <v>45.4</v>
      </c>
      <c r="H45">
        <v>128.75</v>
      </c>
      <c r="I45">
        <v>1.8340000000000001</v>
      </c>
      <c r="J45" s="3">
        <v>0.871</v>
      </c>
      <c r="K45">
        <v>3.6789999999999998</v>
      </c>
      <c r="L45">
        <f t="shared" si="1"/>
        <v>2.8359030837004404</v>
      </c>
      <c r="M45">
        <f t="shared" si="2"/>
        <v>152.86195286195286</v>
      </c>
      <c r="N45" t="str">
        <f t="shared" si="3"/>
        <v>yes</v>
      </c>
    </row>
    <row r="46" spans="1:26" x14ac:dyDescent="0.3">
      <c r="A46" t="s">
        <v>723</v>
      </c>
      <c r="B46" t="s">
        <v>725</v>
      </c>
      <c r="C46">
        <v>4</v>
      </c>
      <c r="D46" s="209" t="s">
        <v>724</v>
      </c>
      <c r="E46">
        <v>50.6</v>
      </c>
      <c r="G46">
        <f t="shared" si="0"/>
        <v>253</v>
      </c>
      <c r="H46">
        <v>312</v>
      </c>
      <c r="I46">
        <v>1.8779999999999999</v>
      </c>
      <c r="J46" s="3">
        <v>1.2929999999999999</v>
      </c>
      <c r="K46">
        <v>7.5570000000000004</v>
      </c>
      <c r="L46">
        <f t="shared" si="1"/>
        <v>1.233201581027668</v>
      </c>
      <c r="M46">
        <f t="shared" si="2"/>
        <v>851.85185185185185</v>
      </c>
      <c r="N46" t="str">
        <f t="shared" si="3"/>
        <v>yes</v>
      </c>
    </row>
    <row r="47" spans="1:26" x14ac:dyDescent="0.3">
      <c r="A47" t="s">
        <v>723</v>
      </c>
      <c r="B47" t="s">
        <v>725</v>
      </c>
      <c r="C47">
        <v>3</v>
      </c>
      <c r="D47">
        <v>4.9400000000000004</v>
      </c>
      <c r="G47">
        <f t="shared" si="0"/>
        <v>4.9400000000000004</v>
      </c>
      <c r="H47">
        <v>35.9</v>
      </c>
      <c r="I47">
        <v>2.0569999999999999</v>
      </c>
      <c r="J47" s="3">
        <v>0.27300000000000002</v>
      </c>
      <c r="K47">
        <v>0.69399999999999995</v>
      </c>
      <c r="L47">
        <f t="shared" si="1"/>
        <v>7.2672064777327927</v>
      </c>
      <c r="M47">
        <f t="shared" si="2"/>
        <v>16.632996632996633</v>
      </c>
      <c r="N47" t="str">
        <f t="shared" si="3"/>
        <v>yes</v>
      </c>
    </row>
    <row r="48" spans="1:26" x14ac:dyDescent="0.3">
      <c r="A48" t="s">
        <v>723</v>
      </c>
      <c r="B48" t="s">
        <v>725</v>
      </c>
      <c r="C48">
        <v>2</v>
      </c>
      <c r="D48">
        <v>15.4</v>
      </c>
      <c r="G48">
        <f t="shared" si="0"/>
        <v>15.4</v>
      </c>
      <c r="H48">
        <v>33.299999999999997</v>
      </c>
      <c r="I48">
        <v>1.8919999999999999</v>
      </c>
      <c r="J48" s="3">
        <v>0.82899999999999996</v>
      </c>
      <c r="K48">
        <v>0.77500000000000002</v>
      </c>
      <c r="L48">
        <f t="shared" si="1"/>
        <v>2.162337662337662</v>
      </c>
      <c r="M48">
        <f t="shared" si="2"/>
        <v>51.851851851851855</v>
      </c>
      <c r="N48" t="str">
        <f t="shared" si="3"/>
        <v>yes</v>
      </c>
    </row>
    <row r="49" spans="1:14" x14ac:dyDescent="0.3">
      <c r="A49" t="s">
        <v>723</v>
      </c>
      <c r="B49" t="s">
        <v>725</v>
      </c>
      <c r="C49">
        <v>1</v>
      </c>
      <c r="D49">
        <v>0.54600000000000004</v>
      </c>
      <c r="G49">
        <f t="shared" si="0"/>
        <v>0.54600000000000004</v>
      </c>
      <c r="H49">
        <v>614.54999999999995</v>
      </c>
      <c r="I49">
        <v>1.925</v>
      </c>
      <c r="J49" s="3">
        <v>1.518</v>
      </c>
      <c r="K49">
        <v>14.04</v>
      </c>
      <c r="L49">
        <f t="shared" si="1"/>
        <v>1125.5494505494503</v>
      </c>
      <c r="M49">
        <f t="shared" si="2"/>
        <v>1.8383838383838385</v>
      </c>
      <c r="N49" t="str">
        <f t="shared" si="3"/>
        <v>no</v>
      </c>
    </row>
    <row r="50" spans="1:14" s="213" customFormat="1" x14ac:dyDescent="0.3">
      <c r="A50" s="213" t="s">
        <v>792</v>
      </c>
      <c r="B50" s="213">
        <v>0</v>
      </c>
      <c r="C50" s="213">
        <v>1</v>
      </c>
      <c r="H50" s="213">
        <v>630.1</v>
      </c>
      <c r="I50" s="213">
        <v>1.909</v>
      </c>
      <c r="J50" s="213">
        <v>2.4849999999999999</v>
      </c>
      <c r="K50" s="213">
        <v>12.64</v>
      </c>
    </row>
    <row r="51" spans="1:14" s="213" customFormat="1" x14ac:dyDescent="0.3">
      <c r="A51" s="213" t="s">
        <v>792</v>
      </c>
      <c r="B51" s="213">
        <v>1</v>
      </c>
      <c r="C51" s="213">
        <v>1</v>
      </c>
      <c r="H51" s="213">
        <v>152.6</v>
      </c>
      <c r="I51" s="213">
        <v>1.905</v>
      </c>
      <c r="J51" s="213">
        <v>2.7749999999999999</v>
      </c>
      <c r="K51" s="213">
        <v>3.0550000000000002</v>
      </c>
    </row>
    <row r="52" spans="1:14" s="213" customFormat="1" x14ac:dyDescent="0.3">
      <c r="A52" s="213" t="s">
        <v>792</v>
      </c>
      <c r="B52" s="213">
        <v>0</v>
      </c>
      <c r="C52" s="213">
        <v>2</v>
      </c>
      <c r="H52" s="213">
        <v>59.3</v>
      </c>
      <c r="I52" s="213">
        <v>1.8979999999999999</v>
      </c>
      <c r="J52" s="214">
        <v>3.4990000000000001</v>
      </c>
      <c r="K52" s="213">
        <v>1.1579999999999999</v>
      </c>
    </row>
    <row r="53" spans="1:14" x14ac:dyDescent="0.3">
      <c r="A53" t="s">
        <v>792</v>
      </c>
      <c r="B53">
        <v>1</v>
      </c>
      <c r="C53">
        <v>2</v>
      </c>
      <c r="H53">
        <v>0.65</v>
      </c>
      <c r="I53" s="3">
        <v>1.857</v>
      </c>
      <c r="J53" s="3">
        <v>-6.4000000000000001E-2</v>
      </c>
      <c r="K53">
        <v>8.9999999999999993E-3</v>
      </c>
    </row>
    <row r="54" spans="1:14" x14ac:dyDescent="0.3">
      <c r="A54" t="s">
        <v>792</v>
      </c>
      <c r="B54">
        <v>0</v>
      </c>
      <c r="C54">
        <v>3</v>
      </c>
      <c r="H54">
        <v>2.65</v>
      </c>
      <c r="I54" s="3">
        <v>1.1779999999999999</v>
      </c>
      <c r="J54" s="3">
        <v>-0.34200000000000003</v>
      </c>
      <c r="K54">
        <v>3.5999999999999997E-2</v>
      </c>
    </row>
    <row r="55" spans="1:14" x14ac:dyDescent="0.3">
      <c r="A55" t="s">
        <v>792</v>
      </c>
      <c r="B55">
        <v>1</v>
      </c>
      <c r="C55">
        <v>3</v>
      </c>
      <c r="H55" s="207" t="s">
        <v>793</v>
      </c>
      <c r="I55" s="3">
        <v>2.048</v>
      </c>
      <c r="J55" s="3">
        <v>0.16400000000000001</v>
      </c>
      <c r="K55">
        <v>-5.0999999999999997E-2</v>
      </c>
    </row>
    <row r="56" spans="1:14" s="213" customFormat="1" x14ac:dyDescent="0.3">
      <c r="A56" s="213" t="s">
        <v>792</v>
      </c>
      <c r="B56" s="213">
        <v>0</v>
      </c>
      <c r="C56" s="213">
        <v>4</v>
      </c>
      <c r="H56" s="213">
        <v>140.25</v>
      </c>
      <c r="I56" s="213">
        <v>1.891</v>
      </c>
      <c r="J56" s="215">
        <v>3.0129999999999999</v>
      </c>
      <c r="K56" s="213">
        <v>2.7949999999999999</v>
      </c>
    </row>
    <row r="57" spans="1:14" x14ac:dyDescent="0.3">
      <c r="A57" t="s">
        <v>792</v>
      </c>
      <c r="B57">
        <v>1</v>
      </c>
      <c r="C57">
        <v>4</v>
      </c>
      <c r="H57">
        <v>20.2</v>
      </c>
      <c r="I57" s="3">
        <v>1.897</v>
      </c>
      <c r="J57" s="3">
        <v>-10.36</v>
      </c>
      <c r="K57">
        <v>0.39300000000000002</v>
      </c>
    </row>
    <row r="58" spans="1:14" s="216" customFormat="1" x14ac:dyDescent="0.3">
      <c r="A58" s="216" t="s">
        <v>792</v>
      </c>
      <c r="B58" s="216">
        <v>0</v>
      </c>
      <c r="C58" s="216">
        <v>5</v>
      </c>
      <c r="H58" s="216">
        <v>46.3</v>
      </c>
      <c r="I58" s="216">
        <v>1.823</v>
      </c>
      <c r="J58" s="217">
        <v>3.2610000000000001</v>
      </c>
      <c r="K58" s="216">
        <v>0.93200000000000005</v>
      </c>
    </row>
    <row r="59" spans="1:14" x14ac:dyDescent="0.3">
      <c r="A59" t="s">
        <v>792</v>
      </c>
      <c r="B59">
        <v>1</v>
      </c>
      <c r="C59">
        <v>5</v>
      </c>
      <c r="H59">
        <v>1.8</v>
      </c>
      <c r="I59" s="3">
        <v>2.1179999999999999</v>
      </c>
      <c r="J59" s="3">
        <v>-0.17100000000000001</v>
      </c>
      <c r="K59">
        <v>2.3E-2</v>
      </c>
    </row>
    <row r="60" spans="1:14" s="213" customFormat="1" x14ac:dyDescent="0.3">
      <c r="A60" s="213" t="s">
        <v>792</v>
      </c>
      <c r="B60" s="213">
        <v>0</v>
      </c>
      <c r="C60" s="213">
        <v>6</v>
      </c>
      <c r="H60" s="213">
        <v>249.8</v>
      </c>
      <c r="I60" s="213">
        <v>1.8879999999999999</v>
      </c>
      <c r="J60" s="213">
        <v>2.5550000000000002</v>
      </c>
      <c r="K60" s="213">
        <v>5.0190000000000001</v>
      </c>
    </row>
    <row r="61" spans="1:14" x14ac:dyDescent="0.3">
      <c r="A61" t="s">
        <v>792</v>
      </c>
      <c r="B61">
        <v>1</v>
      </c>
      <c r="C61">
        <v>6</v>
      </c>
      <c r="H61">
        <v>6.9</v>
      </c>
      <c r="I61" s="3">
        <v>1.865</v>
      </c>
      <c r="J61" s="3">
        <v>-0.88500000000000001</v>
      </c>
      <c r="K61">
        <v>0.13100000000000001</v>
      </c>
    </row>
    <row r="62" spans="1:14" s="213" customFormat="1" x14ac:dyDescent="0.3">
      <c r="A62" s="213" t="s">
        <v>792</v>
      </c>
      <c r="B62" s="213">
        <v>0</v>
      </c>
      <c r="C62" s="213">
        <v>7</v>
      </c>
      <c r="H62" s="213">
        <v>232.4</v>
      </c>
      <c r="I62" s="213">
        <v>1.9079999999999999</v>
      </c>
      <c r="J62" s="213">
        <v>2.8050000000000002</v>
      </c>
      <c r="K62" s="213">
        <v>4.6399999999999997</v>
      </c>
    </row>
    <row r="63" spans="1:14" s="213" customFormat="1" x14ac:dyDescent="0.3">
      <c r="A63" s="213" t="s">
        <v>792</v>
      </c>
      <c r="B63" s="213">
        <v>1</v>
      </c>
      <c r="C63" s="213">
        <v>7</v>
      </c>
      <c r="H63" s="213">
        <v>70.650000000000006</v>
      </c>
      <c r="I63" s="213">
        <v>1.92</v>
      </c>
      <c r="J63" s="214">
        <v>3.992</v>
      </c>
      <c r="K63" s="213">
        <v>1.4079999999999999</v>
      </c>
    </row>
    <row r="64" spans="1:14" s="213" customFormat="1" x14ac:dyDescent="0.3">
      <c r="A64" s="213" t="s">
        <v>792</v>
      </c>
      <c r="B64" s="213">
        <v>0</v>
      </c>
      <c r="C64" s="213">
        <v>8</v>
      </c>
      <c r="H64" s="213">
        <v>69.400000000000006</v>
      </c>
      <c r="I64" s="213">
        <v>1.8580000000000001</v>
      </c>
      <c r="J64" s="214">
        <v>3.8450000000000002</v>
      </c>
      <c r="K64" s="213">
        <v>1.3839999999999999</v>
      </c>
    </row>
    <row r="65" spans="1:11" x14ac:dyDescent="0.3">
      <c r="A65" t="s">
        <v>792</v>
      </c>
      <c r="B65">
        <v>1</v>
      </c>
      <c r="C65">
        <v>7.9761904761904701</v>
      </c>
      <c r="H65">
        <v>17.899999999999999</v>
      </c>
      <c r="I65" s="3">
        <v>1.845</v>
      </c>
      <c r="J65" s="3">
        <v>-5.9669999999999996</v>
      </c>
      <c r="K65">
        <v>0.35</v>
      </c>
    </row>
    <row r="66" spans="1:11" s="216" customFormat="1" x14ac:dyDescent="0.3">
      <c r="A66" s="216" t="s">
        <v>792</v>
      </c>
      <c r="B66" s="216">
        <v>0</v>
      </c>
      <c r="C66" s="216">
        <v>8.6940476190476197</v>
      </c>
      <c r="H66" s="216">
        <v>54.1</v>
      </c>
      <c r="I66" s="216">
        <v>1.869</v>
      </c>
      <c r="J66" s="217">
        <v>4.0519999999999996</v>
      </c>
      <c r="K66" s="216">
        <v>1.0780000000000001</v>
      </c>
    </row>
    <row r="67" spans="1:11" x14ac:dyDescent="0.3">
      <c r="A67" t="s">
        <v>792</v>
      </c>
      <c r="B67">
        <v>1</v>
      </c>
      <c r="C67">
        <v>9.1876400560224099</v>
      </c>
      <c r="H67">
        <v>2.25</v>
      </c>
      <c r="I67" s="3">
        <v>1.667</v>
      </c>
      <c r="J67" s="3">
        <v>-0.193</v>
      </c>
      <c r="K67">
        <v>2.8000000000000001E-2</v>
      </c>
    </row>
    <row r="68" spans="1:11" s="213" customFormat="1" x14ac:dyDescent="0.3">
      <c r="A68" s="213" t="s">
        <v>792</v>
      </c>
      <c r="B68" s="213">
        <v>0</v>
      </c>
      <c r="C68" s="213">
        <v>9.6812324929972</v>
      </c>
      <c r="H68" s="213">
        <v>80.2</v>
      </c>
      <c r="I68" s="213">
        <v>1.8560000000000001</v>
      </c>
      <c r="J68" s="214">
        <v>3.234</v>
      </c>
      <c r="K68" s="213">
        <v>1.605</v>
      </c>
    </row>
    <row r="69" spans="1:11" x14ac:dyDescent="0.3">
      <c r="A69" t="s">
        <v>792</v>
      </c>
      <c r="B69">
        <v>1</v>
      </c>
      <c r="C69">
        <v>10.174824929972001</v>
      </c>
      <c r="H69">
        <v>19.05</v>
      </c>
      <c r="I69" s="3">
        <v>1.9339999999999999</v>
      </c>
      <c r="J69" s="3">
        <v>-10.029999999999999</v>
      </c>
      <c r="K69">
        <v>0.375</v>
      </c>
    </row>
    <row r="70" spans="1:11" s="213" customFormat="1" x14ac:dyDescent="0.3">
      <c r="A70" s="213" t="s">
        <v>792</v>
      </c>
      <c r="B70" s="213">
        <v>0</v>
      </c>
      <c r="C70" s="213">
        <v>10.6684173669468</v>
      </c>
      <c r="H70" s="213">
        <v>264.89999999999998</v>
      </c>
      <c r="I70" s="213">
        <v>1.893</v>
      </c>
      <c r="J70" s="213">
        <v>2.6760000000000002</v>
      </c>
      <c r="K70" s="213">
        <v>5.29</v>
      </c>
    </row>
    <row r="71" spans="1:11" s="213" customFormat="1" x14ac:dyDescent="0.3">
      <c r="A71" s="213" t="s">
        <v>792</v>
      </c>
      <c r="B71" s="213">
        <v>1</v>
      </c>
      <c r="C71" s="213">
        <v>11.162009803921601</v>
      </c>
      <c r="H71" s="213">
        <v>106.35</v>
      </c>
      <c r="I71" s="213">
        <v>1.9059999999999999</v>
      </c>
      <c r="J71" s="213">
        <v>3.36</v>
      </c>
      <c r="K71" s="213">
        <v>2.1179999999999999</v>
      </c>
    </row>
    <row r="72" spans="1:11" s="213" customFormat="1" x14ac:dyDescent="0.3">
      <c r="A72" s="213" t="s">
        <v>792</v>
      </c>
      <c r="B72" s="213">
        <v>0</v>
      </c>
      <c r="C72" s="213">
        <v>11.6556022408964</v>
      </c>
      <c r="H72" s="213">
        <v>152.35</v>
      </c>
      <c r="I72" s="213">
        <v>1.877</v>
      </c>
      <c r="J72" s="213">
        <v>2.9350000000000001</v>
      </c>
      <c r="K72" s="213">
        <v>3.0409999999999999</v>
      </c>
    </row>
    <row r="73" spans="1:11" x14ac:dyDescent="0.3">
      <c r="A73" t="s">
        <v>792</v>
      </c>
      <c r="B73">
        <v>1</v>
      </c>
      <c r="C73">
        <v>12.149194677871201</v>
      </c>
      <c r="H73">
        <v>11.1</v>
      </c>
      <c r="I73" s="3">
        <v>1.835</v>
      </c>
      <c r="J73" s="3">
        <v>-1.37</v>
      </c>
      <c r="K73">
        <v>0.20599999999999999</v>
      </c>
    </row>
    <row r="74" spans="1:11" s="213" customFormat="1" x14ac:dyDescent="0.3">
      <c r="A74" s="213" t="s">
        <v>792</v>
      </c>
      <c r="B74" s="213">
        <v>0</v>
      </c>
      <c r="C74" s="213">
        <v>12.642787114846</v>
      </c>
      <c r="H74" s="213">
        <v>143.35</v>
      </c>
      <c r="I74" s="213">
        <v>1.867</v>
      </c>
      <c r="J74" s="213">
        <v>2.9279999999999999</v>
      </c>
      <c r="K74" s="213">
        <v>2.8679999999999999</v>
      </c>
    </row>
    <row r="75" spans="1:11" x14ac:dyDescent="0.3">
      <c r="A75" t="s">
        <v>792</v>
      </c>
      <c r="B75">
        <v>1</v>
      </c>
      <c r="C75">
        <v>13.136379551820699</v>
      </c>
      <c r="H75">
        <v>19.75</v>
      </c>
      <c r="I75">
        <v>1.8540000000000001</v>
      </c>
      <c r="J75" s="3">
        <v>9.6340000000000003</v>
      </c>
      <c r="K75">
        <v>0.40600000000000003</v>
      </c>
    </row>
    <row r="76" spans="1:11" s="213" customFormat="1" x14ac:dyDescent="0.3">
      <c r="A76" s="213" t="s">
        <v>792</v>
      </c>
      <c r="B76" s="213">
        <v>0</v>
      </c>
      <c r="C76" s="213">
        <v>13.6299719887955</v>
      </c>
      <c r="H76" s="213">
        <v>443.15</v>
      </c>
      <c r="I76" s="213">
        <v>1.901</v>
      </c>
      <c r="J76" s="213">
        <v>2.5430000000000001</v>
      </c>
      <c r="K76" s="213">
        <v>8.8940000000000001</v>
      </c>
    </row>
    <row r="77" spans="1:11" s="213" customFormat="1" x14ac:dyDescent="0.3">
      <c r="A77" s="213" t="s">
        <v>792</v>
      </c>
      <c r="B77" s="213">
        <v>1</v>
      </c>
      <c r="C77" s="213">
        <v>14.123564425770301</v>
      </c>
      <c r="H77" s="213">
        <v>105.55</v>
      </c>
      <c r="I77" s="213">
        <v>1.923</v>
      </c>
      <c r="J77" s="213">
        <v>2.4860000000000002</v>
      </c>
      <c r="K77" s="213">
        <v>2.141</v>
      </c>
    </row>
    <row r="78" spans="1:11" s="213" customFormat="1" x14ac:dyDescent="0.3">
      <c r="A78" s="213" t="s">
        <v>792</v>
      </c>
      <c r="B78" s="213">
        <v>0</v>
      </c>
      <c r="C78" s="213">
        <v>14.6171568627451</v>
      </c>
      <c r="H78" s="213">
        <v>242.5</v>
      </c>
      <c r="I78" s="213">
        <v>1.895</v>
      </c>
      <c r="J78" s="213">
        <v>2.7</v>
      </c>
      <c r="K78" s="213">
        <v>4.8449999999999998</v>
      </c>
    </row>
    <row r="79" spans="1:11" s="213" customFormat="1" x14ac:dyDescent="0.3">
      <c r="A79" s="213" t="s">
        <v>792</v>
      </c>
      <c r="B79" s="213">
        <v>1</v>
      </c>
      <c r="C79" s="213">
        <v>15.110749299719901</v>
      </c>
      <c r="H79" s="213">
        <v>68.5</v>
      </c>
      <c r="I79" s="213">
        <v>1.919</v>
      </c>
      <c r="J79" s="214">
        <v>3.7949999999999999</v>
      </c>
      <c r="K79" s="213">
        <v>1.36</v>
      </c>
    </row>
    <row r="80" spans="1:11" s="213" customFormat="1" x14ac:dyDescent="0.3">
      <c r="A80" s="213" t="s">
        <v>792</v>
      </c>
      <c r="B80" s="213">
        <v>0</v>
      </c>
      <c r="C80" s="213">
        <v>15.6043417366947</v>
      </c>
      <c r="H80" s="213">
        <v>112.2</v>
      </c>
      <c r="I80" s="213">
        <v>1.8580000000000001</v>
      </c>
      <c r="J80" s="214">
        <v>3.206</v>
      </c>
      <c r="K80" s="213">
        <v>2.2410000000000001</v>
      </c>
    </row>
    <row r="81" spans="1:11" s="213" customFormat="1" x14ac:dyDescent="0.3">
      <c r="A81" s="213" t="s">
        <v>792</v>
      </c>
      <c r="B81" s="213">
        <v>1</v>
      </c>
      <c r="C81" s="213">
        <v>16.097934173669501</v>
      </c>
      <c r="H81" s="213">
        <v>19.75</v>
      </c>
      <c r="I81" s="214">
        <v>1.917</v>
      </c>
      <c r="J81" s="214">
        <v>-5.9850000000000003</v>
      </c>
      <c r="K81" s="213">
        <v>0.378</v>
      </c>
    </row>
    <row r="82" spans="1:11" s="213" customFormat="1" x14ac:dyDescent="0.3">
      <c r="A82" s="213" t="s">
        <v>792</v>
      </c>
      <c r="B82" s="213">
        <v>0</v>
      </c>
      <c r="C82" s="213">
        <v>16.591526610644301</v>
      </c>
      <c r="H82" s="213">
        <v>177.2</v>
      </c>
      <c r="I82" s="213">
        <v>1.88</v>
      </c>
      <c r="J82" s="213">
        <v>2.8279999999999998</v>
      </c>
      <c r="K82" s="213">
        <v>3.5449999999999999</v>
      </c>
    </row>
    <row r="83" spans="1:11" x14ac:dyDescent="0.3">
      <c r="A83" t="s">
        <v>792</v>
      </c>
      <c r="B83">
        <v>1</v>
      </c>
      <c r="C83">
        <v>17.085119047619099</v>
      </c>
      <c r="H83">
        <v>12.4</v>
      </c>
      <c r="I83" s="3">
        <v>1.8240000000000001</v>
      </c>
      <c r="J83" s="3">
        <v>-2.1749999999999998</v>
      </c>
      <c r="K83">
        <v>0.23100000000000001</v>
      </c>
    </row>
    <row r="84" spans="1:11" s="213" customFormat="1" x14ac:dyDescent="0.3">
      <c r="A84" s="213" t="s">
        <v>792</v>
      </c>
      <c r="B84" s="213">
        <v>0</v>
      </c>
      <c r="C84" s="213">
        <v>17.578711484593899</v>
      </c>
      <c r="H84" s="213">
        <v>79.099999999999994</v>
      </c>
      <c r="I84" s="213">
        <v>1.8859999999999999</v>
      </c>
      <c r="J84" s="214">
        <v>3.5390000000000001</v>
      </c>
      <c r="K84" s="213">
        <v>1.57</v>
      </c>
    </row>
    <row r="85" spans="1:11" x14ac:dyDescent="0.3">
      <c r="A85" t="s">
        <v>792</v>
      </c>
      <c r="B85">
        <v>1</v>
      </c>
      <c r="C85">
        <v>18.072303921568601</v>
      </c>
      <c r="H85">
        <v>0.85</v>
      </c>
      <c r="I85" s="3">
        <v>1.7</v>
      </c>
      <c r="J85" s="3">
        <v>-0.08</v>
      </c>
      <c r="K85">
        <v>8.0000000000000002E-3</v>
      </c>
    </row>
    <row r="86" spans="1:11" s="213" customFormat="1" x14ac:dyDescent="0.3">
      <c r="A86" s="213" t="s">
        <v>792</v>
      </c>
      <c r="B86" s="213">
        <v>0</v>
      </c>
      <c r="C86" s="213">
        <v>18.565896358543402</v>
      </c>
      <c r="H86" s="213">
        <v>87.55</v>
      </c>
      <c r="I86" s="213">
        <v>1.857</v>
      </c>
      <c r="J86" s="214">
        <v>3.3610000000000002</v>
      </c>
      <c r="K86" s="213">
        <v>1.746</v>
      </c>
    </row>
    <row r="87" spans="1:11" x14ac:dyDescent="0.3">
      <c r="A87" t="s">
        <v>792</v>
      </c>
      <c r="B87">
        <v>1</v>
      </c>
      <c r="C87">
        <v>19.059488795518199</v>
      </c>
      <c r="H87">
        <v>14.3</v>
      </c>
      <c r="I87" s="3">
        <v>1.833</v>
      </c>
      <c r="J87" s="3">
        <v>2.7240000000000002</v>
      </c>
      <c r="K87">
        <v>0.27600000000000002</v>
      </c>
    </row>
  </sheetData>
  <conditionalFormatting sqref="G2:G49">
    <cfRule type="cellIs" dxfId="44" priority="1" operator="lessThan">
      <formula>80</formula>
    </cfRule>
  </conditionalFormatting>
  <hyperlinks>
    <hyperlink ref="P13" r:id="rId1" xr:uid="{09B89303-59E2-439A-8952-73173709EC03}"/>
  </hyperlinks>
  <pageMargins left="0.7" right="0.7" top="0.75" bottom="0.75" header="0.3" footer="0.3"/>
  <pageSetup paperSize="9" orientation="portrait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52449-D411-4896-9763-12C2F8960CD4}">
  <dimension ref="A1:A13"/>
  <sheetViews>
    <sheetView workbookViewId="0">
      <selection activeCell="A35" sqref="A35"/>
    </sheetView>
  </sheetViews>
  <sheetFormatPr defaultRowHeight="14.4" x14ac:dyDescent="0.3"/>
  <cols>
    <col min="1" max="1" width="98.88671875" customWidth="1"/>
  </cols>
  <sheetData>
    <row r="1" spans="1:1" x14ac:dyDescent="0.3">
      <c r="A1" t="s">
        <v>735</v>
      </c>
    </row>
    <row r="2" spans="1:1" x14ac:dyDescent="0.3">
      <c r="A2" t="s">
        <v>736</v>
      </c>
    </row>
    <row r="3" spans="1:1" x14ac:dyDescent="0.3">
      <c r="A3" t="s">
        <v>737</v>
      </c>
    </row>
    <row r="4" spans="1:1" x14ac:dyDescent="0.3">
      <c r="A4" s="1" t="s">
        <v>738</v>
      </c>
    </row>
    <row r="5" spans="1:1" x14ac:dyDescent="0.3">
      <c r="A5" t="s">
        <v>741</v>
      </c>
    </row>
    <row r="8" spans="1:1" x14ac:dyDescent="0.3">
      <c r="A8" t="s">
        <v>739</v>
      </c>
    </row>
    <row r="9" spans="1:1" x14ac:dyDescent="0.3">
      <c r="A9" t="s">
        <v>740</v>
      </c>
    </row>
    <row r="11" spans="1:1" x14ac:dyDescent="0.3">
      <c r="A11" t="s">
        <v>742</v>
      </c>
    </row>
    <row r="12" spans="1:1" x14ac:dyDescent="0.3">
      <c r="A12" t="s">
        <v>743</v>
      </c>
    </row>
    <row r="13" spans="1:1" x14ac:dyDescent="0.3">
      <c r="A13" t="s">
        <v>744</v>
      </c>
    </row>
  </sheetData>
  <hyperlinks>
    <hyperlink ref="A4" r:id="rId1" xr:uid="{5CA7E2F7-99FC-469A-9EF0-451532E802E4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1A029-F8EA-4B95-B235-3DC23B8982A7}">
  <dimension ref="A1:F7"/>
  <sheetViews>
    <sheetView workbookViewId="0"/>
  </sheetViews>
  <sheetFormatPr defaultRowHeight="14.4" x14ac:dyDescent="0.3"/>
  <cols>
    <col min="1" max="1" width="13" customWidth="1"/>
  </cols>
  <sheetData>
    <row r="1" spans="1:6" x14ac:dyDescent="0.3">
      <c r="A1" t="s">
        <v>747</v>
      </c>
    </row>
    <row r="2" spans="1:6" x14ac:dyDescent="0.3">
      <c r="B2" t="s">
        <v>1081</v>
      </c>
    </row>
    <row r="3" spans="1:6" x14ac:dyDescent="0.3">
      <c r="A3" t="s">
        <v>302</v>
      </c>
      <c r="B3" s="234" t="s">
        <v>475</v>
      </c>
      <c r="C3" s="234" t="s">
        <v>462</v>
      </c>
      <c r="D3" s="234" t="s">
        <v>79</v>
      </c>
      <c r="E3" s="234" t="s">
        <v>480</v>
      </c>
      <c r="F3" s="234" t="s">
        <v>481</v>
      </c>
    </row>
    <row r="4" spans="1:6" x14ac:dyDescent="0.3">
      <c r="A4" t="s">
        <v>918</v>
      </c>
      <c r="B4" s="83">
        <v>0.97771482530689324</v>
      </c>
      <c r="C4" s="83">
        <v>0.17186024551463644</v>
      </c>
      <c r="D4" s="83">
        <v>0.80585457979225683</v>
      </c>
      <c r="E4" s="83">
        <v>7.7431539187913121E-3</v>
      </c>
      <c r="F4" s="84">
        <v>1.4542020774315392E-2</v>
      </c>
    </row>
    <row r="5" spans="1:6" x14ac:dyDescent="0.3">
      <c r="A5" t="s">
        <v>1080</v>
      </c>
      <c r="B5" s="83">
        <v>0.97499999999999998</v>
      </c>
      <c r="C5" s="83">
        <v>0.83599999999999997</v>
      </c>
      <c r="D5" s="83">
        <v>0.13900000000000001</v>
      </c>
      <c r="E5" s="83">
        <v>8.0000000000000002E-3</v>
      </c>
      <c r="F5" s="84">
        <v>1.7000000000000001E-2</v>
      </c>
    </row>
    <row r="6" spans="1:6" x14ac:dyDescent="0.3">
      <c r="A6" t="s">
        <v>811</v>
      </c>
    </row>
    <row r="7" spans="1:6" x14ac:dyDescent="0.3">
      <c r="A7" t="s">
        <v>936</v>
      </c>
    </row>
  </sheetData>
  <conditionalFormatting sqref="B4:B5">
    <cfRule type="colorScale" priority="5">
      <colorScale>
        <cfvo type="min"/>
        <cfvo type="max"/>
        <color rgb="FFFF0000"/>
        <color rgb="FF00B050"/>
      </colorScale>
    </cfRule>
  </conditionalFormatting>
  <conditionalFormatting sqref="C4:C5">
    <cfRule type="colorScale" priority="4">
      <colorScale>
        <cfvo type="min"/>
        <cfvo type="max"/>
        <color rgb="FFFF0000"/>
        <color rgb="FF00B050"/>
      </colorScale>
    </cfRule>
  </conditionalFormatting>
  <conditionalFormatting sqref="D4:D5">
    <cfRule type="colorScale" priority="3">
      <colorScale>
        <cfvo type="min"/>
        <cfvo type="max"/>
        <color rgb="FF00B050"/>
        <color rgb="FFFF0000"/>
      </colorScale>
    </cfRule>
  </conditionalFormatting>
  <conditionalFormatting sqref="E4:E5">
    <cfRule type="colorScale" priority="6">
      <colorScale>
        <cfvo type="min"/>
        <cfvo type="max"/>
        <color rgb="FF00B050"/>
        <color rgb="FFFF0000"/>
      </colorScale>
    </cfRule>
  </conditionalFormatting>
  <conditionalFormatting sqref="F4:F5">
    <cfRule type="colorScale" priority="7">
      <colorScale>
        <cfvo type="min"/>
        <cfvo type="max"/>
        <color rgb="FF00B050"/>
        <color rgb="FFFF0000"/>
      </colorScale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FB08-282D-4E21-94FF-144A5A5417A2}">
  <dimension ref="A1"/>
  <sheetViews>
    <sheetView workbookViewId="0">
      <selection activeCell="G11" sqref="G11"/>
    </sheetView>
  </sheetViews>
  <sheetFormatPr defaultRowHeight="14.4" x14ac:dyDescent="0.3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7FA0-2216-4637-BC67-5EB163B6EF8E}">
  <dimension ref="A1:P67"/>
  <sheetViews>
    <sheetView workbookViewId="0">
      <selection activeCell="J60" sqref="J60"/>
    </sheetView>
  </sheetViews>
  <sheetFormatPr defaultRowHeight="14.4" x14ac:dyDescent="0.3"/>
  <cols>
    <col min="1" max="1" width="42.6640625" bestFit="1" customWidth="1"/>
    <col min="3" max="3" width="11.21875" bestFit="1" customWidth="1"/>
    <col min="5" max="5" width="7.109375" bestFit="1" customWidth="1"/>
    <col min="6" max="6" width="8.77734375" style="61" bestFit="1" customWidth="1"/>
    <col min="7" max="7" width="8" bestFit="1" customWidth="1"/>
    <col min="8" max="8" width="23.21875" bestFit="1" customWidth="1"/>
    <col min="9" max="9" width="33.44140625" bestFit="1" customWidth="1"/>
    <col min="10" max="10" width="11.21875" customWidth="1"/>
    <col min="11" max="11" width="11.88671875" style="9" bestFit="1" customWidth="1"/>
    <col min="12" max="12" width="31.33203125" style="102" customWidth="1"/>
    <col min="15" max="15" width="26.33203125" bestFit="1" customWidth="1"/>
    <col min="16" max="16" width="17.33203125" bestFit="1" customWidth="1"/>
  </cols>
  <sheetData>
    <row r="1" spans="1:16" x14ac:dyDescent="0.3">
      <c r="A1" s="5" t="s">
        <v>978</v>
      </c>
      <c r="B1" s="5" t="s">
        <v>146</v>
      </c>
      <c r="C1" s="5" t="s">
        <v>996</v>
      </c>
      <c r="D1" t="s">
        <v>979</v>
      </c>
      <c r="E1" s="5" t="s">
        <v>983</v>
      </c>
      <c r="F1" s="262" t="s">
        <v>1046</v>
      </c>
      <c r="G1" s="5" t="s">
        <v>1044</v>
      </c>
      <c r="H1" s="5" t="s">
        <v>37</v>
      </c>
      <c r="I1" t="s">
        <v>1008</v>
      </c>
      <c r="J1" t="s">
        <v>1009</v>
      </c>
      <c r="K1" s="9" t="s">
        <v>888</v>
      </c>
      <c r="L1" s="102" t="s">
        <v>980</v>
      </c>
    </row>
    <row r="2" spans="1:16" x14ac:dyDescent="0.3">
      <c r="A2" s="253" t="s">
        <v>1051</v>
      </c>
      <c r="B2" t="s">
        <v>1052</v>
      </c>
      <c r="E2" s="253"/>
      <c r="F2" s="257"/>
      <c r="G2" s="253" t="s">
        <v>1045</v>
      </c>
    </row>
    <row r="3" spans="1:16" x14ac:dyDescent="0.3">
      <c r="A3" s="253" t="s">
        <v>1049</v>
      </c>
      <c r="B3" t="s">
        <v>1050</v>
      </c>
      <c r="C3">
        <v>2</v>
      </c>
      <c r="E3" s="253"/>
      <c r="F3" s="257"/>
      <c r="G3" s="253" t="s">
        <v>1045</v>
      </c>
      <c r="H3" s="253"/>
    </row>
    <row r="4" spans="1:16" x14ac:dyDescent="0.3">
      <c r="A4" s="253" t="s">
        <v>981</v>
      </c>
      <c r="B4" t="s">
        <v>982</v>
      </c>
      <c r="E4" s="253" t="s">
        <v>290</v>
      </c>
      <c r="F4" s="257"/>
      <c r="G4" s="253"/>
      <c r="H4" s="253"/>
      <c r="O4" s="220"/>
    </row>
    <row r="5" spans="1:16" x14ac:dyDescent="0.3">
      <c r="A5" s="253" t="s">
        <v>986</v>
      </c>
      <c r="B5" t="s">
        <v>984</v>
      </c>
      <c r="E5" s="253" t="s">
        <v>290</v>
      </c>
      <c r="F5" s="257"/>
      <c r="G5" s="253" t="s">
        <v>1045</v>
      </c>
      <c r="H5" s="253"/>
      <c r="O5" s="220"/>
    </row>
    <row r="6" spans="1:16" x14ac:dyDescent="0.3">
      <c r="A6" s="253" t="s">
        <v>989</v>
      </c>
      <c r="B6" t="s">
        <v>987</v>
      </c>
      <c r="E6" s="253" t="s">
        <v>290</v>
      </c>
      <c r="F6" s="257"/>
      <c r="G6" s="253"/>
      <c r="H6" s="253"/>
      <c r="O6" s="220"/>
    </row>
    <row r="7" spans="1:16" x14ac:dyDescent="0.3">
      <c r="A7" s="253" t="s">
        <v>988</v>
      </c>
      <c r="B7" t="s">
        <v>990</v>
      </c>
      <c r="E7" s="253"/>
      <c r="F7" s="257"/>
      <c r="G7" s="253"/>
      <c r="H7" s="253"/>
      <c r="O7" s="220"/>
    </row>
    <row r="8" spans="1:16" x14ac:dyDescent="0.3">
      <c r="A8" s="253" t="s">
        <v>992</v>
      </c>
      <c r="B8" t="s">
        <v>993</v>
      </c>
      <c r="E8" s="253" t="s">
        <v>290</v>
      </c>
      <c r="F8" s="257"/>
      <c r="G8" s="253"/>
      <c r="H8" s="253"/>
      <c r="O8" s="220"/>
    </row>
    <row r="9" spans="1:16" x14ac:dyDescent="0.3">
      <c r="A9" t="s">
        <v>991</v>
      </c>
      <c r="B9">
        <v>1.111016</v>
      </c>
      <c r="E9" s="254"/>
      <c r="O9" s="220"/>
    </row>
    <row r="10" spans="1:16" x14ac:dyDescent="0.3">
      <c r="A10" s="253" t="s">
        <v>994</v>
      </c>
      <c r="B10" t="s">
        <v>985</v>
      </c>
      <c r="E10" s="255" t="s">
        <v>290</v>
      </c>
      <c r="F10" s="257"/>
      <c r="G10" s="253"/>
      <c r="O10" s="220"/>
    </row>
    <row r="11" spans="1:16" x14ac:dyDescent="0.3">
      <c r="A11" s="220" t="s">
        <v>158</v>
      </c>
      <c r="B11" t="s">
        <v>159</v>
      </c>
      <c r="D11" t="s">
        <v>1058</v>
      </c>
      <c r="F11" s="258">
        <v>2</v>
      </c>
      <c r="H11" s="253" t="s">
        <v>1047</v>
      </c>
      <c r="I11" t="s">
        <v>1057</v>
      </c>
      <c r="K11" s="9">
        <v>43839</v>
      </c>
      <c r="L11" s="260" t="s">
        <v>1062</v>
      </c>
      <c r="O11" s="220"/>
    </row>
    <row r="12" spans="1:16" x14ac:dyDescent="0.3">
      <c r="A12" s="220" t="s">
        <v>161</v>
      </c>
      <c r="B12">
        <v>1.1200000000000001</v>
      </c>
      <c r="D12" t="s">
        <v>1060</v>
      </c>
      <c r="F12" s="258">
        <v>2</v>
      </c>
      <c r="H12" s="253" t="s">
        <v>1047</v>
      </c>
      <c r="I12" t="s">
        <v>1059</v>
      </c>
      <c r="K12" s="9">
        <v>44601</v>
      </c>
      <c r="L12" s="261" t="s">
        <v>1061</v>
      </c>
      <c r="O12" s="220"/>
    </row>
    <row r="13" spans="1:16" x14ac:dyDescent="0.3">
      <c r="A13" s="220" t="s">
        <v>85</v>
      </c>
      <c r="B13" t="s">
        <v>1054</v>
      </c>
      <c r="C13" t="s">
        <v>1036</v>
      </c>
      <c r="D13" t="s">
        <v>1053</v>
      </c>
      <c r="F13" s="258">
        <v>2</v>
      </c>
      <c r="H13" s="253" t="s">
        <v>1047</v>
      </c>
      <c r="I13" t="s">
        <v>1055</v>
      </c>
      <c r="K13" s="9">
        <v>44403</v>
      </c>
      <c r="O13" s="220"/>
    </row>
    <row r="14" spans="1:16" x14ac:dyDescent="0.3">
      <c r="A14" s="220" t="s">
        <v>74</v>
      </c>
      <c r="F14" s="258">
        <v>2</v>
      </c>
      <c r="H14" s="253" t="s">
        <v>1047</v>
      </c>
      <c r="O14" s="220"/>
    </row>
    <row r="15" spans="1:16" x14ac:dyDescent="0.3">
      <c r="A15" s="220" t="s">
        <v>75</v>
      </c>
      <c r="F15" s="258">
        <v>2</v>
      </c>
      <c r="H15" t="s">
        <v>1048</v>
      </c>
      <c r="O15" s="220"/>
    </row>
    <row r="16" spans="1:16" x14ac:dyDescent="0.3">
      <c r="A16" s="220" t="s">
        <v>76</v>
      </c>
      <c r="F16" s="258">
        <v>2</v>
      </c>
      <c r="H16" t="s">
        <v>1048</v>
      </c>
      <c r="O16" s="220"/>
      <c r="P16" s="3"/>
    </row>
    <row r="17" spans="1:16" x14ac:dyDescent="0.3">
      <c r="A17" s="220" t="s">
        <v>78</v>
      </c>
      <c r="F17" s="258">
        <v>2</v>
      </c>
      <c r="H17" t="s">
        <v>1048</v>
      </c>
      <c r="O17" s="220"/>
      <c r="P17" s="13"/>
    </row>
    <row r="18" spans="1:16" x14ac:dyDescent="0.3">
      <c r="A18" s="220" t="s">
        <v>80</v>
      </c>
      <c r="F18" s="258">
        <v>2</v>
      </c>
      <c r="H18" t="s">
        <v>1048</v>
      </c>
      <c r="O18" s="220"/>
      <c r="P18" s="76"/>
    </row>
    <row r="19" spans="1:16" x14ac:dyDescent="0.3">
      <c r="A19" s="220" t="s">
        <v>81</v>
      </c>
      <c r="F19" s="258">
        <v>2</v>
      </c>
      <c r="H19" t="s">
        <v>1048</v>
      </c>
      <c r="O19" s="220"/>
      <c r="P19" s="76"/>
    </row>
    <row r="20" spans="1:16" x14ac:dyDescent="0.3">
      <c r="A20" s="220" t="s">
        <v>82</v>
      </c>
      <c r="F20" s="258">
        <v>2</v>
      </c>
      <c r="H20" t="s">
        <v>1048</v>
      </c>
      <c r="O20" s="220"/>
      <c r="P20" s="76"/>
    </row>
    <row r="21" spans="1:16" x14ac:dyDescent="0.3">
      <c r="A21" s="220" t="s">
        <v>83</v>
      </c>
      <c r="F21" s="258">
        <v>2</v>
      </c>
      <c r="H21" t="s">
        <v>1048</v>
      </c>
      <c r="O21" s="220"/>
      <c r="P21" s="76"/>
    </row>
    <row r="22" spans="1:16" x14ac:dyDescent="0.3">
      <c r="A22" s="220" t="s">
        <v>86</v>
      </c>
      <c r="F22" s="258">
        <v>2</v>
      </c>
      <c r="H22" t="s">
        <v>1048</v>
      </c>
      <c r="O22" s="220"/>
      <c r="P22" s="76"/>
    </row>
    <row r="23" spans="1:16" x14ac:dyDescent="0.3">
      <c r="A23" s="220" t="s">
        <v>87</v>
      </c>
      <c r="F23" s="258">
        <v>2</v>
      </c>
      <c r="H23" t="s">
        <v>1048</v>
      </c>
      <c r="O23" s="220"/>
      <c r="P23" s="76"/>
    </row>
    <row r="24" spans="1:16" x14ac:dyDescent="0.3">
      <c r="A24" s="220" t="s">
        <v>88</v>
      </c>
      <c r="F24" s="258">
        <v>2</v>
      </c>
      <c r="H24" s="253" t="s">
        <v>1056</v>
      </c>
      <c r="O24" s="220"/>
      <c r="P24" s="76"/>
    </row>
    <row r="25" spans="1:16" x14ac:dyDescent="0.3">
      <c r="A25" s="220" t="s">
        <v>89</v>
      </c>
      <c r="F25" s="258">
        <v>2</v>
      </c>
      <c r="H25" s="253" t="s">
        <v>1056</v>
      </c>
      <c r="O25" s="221"/>
    </row>
    <row r="26" spans="1:16" x14ac:dyDescent="0.3">
      <c r="A26" s="220" t="s">
        <v>90</v>
      </c>
      <c r="F26" s="258">
        <v>2</v>
      </c>
      <c r="H26" s="253" t="s">
        <v>1056</v>
      </c>
      <c r="O26" s="220"/>
      <c r="P26" s="18"/>
    </row>
    <row r="27" spans="1:16" x14ac:dyDescent="0.3">
      <c r="A27" s="220" t="s">
        <v>91</v>
      </c>
      <c r="F27" s="258">
        <v>2</v>
      </c>
      <c r="H27" s="253" t="s">
        <v>1056</v>
      </c>
      <c r="O27" s="220"/>
      <c r="P27" s="3"/>
    </row>
    <row r="28" spans="1:16" x14ac:dyDescent="0.3">
      <c r="A28" s="220" t="s">
        <v>92</v>
      </c>
      <c r="F28" s="258">
        <v>2</v>
      </c>
      <c r="H28" s="253" t="s">
        <v>1056</v>
      </c>
      <c r="O28" s="220"/>
      <c r="P28" s="3"/>
    </row>
    <row r="29" spans="1:16" x14ac:dyDescent="0.3">
      <c r="A29" s="220" t="s">
        <v>93</v>
      </c>
      <c r="F29" s="258">
        <v>2</v>
      </c>
      <c r="H29" s="253" t="s">
        <v>1056</v>
      </c>
      <c r="O29" s="220"/>
      <c r="P29" s="3"/>
    </row>
    <row r="30" spans="1:16" x14ac:dyDescent="0.3">
      <c r="A30" s="220" t="s">
        <v>94</v>
      </c>
      <c r="F30" s="258">
        <v>2</v>
      </c>
      <c r="H30" s="253" t="s">
        <v>1056</v>
      </c>
      <c r="O30" s="222"/>
      <c r="P30" s="3"/>
    </row>
    <row r="31" spans="1:16" x14ac:dyDescent="0.3">
      <c r="A31" s="220" t="s">
        <v>95</v>
      </c>
      <c r="F31" s="258">
        <v>2</v>
      </c>
      <c r="H31" s="253" t="s">
        <v>1056</v>
      </c>
    </row>
    <row r="32" spans="1:16" x14ac:dyDescent="0.3">
      <c r="A32" s="221" t="s">
        <v>97</v>
      </c>
      <c r="F32" s="258">
        <v>2</v>
      </c>
      <c r="H32" s="253" t="s">
        <v>1056</v>
      </c>
    </row>
    <row r="33" spans="1:8" x14ac:dyDescent="0.3">
      <c r="A33" s="220" t="s">
        <v>96</v>
      </c>
      <c r="F33" s="258">
        <v>2</v>
      </c>
      <c r="H33" s="253" t="s">
        <v>1056</v>
      </c>
    </row>
    <row r="34" spans="1:8" x14ac:dyDescent="0.3">
      <c r="A34" s="220" t="s">
        <v>104</v>
      </c>
      <c r="H34" s="3" t="s">
        <v>17</v>
      </c>
    </row>
    <row r="35" spans="1:8" x14ac:dyDescent="0.3">
      <c r="A35" s="220" t="s">
        <v>103</v>
      </c>
      <c r="H35" s="3" t="s">
        <v>17</v>
      </c>
    </row>
    <row r="36" spans="1:8" x14ac:dyDescent="0.3">
      <c r="A36" s="220" t="s">
        <v>100</v>
      </c>
      <c r="H36" s="3" t="s">
        <v>17</v>
      </c>
    </row>
    <row r="37" spans="1:8" x14ac:dyDescent="0.3">
      <c r="A37" s="222" t="s">
        <v>105</v>
      </c>
      <c r="H37" s="3" t="s">
        <v>18</v>
      </c>
    </row>
    <row r="49" spans="1:11" x14ac:dyDescent="0.3">
      <c r="A49" s="255" t="s">
        <v>1004</v>
      </c>
      <c r="D49" t="s">
        <v>1005</v>
      </c>
      <c r="E49" s="253"/>
      <c r="F49" s="259"/>
      <c r="G49" s="255"/>
      <c r="H49" s="255"/>
      <c r="J49" t="s">
        <v>1020</v>
      </c>
      <c r="K49" s="9" t="s">
        <v>1003</v>
      </c>
    </row>
    <row r="50" spans="1:11" x14ac:dyDescent="0.3">
      <c r="A50" s="253" t="s">
        <v>866</v>
      </c>
      <c r="D50" t="s">
        <v>1007</v>
      </c>
      <c r="E50" s="253"/>
      <c r="F50" s="257"/>
      <c r="G50" s="253"/>
      <c r="H50" s="253"/>
      <c r="J50" t="s">
        <v>1020</v>
      </c>
      <c r="K50" s="9" t="s">
        <v>1006</v>
      </c>
    </row>
    <row r="51" spans="1:11" x14ac:dyDescent="0.3">
      <c r="A51" s="253" t="s">
        <v>1000</v>
      </c>
      <c r="D51" t="s">
        <v>999</v>
      </c>
      <c r="F51" s="257"/>
      <c r="G51" s="253"/>
      <c r="H51" s="253"/>
      <c r="J51" t="s">
        <v>1020</v>
      </c>
      <c r="K51" s="9" t="s">
        <v>997</v>
      </c>
    </row>
    <row r="52" spans="1:11" x14ac:dyDescent="0.3">
      <c r="A52" s="253" t="s">
        <v>998</v>
      </c>
      <c r="D52" t="s">
        <v>1002</v>
      </c>
      <c r="F52" s="257"/>
      <c r="G52" s="253"/>
      <c r="H52" s="253"/>
      <c r="J52" t="s">
        <v>1020</v>
      </c>
      <c r="K52" s="9" t="s">
        <v>1001</v>
      </c>
    </row>
    <row r="53" spans="1:11" x14ac:dyDescent="0.3">
      <c r="A53" s="253" t="s">
        <v>995</v>
      </c>
      <c r="B53">
        <v>3.6</v>
      </c>
      <c r="C53" t="s">
        <v>1010</v>
      </c>
      <c r="F53" s="257"/>
      <c r="G53" s="253"/>
      <c r="H53" s="253"/>
    </row>
    <row r="54" spans="1:11" x14ac:dyDescent="0.3">
      <c r="A54" s="253" t="s">
        <v>1011</v>
      </c>
      <c r="B54" t="s">
        <v>1012</v>
      </c>
      <c r="C54" t="s">
        <v>1010</v>
      </c>
      <c r="F54" s="257"/>
      <c r="G54" s="253"/>
      <c r="H54" s="253"/>
    </row>
    <row r="55" spans="1:11" x14ac:dyDescent="0.3">
      <c r="A55" s="253" t="s">
        <v>1013</v>
      </c>
      <c r="B55" t="s">
        <v>1014</v>
      </c>
      <c r="F55" s="257"/>
      <c r="G55" s="253"/>
      <c r="H55" s="253"/>
    </row>
    <row r="56" spans="1:11" x14ac:dyDescent="0.3">
      <c r="A56" s="253" t="s">
        <v>1015</v>
      </c>
      <c r="B56">
        <v>2.11</v>
      </c>
      <c r="F56" s="257"/>
      <c r="G56" s="253"/>
      <c r="H56" s="253"/>
    </row>
    <row r="57" spans="1:11" x14ac:dyDescent="0.3">
      <c r="A57" s="253" t="s">
        <v>1016</v>
      </c>
      <c r="B57">
        <v>4.0999999999999996</v>
      </c>
      <c r="D57" t="s">
        <v>1017</v>
      </c>
      <c r="F57" s="257"/>
      <c r="G57" s="253"/>
      <c r="H57" s="253"/>
      <c r="I57" t="s">
        <v>1019</v>
      </c>
      <c r="J57" t="s">
        <v>1020</v>
      </c>
      <c r="K57" s="9" t="s">
        <v>1018</v>
      </c>
    </row>
    <row r="58" spans="1:11" x14ac:dyDescent="0.3">
      <c r="A58" s="253" t="s">
        <v>1022</v>
      </c>
      <c r="D58" t="s">
        <v>1023</v>
      </c>
      <c r="F58" s="257"/>
      <c r="G58" s="253"/>
      <c r="H58" s="253"/>
      <c r="K58" s="9" t="s">
        <v>1021</v>
      </c>
    </row>
    <row r="59" spans="1:11" x14ac:dyDescent="0.3">
      <c r="A59" s="253" t="s">
        <v>101</v>
      </c>
      <c r="D59" t="s">
        <v>1025</v>
      </c>
      <c r="F59" s="257"/>
      <c r="G59" s="253"/>
      <c r="H59" s="253"/>
      <c r="J59" t="s">
        <v>1020</v>
      </c>
      <c r="K59" s="9" t="s">
        <v>1024</v>
      </c>
    </row>
    <row r="60" spans="1:11" x14ac:dyDescent="0.3">
      <c r="A60" s="253" t="s">
        <v>1026</v>
      </c>
      <c r="B60" t="s">
        <v>1027</v>
      </c>
      <c r="F60" s="257"/>
      <c r="G60" s="253"/>
      <c r="H60" s="253"/>
    </row>
    <row r="61" spans="1:11" x14ac:dyDescent="0.3">
      <c r="A61" s="253" t="s">
        <v>1028</v>
      </c>
      <c r="B61" t="s">
        <v>1029</v>
      </c>
      <c r="F61" s="257"/>
      <c r="G61" s="253"/>
      <c r="H61" s="253"/>
    </row>
    <row r="62" spans="1:11" x14ac:dyDescent="0.3">
      <c r="A62" s="253" t="s">
        <v>1030</v>
      </c>
      <c r="B62">
        <v>2.2400000000000002</v>
      </c>
      <c r="F62" s="257"/>
      <c r="G62" s="253"/>
      <c r="H62" s="253"/>
    </row>
    <row r="63" spans="1:11" x14ac:dyDescent="0.3">
      <c r="A63" s="253" t="s">
        <v>1031</v>
      </c>
      <c r="B63" t="s">
        <v>1032</v>
      </c>
      <c r="F63" s="257"/>
      <c r="G63" s="253"/>
      <c r="H63" s="253"/>
    </row>
    <row r="64" spans="1:11" x14ac:dyDescent="0.3">
      <c r="A64" s="253" t="s">
        <v>1033</v>
      </c>
      <c r="B64" t="s">
        <v>1034</v>
      </c>
      <c r="F64" s="257"/>
      <c r="G64" s="253"/>
      <c r="H64" s="253"/>
    </row>
    <row r="65" spans="1:11" x14ac:dyDescent="0.3">
      <c r="A65" s="253" t="s">
        <v>106</v>
      </c>
      <c r="B65">
        <v>0.1</v>
      </c>
      <c r="F65" s="257"/>
      <c r="G65" s="253"/>
      <c r="H65" s="253"/>
    </row>
    <row r="66" spans="1:11" x14ac:dyDescent="0.3">
      <c r="A66" s="253" t="s">
        <v>109</v>
      </c>
      <c r="B66" t="s">
        <v>1038</v>
      </c>
      <c r="D66" t="s">
        <v>1040</v>
      </c>
      <c r="F66" s="257"/>
      <c r="G66" s="253"/>
      <c r="H66" s="253"/>
      <c r="I66" t="s">
        <v>1039</v>
      </c>
      <c r="J66" t="s">
        <v>1020</v>
      </c>
      <c r="K66" s="9" t="s">
        <v>1041</v>
      </c>
    </row>
    <row r="67" spans="1:11" x14ac:dyDescent="0.3">
      <c r="A67" s="253" t="s">
        <v>1042</v>
      </c>
      <c r="B67" t="s">
        <v>1043</v>
      </c>
      <c r="F67" s="257"/>
      <c r="G67" s="253"/>
      <c r="H67" s="253"/>
    </row>
  </sheetData>
  <conditionalFormatting sqref="O4 A11:A12 F11:F33">
    <cfRule type="expression" dxfId="43" priority="6830" stopIfTrue="1">
      <formula>AND(COUNTIF($C4:$P4,"&lt;"&amp;"0")=0,COUNTIF($C4:$P4,"=")=0)</formula>
    </cfRule>
    <cfRule type="expression" dxfId="42" priority="6831" stopIfTrue="1">
      <formula>AND($E4&lt;TODAY(),$E4&lt;&gt;"")</formula>
    </cfRule>
  </conditionalFormatting>
  <conditionalFormatting sqref="O4:O12 A11:A12 O14:O29 A22:A36 F11:F33">
    <cfRule type="expression" dxfId="41" priority="6836" stopIfTrue="1">
      <formula>AND(COUNTIF($C4:$P4,"&lt;"&amp;"0")=0,COUNTIF($C4:$P4,"=")=0)</formula>
    </cfRule>
    <cfRule type="expression" dxfId="40" priority="6837" stopIfTrue="1">
      <formula>$E4&lt;TODAY()</formula>
    </cfRule>
  </conditionalFormatting>
  <conditionalFormatting sqref="A15:A21">
    <cfRule type="expression" dxfId="39" priority="6846" stopIfTrue="1">
      <formula>AND(COUNTIF($C14:$P14,"&lt;"&amp;"0")=0,COUNTIF($C14:$P14,"=")=0)</formula>
    </cfRule>
    <cfRule type="expression" dxfId="38" priority="6847" stopIfTrue="1">
      <formula>$E14&lt;TODAY()</formula>
    </cfRule>
  </conditionalFormatting>
  <conditionalFormatting sqref="P11:P12 P24:P29 H34:H36">
    <cfRule type="expression" dxfId="37" priority="6860" stopIfTrue="1">
      <formula>AND(COUNTIF($B11:$N11,"&lt;"&amp;"0")=0,COUNTIF($B11:$N11,"=")=0)</formula>
    </cfRule>
    <cfRule type="expression" dxfId="36" priority="6861" stopIfTrue="1">
      <formula>#REF!&lt;TODAY()</formula>
    </cfRule>
  </conditionalFormatting>
  <conditionalFormatting sqref="A13">
    <cfRule type="expression" dxfId="35" priority="6866" stopIfTrue="1">
      <formula>AND(COUNTIF($C21:$P21,"&lt;"&amp;"0")=0,COUNTIF($C21:$P21,"=")=0)</formula>
    </cfRule>
    <cfRule type="expression" dxfId="34" priority="6867" stopIfTrue="1">
      <formula>$E21&lt;TODAY()</formula>
    </cfRule>
  </conditionalFormatting>
  <conditionalFormatting sqref="P14 H24:H33">
    <cfRule type="expression" dxfId="33" priority="6868" stopIfTrue="1">
      <formula>AND(COUNTIF($B14:$N14,"&lt;"&amp;"0")=0,COUNTIF($B14:$N14,"=")=0)</formula>
    </cfRule>
    <cfRule type="expression" dxfId="32" priority="6869" stopIfTrue="1">
      <formula>#REF!&lt;TODAY()</formula>
    </cfRule>
  </conditionalFormatting>
  <conditionalFormatting sqref="O13">
    <cfRule type="expression" dxfId="31" priority="6872" stopIfTrue="1">
      <formula>AND(COUNTIF($L13:$P13,"&lt;"&amp;"0")=0,COUNTIF($L13:$P13,"=")=0)</formula>
    </cfRule>
    <cfRule type="expression" dxfId="30" priority="6873" stopIfTrue="1">
      <formula>$E13&lt;TODAY()</formula>
    </cfRule>
  </conditionalFormatting>
  <conditionalFormatting sqref="A14">
    <cfRule type="expression" dxfId="29" priority="6874" stopIfTrue="1">
      <formula>AND(COUNTIF($L13:$P13,"&lt;"&amp;"0")=0,COUNTIF($L13:$P13,"=")=0)</formula>
    </cfRule>
    <cfRule type="expression" dxfId="28" priority="6875" stopIfTrue="1">
      <formula>$E13&lt;TODAY()</formula>
    </cfRule>
  </conditionalFormatting>
  <conditionalFormatting sqref="O30 A37">
    <cfRule type="expression" dxfId="27" priority="6876" stopIfTrue="1">
      <formula>AND(COUNTIF($C30:$P30,"&lt;"&amp;"0")=0,COUNTIF($C30:$P30,"=")=0)</formula>
    </cfRule>
    <cfRule type="expression" dxfId="26" priority="6877" stopIfTrue="1">
      <formula>$E49&lt;TODAY()</formula>
    </cfRule>
  </conditionalFormatting>
  <conditionalFormatting sqref="P22:P23 P4:P9">
    <cfRule type="expression" dxfId="25" priority="6880" stopIfTrue="1">
      <formula>AND(COUNTIF($B4:$N4,"&lt;"&amp;"0")=0,COUNTIF($B4:$N4,"=")=0)</formula>
    </cfRule>
    <cfRule type="expression" dxfId="24" priority="6881" stopIfTrue="1">
      <formula>$H4&lt;TODAY()</formula>
    </cfRule>
  </conditionalFormatting>
  <conditionalFormatting sqref="P15:P20 P13">
    <cfRule type="expression" dxfId="23" priority="6884" stopIfTrue="1">
      <formula>AND(COUNTIF($B13:$N13,"&lt;"&amp;"0")=0,COUNTIF($B13:$N13,"=")=0)</formula>
    </cfRule>
    <cfRule type="expression" dxfId="22" priority="6885" stopIfTrue="1">
      <formula>$H14&lt;TODAY()</formula>
    </cfRule>
  </conditionalFormatting>
  <conditionalFormatting sqref="P21">
    <cfRule type="expression" dxfId="21" priority="6888" stopIfTrue="1">
      <formula>AND(COUNTIF($B21:$N21,"&lt;"&amp;"0")=0,COUNTIF($B21:$N21,"=")=0)</formula>
    </cfRule>
    <cfRule type="expression" dxfId="20" priority="6889" stopIfTrue="1">
      <formula>$H13&lt;TODAY()</formula>
    </cfRule>
  </conditionalFormatting>
  <conditionalFormatting sqref="P30 H37">
    <cfRule type="expression" dxfId="19" priority="6890" stopIfTrue="1">
      <formula>AND(COUNTIF($B30:$N30,"&lt;"&amp;"0")=0,COUNTIF($B30:$N30,"=")=0)</formula>
    </cfRule>
    <cfRule type="expression" dxfId="18" priority="6891" stopIfTrue="1">
      <formula>$H49&lt;TODAY()</formula>
    </cfRule>
  </conditionalFormatting>
  <conditionalFormatting sqref="P10">
    <cfRule type="expression" dxfId="17" priority="6894" stopIfTrue="1">
      <formula>AND(COUNTIF($B10:$N10,"&lt;"&amp;"0")=0,COUNTIF($B10:$N10,"=")=0)</formula>
    </cfRule>
    <cfRule type="expression" dxfId="16" priority="6895" stopIfTrue="1">
      <formula>$H24&lt;TODAY()</formula>
    </cfRule>
  </conditionalFormatting>
  <hyperlinks>
    <hyperlink ref="L12" r:id="rId1" display="http://dx.doi.org/10.1093/bioinformatics/btw354" xr:uid="{25612196-BC66-4AE6-9DEC-FD7CD6274EB6}"/>
    <hyperlink ref="L11" r:id="rId2" display="http://www.bioinformatics.babraham.ac.uk/projects/fastqc" xr:uid="{9F64A814-7C0A-415A-A668-E3E3831E9FC2}"/>
  </hyperlinks>
  <pageMargins left="0.7" right="0.7" top="0.75" bottom="0.75" header="0.3" footer="0.3"/>
  <pageSetup paperSize="9" orientation="portrait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465" stopIfTrue="1" id="{4FDA8A76-71C5-4E93-80A6-52EEE93E3DB2}">
            <xm:f>#REF!&lt;(TODAY()-INDEX('Analysis Steps'!$I$2:$I$11,MATCH(O11,'Analysis Steps'!$A$2:$A$11,0)))</xm:f>
            <x14:dxf>
              <fill>
                <patternFill>
                  <bgColor rgb="FFFFC000"/>
                </patternFill>
              </fill>
            </x14:dxf>
          </x14:cfRule>
          <xm:sqref>P11:P12 P24:P29</xm:sqref>
        </x14:conditionalFormatting>
        <x14:conditionalFormatting xmlns:xm="http://schemas.microsoft.com/office/excel/2006/main">
          <x14:cfRule type="expression" priority="6499" stopIfTrue="1" id="{4FDA8A76-71C5-4E93-80A6-52EEE93E3DB2}">
            <xm:f>#REF!&lt;(TODAY()-INDEX('Analysis Steps'!$I$2:$I$11,MATCH(O14,'Analysis Steps'!$A$2:$A$11,0)))</xm:f>
            <x14:dxf>
              <fill>
                <patternFill>
                  <bgColor rgb="FFFFC000"/>
                </patternFill>
              </fill>
            </x14:dxf>
          </x14:cfRule>
          <xm:sqref>P14</xm:sqref>
        </x14:conditionalFormatting>
        <x14:conditionalFormatting xmlns:xm="http://schemas.microsoft.com/office/excel/2006/main">
          <x14:cfRule type="expression" priority="6548" stopIfTrue="1" id="{628688FD-CD62-4D73-B5E9-FB9CD3AF7530}">
            <xm:f>#REF!&lt;(TODAY()-INDEX('Analysis Steps'!$I$2:$I$11,MATCH(A24,'Analysis Steps'!$A$2:$A$11,0)))</xm:f>
            <x14:dxf>
              <fill>
                <patternFill>
                  <bgColor rgb="FFFFC000"/>
                </patternFill>
              </fill>
            </x14:dxf>
          </x14:cfRule>
          <xm:sqref>H24:H33</xm:sqref>
        </x14:conditionalFormatting>
        <x14:conditionalFormatting xmlns:xm="http://schemas.microsoft.com/office/excel/2006/main">
          <x14:cfRule type="expression" priority="6" stopIfTrue="1" id="{33719BA5-5E32-4EE3-BB33-A6AC81929A53}">
            <xm:f>#REF!&lt;(TODAY()-INDEX('Analysis Steps'!$I$2:$I$11,MATCH(A34,'Analysis Steps'!$A$2:$A$11,0)))</xm:f>
            <x14:dxf>
              <fill>
                <patternFill>
                  <bgColor rgb="FFFFC000"/>
                </patternFill>
              </fill>
            </x14:dxf>
          </x14:cfRule>
          <xm:sqref>H34:H36</xm:sqref>
        </x14:conditionalFormatting>
        <x14:conditionalFormatting xmlns:xm="http://schemas.microsoft.com/office/excel/2006/main">
          <x14:cfRule type="expression" priority="6646" stopIfTrue="1" id="{4FDA8A76-71C5-4E93-80A6-52EEE93E3DB2}">
            <xm:f>$H4&lt;(TODAY()-INDEX('Analysis Steps'!$I$2:$I$11,MATCH(O4,'Analysis Steps'!$A$2:$A$11,0)))</xm:f>
            <x14:dxf>
              <fill>
                <patternFill>
                  <bgColor rgb="FFFFC000"/>
                </patternFill>
              </fill>
            </x14:dxf>
          </x14:cfRule>
          <xm:sqref>P22:P23 P4:P9</xm:sqref>
        </x14:conditionalFormatting>
        <x14:conditionalFormatting xmlns:xm="http://schemas.microsoft.com/office/excel/2006/main">
          <x14:cfRule type="expression" priority="6670" stopIfTrue="1" id="{4FDA8A76-71C5-4E93-80A6-52EEE93E3DB2}">
            <xm:f>$H14&lt;(TODAY()-INDEX('Analysis Steps'!$I$2:$I$11,MATCH(O13,'Analysis Steps'!$A$2:$A$11,0)))</xm:f>
            <x14:dxf>
              <fill>
                <patternFill>
                  <bgColor rgb="FFFFC000"/>
                </patternFill>
              </fill>
            </x14:dxf>
          </x14:cfRule>
          <xm:sqref>P15:P20 P13</xm:sqref>
        </x14:conditionalFormatting>
        <x14:conditionalFormatting xmlns:xm="http://schemas.microsoft.com/office/excel/2006/main">
          <x14:cfRule type="expression" priority="6676" stopIfTrue="1" id="{4FDA8A76-71C5-4E93-80A6-52EEE93E3DB2}">
            <xm:f>$H13&lt;(TODAY()-INDEX('Analysis Steps'!$I$2:$I$11,MATCH(O21,'Analysis Steps'!$A$2:$A$11,0)))</xm:f>
            <x14:dxf>
              <fill>
                <patternFill>
                  <bgColor rgb="FFFFC000"/>
                </patternFill>
              </fill>
            </x14:dxf>
          </x14:cfRule>
          <xm:sqref>P21</xm:sqref>
        </x14:conditionalFormatting>
        <x14:conditionalFormatting xmlns:xm="http://schemas.microsoft.com/office/excel/2006/main">
          <x14:cfRule type="expression" priority="6688" stopIfTrue="1" id="{4FDA8A76-71C5-4E93-80A6-52EEE93E3DB2}">
            <xm:f>$H49&lt;(TODAY()-INDEX('Analysis Steps'!$I$2:$I$11,MATCH(O30,'Analysis Steps'!$A$2:$A$11,0)))</xm:f>
            <x14:dxf>
              <fill>
                <patternFill>
                  <bgColor rgb="FFFFC000"/>
                </patternFill>
              </fill>
            </x14:dxf>
          </x14:cfRule>
          <xm:sqref>P30</xm:sqref>
        </x14:conditionalFormatting>
        <x14:conditionalFormatting xmlns:xm="http://schemas.microsoft.com/office/excel/2006/main">
          <x14:cfRule type="expression" priority="6693" stopIfTrue="1" id="{4FDA8A76-71C5-4E93-80A6-52EEE93E3DB2}">
            <xm:f>$H24&lt;(TODAY()-INDEX('Analysis Steps'!$I$2:$I$11,MATCH(O10,'Analysis Steps'!$A$2:$A$11,0)))</xm:f>
            <x14:dxf>
              <fill>
                <patternFill>
                  <bgColor rgb="FFFFC000"/>
                </patternFill>
              </fill>
            </x14:dxf>
          </x14:cfRule>
          <xm:sqref>P10</xm:sqref>
        </x14:conditionalFormatting>
        <x14:conditionalFormatting xmlns:xm="http://schemas.microsoft.com/office/excel/2006/main">
          <x14:cfRule type="expression" priority="6820" stopIfTrue="1" id="{FB869653-A43D-4C60-B476-8920C0530A00}">
            <xm:f>$E4&lt;(TODAY()-INDEX('Analysis Steps'!$I$2:$I$11,MATCH(N4,'Analysis Steps'!$A$2:$A$11,0)))</xm:f>
            <x14:dxf>
              <fill>
                <patternFill>
                  <bgColor rgb="FFFFC000"/>
                </patternFill>
              </fill>
            </x14:dxf>
          </x14:cfRule>
          <xm:sqref>O4:O29</xm:sqref>
        </x14:conditionalFormatting>
        <x14:conditionalFormatting xmlns:xm="http://schemas.microsoft.com/office/excel/2006/main">
          <x14:cfRule type="expression" priority="6821" stopIfTrue="1" id="{9943E68C-5010-4323-B702-97A2DD770CD5}">
            <xm:f>$E11&lt;(TODAY()-INDEX('Analysis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A22:A36 A11:A12 F11:G33</xm:sqref>
        </x14:conditionalFormatting>
        <x14:conditionalFormatting xmlns:xm="http://schemas.microsoft.com/office/excel/2006/main">
          <x14:cfRule type="expression" priority="6825" stopIfTrue="1" id="{FB869653-A43D-4C60-B476-8920C0530A00}">
            <xm:f>$E49&lt;(TODAY()-INDEX('Analysis Steps'!$I$2:$I$11,MATCH(N30,'Analysis Steps'!$A$2:$A$11,0)))</xm:f>
            <x14:dxf>
              <fill>
                <patternFill>
                  <bgColor rgb="FFFFC000"/>
                </patternFill>
              </fill>
            </x14:dxf>
          </x14:cfRule>
          <xm:sqref>O30</xm:sqref>
        </x14:conditionalFormatting>
        <x14:conditionalFormatting xmlns:xm="http://schemas.microsoft.com/office/excel/2006/main">
          <x14:cfRule type="expression" priority="6827" stopIfTrue="1" id="{C5833406-B312-4DB0-8BB4-BA1EB44715D1}">
            <xm:f>$E13&lt;(TODAY()-INDEX('Analysis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A14:A21</xm:sqref>
        </x14:conditionalFormatting>
        <x14:conditionalFormatting xmlns:xm="http://schemas.microsoft.com/office/excel/2006/main">
          <x14:cfRule type="expression" priority="6828" stopIfTrue="1" id="{C5833406-B312-4DB0-8BB4-BA1EB44715D1}">
            <xm:f>$E21&lt;(TODAY()-INDEX('Analysis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A13</xm:sqref>
        </x14:conditionalFormatting>
        <x14:conditionalFormatting xmlns:xm="http://schemas.microsoft.com/office/excel/2006/main">
          <x14:cfRule type="expression" priority="6829" stopIfTrue="1" id="{FB869653-A43D-4C60-B476-8920C0530A00}">
            <xm:f>$E56&lt;(TODAY()-INDEX('Analysis Steps'!$I$2:$I$11,MATCH(#REF!,'Analysis Steps'!$A$2:$A$11,0)))</xm:f>
            <x14:dxf>
              <fill>
                <patternFill>
                  <bgColor rgb="FFFFC000"/>
                </patternFill>
              </fill>
            </x14:dxf>
          </x14:cfRule>
          <xm:sqref>A37</xm:sqref>
        </x14:conditionalFormatting>
        <x14:conditionalFormatting xmlns:xm="http://schemas.microsoft.com/office/excel/2006/main">
          <x14:cfRule type="expression" priority="6898" stopIfTrue="1" id="{9B1610B1-699E-4571-B6F3-81D90864B876}">
            <xm:f>$H56&lt;(TODAY()-INDEX('Analysis Steps'!$I$2:$I$11,MATCH(A37,'Analysis Steps'!$A$2:$A$11,0)))</xm:f>
            <x14:dxf>
              <fill>
                <patternFill>
                  <bgColor rgb="FFFFC000"/>
                </patternFill>
              </fill>
            </x14:dxf>
          </x14:cfRule>
          <xm:sqref>H37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A9FD1CE-67FD-41DC-B1DD-72A3A498DF06}">
          <x14:formula1>
            <xm:f>'Analysis Steps'!$A$2:$A$11</xm:f>
          </x14:formula1>
          <xm:sqref>P4:P30 H11:H37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B30F-02D4-460F-BC5C-036CA16F9712}">
  <dimension ref="A1:AI48"/>
  <sheetViews>
    <sheetView workbookViewId="0">
      <selection activeCell="K33" sqref="K33"/>
    </sheetView>
  </sheetViews>
  <sheetFormatPr defaultRowHeight="14.4" x14ac:dyDescent="0.3"/>
  <cols>
    <col min="1" max="1" width="34.88671875" bestFit="1" customWidth="1"/>
    <col min="3" max="3" width="11" bestFit="1" customWidth="1"/>
    <col min="4" max="4" width="18.5546875" bestFit="1" customWidth="1"/>
    <col min="7" max="7" width="13.33203125" bestFit="1" customWidth="1"/>
    <col min="8" max="8" width="7.5546875" bestFit="1" customWidth="1"/>
  </cols>
  <sheetData>
    <row r="1" spans="1:35" x14ac:dyDescent="0.3">
      <c r="A1" s="74"/>
      <c r="B1" s="359" t="s">
        <v>1064</v>
      </c>
      <c r="C1" s="359"/>
      <c r="D1" s="263" t="s">
        <v>1065</v>
      </c>
      <c r="G1" s="74"/>
      <c r="H1" s="74"/>
      <c r="I1" s="74"/>
      <c r="J1" s="360" t="s">
        <v>1075</v>
      </c>
      <c r="K1" s="361"/>
      <c r="L1" s="362"/>
      <c r="M1" s="360" t="s">
        <v>1072</v>
      </c>
      <c r="N1" s="361"/>
      <c r="O1" s="361"/>
    </row>
    <row r="2" spans="1:35" x14ac:dyDescent="0.3">
      <c r="A2" s="73" t="s">
        <v>978</v>
      </c>
      <c r="B2" s="73" t="s">
        <v>146</v>
      </c>
      <c r="C2" s="73" t="s">
        <v>996</v>
      </c>
      <c r="D2" s="73" t="s">
        <v>979</v>
      </c>
      <c r="G2" s="270" t="s">
        <v>398</v>
      </c>
      <c r="H2" s="270" t="s">
        <v>1074</v>
      </c>
      <c r="I2" s="73" t="s">
        <v>1073</v>
      </c>
      <c r="J2" s="270" t="s">
        <v>496</v>
      </c>
      <c r="K2" s="270" t="s">
        <v>494</v>
      </c>
      <c r="L2" s="270" t="s">
        <v>961</v>
      </c>
      <c r="M2" s="270" t="s">
        <v>496</v>
      </c>
      <c r="N2" s="270" t="s">
        <v>494</v>
      </c>
      <c r="O2" s="270" t="s">
        <v>961</v>
      </c>
      <c r="P2" s="270" t="s">
        <v>1076</v>
      </c>
      <c r="Q2" s="270" t="s">
        <v>1077</v>
      </c>
      <c r="R2" s="270" t="s">
        <v>1078</v>
      </c>
    </row>
    <row r="3" spans="1:35" x14ac:dyDescent="0.3">
      <c r="A3" s="264" t="s">
        <v>1051</v>
      </c>
      <c r="B3" s="74" t="s">
        <v>1052</v>
      </c>
      <c r="C3" s="74"/>
      <c r="D3" s="74"/>
      <c r="G3" s="272" t="s">
        <v>372</v>
      </c>
      <c r="H3" s="267" t="s">
        <v>725</v>
      </c>
      <c r="I3" s="74">
        <v>11</v>
      </c>
      <c r="J3" s="266">
        <v>1.44</v>
      </c>
      <c r="K3" s="266">
        <v>0</v>
      </c>
      <c r="L3">
        <v>96.044651684640598</v>
      </c>
      <c r="M3" s="266">
        <v>1.46</v>
      </c>
      <c r="N3" s="266">
        <v>0</v>
      </c>
      <c r="O3">
        <v>95.657059209015401</v>
      </c>
      <c r="P3" s="274">
        <v>0.90689329556185083</v>
      </c>
      <c r="Q3" s="274">
        <v>0.52653446647780922</v>
      </c>
      <c r="R3" s="274">
        <v>7.1388101983002827E-2</v>
      </c>
    </row>
    <row r="4" spans="1:35" x14ac:dyDescent="0.3">
      <c r="A4" s="264" t="s">
        <v>1049</v>
      </c>
      <c r="B4" s="74" t="s">
        <v>1050</v>
      </c>
      <c r="C4" s="74">
        <v>2</v>
      </c>
      <c r="D4" s="74"/>
      <c r="G4" s="272" t="s">
        <v>372</v>
      </c>
      <c r="H4" s="267" t="s">
        <v>725</v>
      </c>
      <c r="I4" s="74">
        <v>19</v>
      </c>
      <c r="J4" s="266">
        <v>1.35</v>
      </c>
      <c r="K4" s="266">
        <v>0</v>
      </c>
      <c r="L4">
        <v>96.202181067083501</v>
      </c>
      <c r="M4" s="266">
        <v>1.39</v>
      </c>
      <c r="N4" s="266">
        <v>0</v>
      </c>
      <c r="O4">
        <v>96.088175678924699</v>
      </c>
      <c r="P4" s="274">
        <v>0.97186024551463646</v>
      </c>
      <c r="Q4" s="274">
        <v>0.76033994334277621</v>
      </c>
      <c r="R4" s="274">
        <v>1.9641170915958451E-2</v>
      </c>
      <c r="T4" s="73" t="s">
        <v>331</v>
      </c>
      <c r="U4" s="344">
        <v>1</v>
      </c>
      <c r="V4" s="344"/>
      <c r="W4" s="344"/>
      <c r="X4" s="344"/>
      <c r="Y4" s="344"/>
      <c r="Z4" s="344">
        <v>2</v>
      </c>
      <c r="AA4" s="344"/>
      <c r="AB4" s="344"/>
      <c r="AC4" s="344"/>
      <c r="AD4" s="344"/>
      <c r="AE4" s="344">
        <v>3</v>
      </c>
      <c r="AF4" s="344"/>
      <c r="AG4" s="344"/>
      <c r="AH4" s="344"/>
      <c r="AI4" s="344"/>
    </row>
    <row r="5" spans="1:35" x14ac:dyDescent="0.3">
      <c r="A5" s="264" t="s">
        <v>981</v>
      </c>
      <c r="B5" s="74" t="s">
        <v>982</v>
      </c>
      <c r="C5" s="74"/>
      <c r="D5" s="74"/>
      <c r="G5" s="272" t="s">
        <v>372</v>
      </c>
      <c r="H5" s="267" t="s">
        <v>725</v>
      </c>
      <c r="I5" s="74">
        <v>28</v>
      </c>
      <c r="J5" s="266">
        <v>1.35</v>
      </c>
      <c r="K5" s="266">
        <v>0</v>
      </c>
      <c r="L5">
        <v>95.876379766767897</v>
      </c>
      <c r="M5" s="266">
        <v>1.4</v>
      </c>
      <c r="N5" s="266">
        <v>0</v>
      </c>
      <c r="O5">
        <v>96.121144367677701</v>
      </c>
      <c r="P5" s="274">
        <v>0.97771482530689324</v>
      </c>
      <c r="Q5" s="274">
        <v>0.80585457979225683</v>
      </c>
      <c r="R5" s="274">
        <v>1.4542020774315392E-2</v>
      </c>
      <c r="T5" s="73" t="s">
        <v>398</v>
      </c>
      <c r="U5" s="226" t="s">
        <v>475</v>
      </c>
      <c r="V5" s="226" t="s">
        <v>462</v>
      </c>
      <c r="W5" s="226" t="s">
        <v>79</v>
      </c>
      <c r="X5" s="226" t="s">
        <v>480</v>
      </c>
      <c r="Y5" s="226" t="s">
        <v>481</v>
      </c>
      <c r="Z5" s="226" t="s">
        <v>475</v>
      </c>
      <c r="AA5" s="226" t="s">
        <v>462</v>
      </c>
      <c r="AB5" s="226" t="s">
        <v>79</v>
      </c>
      <c r="AC5" s="226" t="s">
        <v>480</v>
      </c>
      <c r="AD5" s="226" t="s">
        <v>481</v>
      </c>
      <c r="AE5" s="226" t="s">
        <v>475</v>
      </c>
      <c r="AF5" s="226" t="s">
        <v>462</v>
      </c>
      <c r="AG5" s="226" t="s">
        <v>79</v>
      </c>
      <c r="AH5" s="226" t="s">
        <v>480</v>
      </c>
      <c r="AI5" s="226" t="s">
        <v>481</v>
      </c>
    </row>
    <row r="6" spans="1:35" x14ac:dyDescent="0.3">
      <c r="A6" s="264" t="s">
        <v>986</v>
      </c>
      <c r="B6" s="74" t="s">
        <v>984</v>
      </c>
      <c r="C6" s="74"/>
      <c r="D6" s="74"/>
      <c r="G6" s="272" t="s">
        <v>753</v>
      </c>
      <c r="H6" s="267" t="s">
        <v>725</v>
      </c>
      <c r="I6" s="74">
        <v>28</v>
      </c>
      <c r="J6" s="266">
        <v>1.33</v>
      </c>
      <c r="K6" s="266">
        <v>0</v>
      </c>
      <c r="L6" s="277"/>
      <c r="M6" s="28">
        <v>1.41</v>
      </c>
      <c r="N6" s="266">
        <v>0</v>
      </c>
      <c r="O6">
        <v>95.989889522220295</v>
      </c>
      <c r="P6" s="274">
        <v>0.97499999999999998</v>
      </c>
      <c r="Q6" s="274">
        <v>0.13900000000000001</v>
      </c>
      <c r="R6" s="274">
        <v>1.7000000000000001E-2</v>
      </c>
      <c r="T6" s="28" t="s">
        <v>372</v>
      </c>
      <c r="U6" s="88">
        <v>0.90689329556185083</v>
      </c>
      <c r="V6" s="83">
        <v>0.38035882908404156</v>
      </c>
      <c r="W6" s="83">
        <v>0.52653446647780922</v>
      </c>
      <c r="X6" s="83">
        <v>2.1718602455146365E-2</v>
      </c>
      <c r="Y6" s="84">
        <v>7.1388101983002827E-2</v>
      </c>
      <c r="Z6" s="88">
        <v>0.97186024551463646</v>
      </c>
      <c r="AA6" s="83">
        <v>0.21152030217186024</v>
      </c>
      <c r="AB6" s="83">
        <v>0.76033994334277621</v>
      </c>
      <c r="AC6" s="83">
        <v>8.4985835694051E-3</v>
      </c>
      <c r="AD6" s="84">
        <v>1.9641170915958451E-2</v>
      </c>
      <c r="AE6" s="83">
        <v>0.97771482530689324</v>
      </c>
      <c r="AF6" s="83">
        <v>0.17186024551463644</v>
      </c>
      <c r="AG6" s="83">
        <v>0.80585457979225683</v>
      </c>
      <c r="AH6" s="83">
        <v>7.7431539187913121E-3</v>
      </c>
      <c r="AI6" s="84">
        <v>1.4542020774315392E-2</v>
      </c>
    </row>
    <row r="7" spans="1:35" x14ac:dyDescent="0.3">
      <c r="A7" s="264" t="s">
        <v>989</v>
      </c>
      <c r="B7" s="74" t="s">
        <v>987</v>
      </c>
      <c r="C7" s="74"/>
      <c r="D7" s="74"/>
      <c r="G7" s="270" t="s">
        <v>90</v>
      </c>
      <c r="H7" s="266" t="s">
        <v>725</v>
      </c>
      <c r="I7" s="74">
        <v>11</v>
      </c>
      <c r="J7" s="266">
        <v>1.39</v>
      </c>
      <c r="K7" s="266">
        <v>0</v>
      </c>
      <c r="L7" s="266">
        <v>95.025536420988999</v>
      </c>
      <c r="M7" s="266">
        <v>1.36</v>
      </c>
      <c r="N7" s="266">
        <v>0</v>
      </c>
      <c r="O7" s="266">
        <v>94.901214536520399</v>
      </c>
      <c r="P7" s="274">
        <v>0.82587346553352214</v>
      </c>
      <c r="Q7" s="274">
        <v>0.12143531633616619</v>
      </c>
      <c r="R7" s="274">
        <v>0.11935788479697829</v>
      </c>
      <c r="T7" s="142" t="s">
        <v>222</v>
      </c>
      <c r="U7" s="25"/>
      <c r="V7" s="13"/>
      <c r="W7" s="163"/>
      <c r="X7" s="163"/>
      <c r="Y7" s="26"/>
      <c r="Z7" s="25"/>
      <c r="AA7" s="13"/>
      <c r="AB7" s="13"/>
      <c r="AC7" s="13"/>
      <c r="AD7" s="26"/>
      <c r="AE7" s="83">
        <v>0.97499999999999998</v>
      </c>
      <c r="AF7" s="83">
        <v>0.83599999999999997</v>
      </c>
      <c r="AG7" s="83">
        <v>0.13900000000000001</v>
      </c>
      <c r="AH7" s="83">
        <v>8.0000000000000002E-3</v>
      </c>
      <c r="AI7" s="84">
        <v>1.7000000000000001E-2</v>
      </c>
    </row>
    <row r="8" spans="1:35" x14ac:dyDescent="0.3">
      <c r="A8" s="264" t="s">
        <v>988</v>
      </c>
      <c r="B8" s="74" t="s">
        <v>990</v>
      </c>
      <c r="C8" s="74"/>
      <c r="D8" s="74"/>
      <c r="G8" s="270" t="s">
        <v>90</v>
      </c>
      <c r="H8" s="266" t="s">
        <v>725</v>
      </c>
      <c r="I8" s="74">
        <v>19</v>
      </c>
      <c r="J8" s="266">
        <v>1.44</v>
      </c>
      <c r="K8" s="266">
        <v>0</v>
      </c>
      <c r="L8" s="277">
        <v>95.483848107071395</v>
      </c>
      <c r="M8" s="28">
        <v>1.47</v>
      </c>
      <c r="N8" s="266">
        <v>0</v>
      </c>
      <c r="O8" s="266">
        <v>95.512467292129102</v>
      </c>
      <c r="P8" s="274">
        <v>0.92540132200188863</v>
      </c>
      <c r="Q8" s="274">
        <v>0.53031161473087818</v>
      </c>
      <c r="R8" s="274">
        <v>5.0424929178470253E-2</v>
      </c>
      <c r="T8" s="28" t="s">
        <v>90</v>
      </c>
      <c r="U8" s="88">
        <v>0.82587346553352214</v>
      </c>
      <c r="V8" s="83">
        <v>0.70443814919735603</v>
      </c>
      <c r="W8" s="83">
        <v>0.12143531633616619</v>
      </c>
      <c r="X8" s="83">
        <v>5.4768649669499528E-2</v>
      </c>
      <c r="Y8" s="84">
        <v>0.11935788479697829</v>
      </c>
      <c r="Z8" s="88">
        <v>0.92540132200188863</v>
      </c>
      <c r="AA8" s="83">
        <v>0.39508970727101039</v>
      </c>
      <c r="AB8" s="83">
        <v>0.53031161473087818</v>
      </c>
      <c r="AC8" s="83">
        <v>2.4173748819641169E-2</v>
      </c>
      <c r="AD8" s="84">
        <v>5.0424929178470253E-2</v>
      </c>
      <c r="AE8" s="83">
        <v>0.92936732766761099</v>
      </c>
      <c r="AF8" s="83">
        <v>0.3667610953729934</v>
      </c>
      <c r="AG8" s="83">
        <v>0.56260623229461759</v>
      </c>
      <c r="AH8" s="83">
        <v>2.3984891406987723E-2</v>
      </c>
      <c r="AI8" s="84">
        <v>4.6647780925401325E-2</v>
      </c>
    </row>
    <row r="9" spans="1:35" x14ac:dyDescent="0.3">
      <c r="A9" s="264" t="s">
        <v>992</v>
      </c>
      <c r="B9" s="74" t="s">
        <v>993</v>
      </c>
      <c r="C9" s="74"/>
      <c r="D9" s="74"/>
      <c r="G9" s="270" t="s">
        <v>90</v>
      </c>
      <c r="H9" s="266" t="s">
        <v>725</v>
      </c>
      <c r="I9" s="74">
        <v>28</v>
      </c>
      <c r="J9" s="266">
        <v>1.41</v>
      </c>
      <c r="K9" s="266">
        <v>0</v>
      </c>
      <c r="L9" s="266">
        <v>95.603512299334099</v>
      </c>
      <c r="M9" s="266">
        <v>1.45</v>
      </c>
      <c r="N9" s="266">
        <v>0</v>
      </c>
      <c r="O9" s="266">
        <v>95.790352467586402</v>
      </c>
      <c r="P9" s="274">
        <v>0.92936732766761099</v>
      </c>
      <c r="Q9" s="274">
        <v>0.56260623229461759</v>
      </c>
      <c r="R9" s="274">
        <v>4.6647780925401325E-2</v>
      </c>
      <c r="T9" s="28" t="s">
        <v>89</v>
      </c>
      <c r="U9" s="83">
        <v>0.92181303116147306</v>
      </c>
      <c r="V9" s="83">
        <v>0.80245514636449478</v>
      </c>
      <c r="W9" s="83">
        <v>0.11935788479697829</v>
      </c>
      <c r="X9" s="83">
        <v>1.4919735599622286E-2</v>
      </c>
      <c r="Y9" s="83">
        <v>6.3267233238904624E-2</v>
      </c>
      <c r="Z9" s="83">
        <v>0.97167138810198306</v>
      </c>
      <c r="AA9" s="83">
        <v>0.92842304060434377</v>
      </c>
      <c r="AB9" s="83">
        <v>4.3248347497639283E-2</v>
      </c>
      <c r="AC9" s="83">
        <v>7.7431539187913121E-3</v>
      </c>
      <c r="AD9" s="83">
        <v>2.0585457979225685E-2</v>
      </c>
      <c r="AE9" s="83">
        <v>0.97922568460812098</v>
      </c>
      <c r="AF9" s="83">
        <v>0.93748819641170911</v>
      </c>
      <c r="AG9" s="83">
        <v>4.1737488196411709E-2</v>
      </c>
      <c r="AH9" s="83">
        <v>6.4211520302171858E-3</v>
      </c>
      <c r="AI9" s="83">
        <v>1.4353163361661946E-2</v>
      </c>
    </row>
    <row r="10" spans="1:35" x14ac:dyDescent="0.3">
      <c r="A10" s="144" t="s">
        <v>991</v>
      </c>
      <c r="B10" s="74">
        <v>1.111016</v>
      </c>
      <c r="C10" s="74"/>
      <c r="D10" s="74"/>
      <c r="G10" s="272" t="s">
        <v>89</v>
      </c>
      <c r="H10" s="267" t="s">
        <v>792</v>
      </c>
      <c r="I10" s="74">
        <v>11</v>
      </c>
      <c r="J10" s="266">
        <v>1.59</v>
      </c>
      <c r="K10" s="266">
        <v>0</v>
      </c>
      <c r="L10" s="277">
        <v>94.586551517433307</v>
      </c>
      <c r="M10" s="28">
        <v>1.62</v>
      </c>
      <c r="N10" s="266">
        <v>0.05</v>
      </c>
      <c r="O10" s="266">
        <v>94.557071963010102</v>
      </c>
      <c r="P10" s="274">
        <v>0.90500472143531629</v>
      </c>
      <c r="Q10" s="274">
        <v>0.11595845136921624</v>
      </c>
      <c r="R10" s="274">
        <v>7.705382436260623E-2</v>
      </c>
      <c r="T10" s="28" t="s">
        <v>461</v>
      </c>
      <c r="U10" s="88">
        <v>0.82228517469310669</v>
      </c>
      <c r="V10" s="83">
        <v>0.75410764872521241</v>
      </c>
      <c r="W10" s="83">
        <v>6.817752596789424E-2</v>
      </c>
      <c r="X10" s="83">
        <v>1.8885741265344664E-2</v>
      </c>
      <c r="Y10" s="84">
        <v>0.15882908404154863</v>
      </c>
      <c r="Z10" s="88">
        <v>0.91822474032105761</v>
      </c>
      <c r="AA10" s="83">
        <v>0.89518413597733715</v>
      </c>
      <c r="AB10" s="83">
        <v>2.3040604343720492E-2</v>
      </c>
      <c r="AC10" s="83">
        <v>1.69971671388102E-2</v>
      </c>
      <c r="AD10" s="84">
        <v>6.4778092540132198E-2</v>
      </c>
      <c r="AE10" s="83">
        <v>0.95014164305949012</v>
      </c>
      <c r="AF10" s="83">
        <v>0.93711048158640231</v>
      </c>
      <c r="AG10" s="83">
        <v>1.3031161473087818E-2</v>
      </c>
      <c r="AH10" s="83">
        <v>1.3220018885741265E-2</v>
      </c>
      <c r="AI10" s="84">
        <v>3.6638338054768647E-2</v>
      </c>
    </row>
    <row r="11" spans="1:35" x14ac:dyDescent="0.3">
      <c r="A11" s="264" t="s">
        <v>994</v>
      </c>
      <c r="B11" s="74" t="s">
        <v>985</v>
      </c>
      <c r="C11" s="74"/>
      <c r="D11" s="74"/>
      <c r="G11" s="272" t="s">
        <v>89</v>
      </c>
      <c r="H11" s="266" t="s">
        <v>909</v>
      </c>
      <c r="I11" s="74">
        <v>11</v>
      </c>
      <c r="J11" s="266">
        <v>1.82</v>
      </c>
      <c r="K11" s="266">
        <v>1.84</v>
      </c>
      <c r="L11" s="266">
        <v>93.994436732952295</v>
      </c>
      <c r="M11" s="266">
        <v>1.84</v>
      </c>
      <c r="N11" s="266">
        <v>1.52</v>
      </c>
      <c r="O11" s="266">
        <v>94.114088629399404</v>
      </c>
      <c r="P11" s="274">
        <v>0.66949952785646838</v>
      </c>
      <c r="Q11" s="274">
        <v>6.2322946175637391E-3</v>
      </c>
      <c r="R11" s="274">
        <v>0.31369216241737491</v>
      </c>
      <c r="T11" s="28" t="s">
        <v>384</v>
      </c>
      <c r="U11" s="88">
        <v>0.69801699716713883</v>
      </c>
      <c r="V11" s="83">
        <v>0.67592067988668558</v>
      </c>
      <c r="W11" s="83">
        <v>2.2096317280453259E-2</v>
      </c>
      <c r="X11" s="83">
        <v>1.9641170915958451E-2</v>
      </c>
      <c r="Y11" s="84">
        <v>0.28234183191690276</v>
      </c>
      <c r="Z11" s="151">
        <v>0.70399999999999996</v>
      </c>
      <c r="AA11" s="152">
        <v>0.68200000000000005</v>
      </c>
      <c r="AB11" s="152">
        <v>2.1999999999999999E-2</v>
      </c>
      <c r="AC11" s="152">
        <v>1.9E-2</v>
      </c>
      <c r="AD11" s="153">
        <v>0.27700000000000002</v>
      </c>
      <c r="AE11" s="83">
        <v>0.72399999999999998</v>
      </c>
      <c r="AF11" s="83">
        <v>0.69599999999999995</v>
      </c>
      <c r="AG11" s="83">
        <v>2.8000000000000001E-2</v>
      </c>
      <c r="AH11" s="83">
        <v>0.02</v>
      </c>
      <c r="AI11" s="84">
        <v>0.25600000000000001</v>
      </c>
    </row>
    <row r="12" spans="1:35" x14ac:dyDescent="0.3">
      <c r="A12" s="265" t="s">
        <v>1004</v>
      </c>
      <c r="B12" s="74" t="s">
        <v>1066</v>
      </c>
      <c r="C12" s="74"/>
      <c r="D12" s="74" t="s">
        <v>1005</v>
      </c>
      <c r="G12" s="272" t="s">
        <v>89</v>
      </c>
      <c r="H12" s="267" t="s">
        <v>792</v>
      </c>
      <c r="I12" s="74">
        <v>19</v>
      </c>
      <c r="J12" s="266">
        <v>1.56</v>
      </c>
      <c r="K12" s="266">
        <v>0</v>
      </c>
      <c r="L12" s="277">
        <v>94.882313181015405</v>
      </c>
      <c r="M12" s="28">
        <v>1.59</v>
      </c>
      <c r="N12" s="266">
        <v>0</v>
      </c>
      <c r="O12" s="266">
        <v>94.829521693821107</v>
      </c>
      <c r="P12" s="275"/>
      <c r="Q12" s="275"/>
      <c r="R12" s="275"/>
      <c r="T12" s="28" t="s">
        <v>385</v>
      </c>
      <c r="U12" s="88">
        <v>0.9053824362606232</v>
      </c>
      <c r="V12" s="83">
        <v>0.60169971671388101</v>
      </c>
      <c r="W12" s="83">
        <v>0.3036827195467422</v>
      </c>
      <c r="X12" s="83">
        <v>1.9074598677998111E-2</v>
      </c>
      <c r="Y12" s="84">
        <v>7.5542965061378656E-2</v>
      </c>
      <c r="Z12" s="28"/>
      <c r="AA12" s="76"/>
      <c r="AB12" s="76"/>
      <c r="AC12" s="76"/>
      <c r="AD12" s="30"/>
      <c r="AE12" s="76"/>
      <c r="AF12" s="76"/>
      <c r="AG12" s="76"/>
      <c r="AH12" s="76"/>
      <c r="AI12" s="30"/>
    </row>
    <row r="13" spans="1:35" x14ac:dyDescent="0.3">
      <c r="A13" s="264" t="s">
        <v>1068</v>
      </c>
      <c r="B13" s="74" t="s">
        <v>1067</v>
      </c>
      <c r="C13" s="74"/>
      <c r="D13" s="74" t="s">
        <v>1007</v>
      </c>
      <c r="G13" s="272" t="s">
        <v>89</v>
      </c>
      <c r="H13" s="266" t="s">
        <v>909</v>
      </c>
      <c r="I13" s="74">
        <v>19</v>
      </c>
      <c r="J13" s="266">
        <v>1.75</v>
      </c>
      <c r="K13" s="266">
        <v>2.2000000000000002</v>
      </c>
      <c r="L13" s="266">
        <v>93.839722722664106</v>
      </c>
      <c r="M13" s="266">
        <v>1.78</v>
      </c>
      <c r="N13" s="266">
        <v>2.64</v>
      </c>
      <c r="O13" s="266">
        <v>93.693500242398301</v>
      </c>
      <c r="P13" s="275"/>
      <c r="Q13" s="275"/>
      <c r="R13" s="275"/>
      <c r="T13" s="28" t="s">
        <v>93</v>
      </c>
      <c r="U13" s="88">
        <v>0.952407932011331</v>
      </c>
      <c r="V13" s="83">
        <v>0.84551463644948066</v>
      </c>
      <c r="W13" s="83">
        <v>0.1068932955618508</v>
      </c>
      <c r="X13" s="83">
        <v>1.0387157695939566E-2</v>
      </c>
      <c r="Y13" s="84">
        <v>3.7204910292728988E-2</v>
      </c>
      <c r="Z13" s="88">
        <v>0.97544853635505191</v>
      </c>
      <c r="AA13" s="83">
        <v>0.86156751652502361</v>
      </c>
      <c r="AB13" s="83">
        <v>0.11388101983002832</v>
      </c>
      <c r="AC13" s="83">
        <v>7.3654390934844195E-3</v>
      </c>
      <c r="AD13" s="84">
        <v>1.7186024551463643E-2</v>
      </c>
      <c r="AE13" s="83">
        <v>0.97828139754485399</v>
      </c>
      <c r="AF13" s="83">
        <v>0.8475920679886686</v>
      </c>
      <c r="AG13" s="83">
        <v>0.13068932955618509</v>
      </c>
      <c r="AH13" s="83">
        <v>6.987724268177526E-3</v>
      </c>
      <c r="AI13" s="84">
        <v>1.4730878186968839E-2</v>
      </c>
    </row>
    <row r="14" spans="1:35" x14ac:dyDescent="0.3">
      <c r="A14" s="264" t="s">
        <v>1000</v>
      </c>
      <c r="B14" s="74">
        <v>1.1000000000000001</v>
      </c>
      <c r="C14" s="74"/>
      <c r="D14" s="74" t="s">
        <v>999</v>
      </c>
      <c r="G14" s="272" t="s">
        <v>89</v>
      </c>
      <c r="H14" s="267" t="s">
        <v>725</v>
      </c>
      <c r="I14" s="74">
        <v>19</v>
      </c>
      <c r="J14" s="266">
        <v>1.52</v>
      </c>
      <c r="K14" s="266">
        <v>0</v>
      </c>
      <c r="L14" s="277">
        <v>95.157581288434599</v>
      </c>
      <c r="M14" s="28">
        <v>1.55</v>
      </c>
      <c r="N14" s="266">
        <v>0</v>
      </c>
      <c r="O14" s="266">
        <v>95.0546602556621</v>
      </c>
      <c r="P14" s="274">
        <v>0.97167138810198306</v>
      </c>
      <c r="Q14" s="274">
        <v>4.3248347497639283E-2</v>
      </c>
      <c r="R14" s="274">
        <v>2.0585457979225685E-2</v>
      </c>
      <c r="T14" s="20" t="s">
        <v>92</v>
      </c>
      <c r="U14" s="89">
        <v>0.70047214353163356</v>
      </c>
      <c r="V14" s="85">
        <v>0.69745042492917853</v>
      </c>
      <c r="W14" s="85">
        <v>3.0217186024551462E-3</v>
      </c>
      <c r="X14" s="85">
        <v>3.7960339943342775E-2</v>
      </c>
      <c r="Y14" s="86">
        <v>0.26156751652502358</v>
      </c>
      <c r="Z14" s="89">
        <v>0.83078375826251183</v>
      </c>
      <c r="AA14" s="85">
        <v>0.82209631728045329</v>
      </c>
      <c r="AB14" s="85">
        <v>8.687440982058545E-3</v>
      </c>
      <c r="AC14" s="85">
        <v>3.474976392823418E-2</v>
      </c>
      <c r="AD14" s="86">
        <v>0.13446647780925403</v>
      </c>
      <c r="AE14" s="85">
        <v>0.85533522190745992</v>
      </c>
      <c r="AF14" s="85">
        <v>0.84532577903682715</v>
      </c>
      <c r="AG14" s="85">
        <v>1.0009442870632672E-2</v>
      </c>
      <c r="AH14" s="85">
        <v>3.1916902738432486E-2</v>
      </c>
      <c r="AI14" s="86">
        <v>0.11274787535410764</v>
      </c>
    </row>
    <row r="15" spans="1:35" x14ac:dyDescent="0.3">
      <c r="A15" s="264" t="s">
        <v>998</v>
      </c>
      <c r="B15" s="74" t="s">
        <v>1069</v>
      </c>
      <c r="C15" s="74"/>
      <c r="D15" s="74" t="s">
        <v>1002</v>
      </c>
      <c r="G15" s="272" t="s">
        <v>89</v>
      </c>
      <c r="H15" s="267" t="s">
        <v>792</v>
      </c>
      <c r="I15" s="74">
        <v>28</v>
      </c>
      <c r="J15" s="266">
        <v>1.73</v>
      </c>
      <c r="K15" s="266">
        <v>2.61</v>
      </c>
      <c r="L15" s="277">
        <v>93.688668507889602</v>
      </c>
      <c r="M15" s="28">
        <v>1.78</v>
      </c>
      <c r="N15" s="30">
        <v>2.89</v>
      </c>
      <c r="O15" s="30">
        <v>93.604159387344794</v>
      </c>
      <c r="P15" s="275"/>
      <c r="Q15" s="275"/>
      <c r="R15" s="275"/>
    </row>
    <row r="16" spans="1:35" x14ac:dyDescent="0.3">
      <c r="A16" s="264" t="s">
        <v>995</v>
      </c>
      <c r="B16" s="74">
        <v>3.6</v>
      </c>
      <c r="C16" s="74" t="s">
        <v>1010</v>
      </c>
      <c r="D16" s="74"/>
      <c r="G16" s="272" t="s">
        <v>89</v>
      </c>
      <c r="H16" s="267" t="s">
        <v>909</v>
      </c>
      <c r="I16" s="74">
        <v>28</v>
      </c>
      <c r="J16" s="266">
        <v>1.6</v>
      </c>
      <c r="K16" s="266">
        <v>0</v>
      </c>
      <c r="L16" s="277">
        <v>94.741775547298005</v>
      </c>
      <c r="M16" s="28">
        <v>1.59</v>
      </c>
      <c r="N16" s="30">
        <v>0</v>
      </c>
      <c r="O16" s="30">
        <v>94.652755969993393</v>
      </c>
      <c r="P16" s="275"/>
      <c r="Q16" s="275"/>
      <c r="R16" s="275"/>
    </row>
    <row r="17" spans="1:33" x14ac:dyDescent="0.3">
      <c r="A17" s="264" t="s">
        <v>1011</v>
      </c>
      <c r="B17" s="74" t="s">
        <v>1012</v>
      </c>
      <c r="C17" s="74" t="s">
        <v>1010</v>
      </c>
      <c r="D17" s="74"/>
      <c r="G17" s="272" t="s">
        <v>89</v>
      </c>
      <c r="H17" s="268" t="s">
        <v>725</v>
      </c>
      <c r="I17" s="74">
        <v>28</v>
      </c>
      <c r="J17" s="268">
        <v>1.61</v>
      </c>
      <c r="K17" s="268">
        <v>0</v>
      </c>
      <c r="L17" s="268">
        <v>95.110662306929797</v>
      </c>
      <c r="M17" s="266">
        <v>1.62</v>
      </c>
      <c r="N17" s="266">
        <v>0</v>
      </c>
      <c r="O17" s="266">
        <v>95.168604795746603</v>
      </c>
      <c r="P17" s="274">
        <v>0.97922568460812098</v>
      </c>
      <c r="Q17" s="274">
        <v>4.1737488196411709E-2</v>
      </c>
      <c r="R17" s="274">
        <v>1.4353163361661946E-2</v>
      </c>
    </row>
    <row r="18" spans="1:33" x14ac:dyDescent="0.3">
      <c r="A18" s="264" t="s">
        <v>1013</v>
      </c>
      <c r="B18" s="74" t="s">
        <v>1014</v>
      </c>
      <c r="C18" s="74"/>
      <c r="D18" s="74"/>
      <c r="G18" s="273" t="s">
        <v>461</v>
      </c>
      <c r="H18" s="269" t="s">
        <v>725</v>
      </c>
      <c r="I18" s="74">
        <v>11</v>
      </c>
      <c r="J18" s="269">
        <v>1.86</v>
      </c>
      <c r="K18" s="269">
        <v>3.88</v>
      </c>
      <c r="L18" s="269">
        <v>93.282495738012898</v>
      </c>
      <c r="M18" s="269">
        <v>1.89</v>
      </c>
      <c r="N18" s="269">
        <v>3.99</v>
      </c>
      <c r="O18" s="269">
        <v>93.254091627530997</v>
      </c>
      <c r="P18" s="274">
        <v>0.82228517469310669</v>
      </c>
      <c r="Q18" s="274">
        <v>6.817752596789424E-2</v>
      </c>
      <c r="R18" s="274">
        <v>0.15882908404154863</v>
      </c>
    </row>
    <row r="19" spans="1:33" x14ac:dyDescent="0.3">
      <c r="A19" s="264" t="s">
        <v>1015</v>
      </c>
      <c r="B19" s="74">
        <v>2.11</v>
      </c>
      <c r="C19" s="74"/>
      <c r="D19" s="74"/>
      <c r="G19" s="273" t="s">
        <v>461</v>
      </c>
      <c r="H19" s="266" t="s">
        <v>792</v>
      </c>
      <c r="I19" s="74">
        <v>19</v>
      </c>
      <c r="J19" s="266">
        <v>1.37</v>
      </c>
      <c r="K19" s="266">
        <v>0</v>
      </c>
      <c r="L19" s="266">
        <v>95.276940413950996</v>
      </c>
      <c r="M19" s="266">
        <v>1.37</v>
      </c>
      <c r="N19" s="266">
        <v>0</v>
      </c>
      <c r="O19" s="266">
        <v>95.203309868554399</v>
      </c>
      <c r="P19" s="275"/>
      <c r="Q19" s="275"/>
      <c r="R19" s="275"/>
    </row>
    <row r="20" spans="1:33" x14ac:dyDescent="0.3">
      <c r="A20" s="264" t="s">
        <v>1016</v>
      </c>
      <c r="B20" s="74">
        <v>4.0999999999999996</v>
      </c>
      <c r="C20" s="74"/>
      <c r="D20" s="74" t="s">
        <v>1017</v>
      </c>
      <c r="G20" s="273" t="s">
        <v>461</v>
      </c>
      <c r="H20" s="266" t="s">
        <v>909</v>
      </c>
      <c r="I20" s="74">
        <v>19</v>
      </c>
      <c r="J20" s="266">
        <v>1.57</v>
      </c>
      <c r="K20" s="266">
        <v>2.2999999999999998</v>
      </c>
      <c r="L20" s="266">
        <v>93.7423055404102</v>
      </c>
      <c r="M20" s="266">
        <v>1.62</v>
      </c>
      <c r="N20" s="266">
        <v>2.96</v>
      </c>
      <c r="O20" s="266">
        <v>93.524430585932294</v>
      </c>
      <c r="P20" s="274">
        <v>0.91822474032105761</v>
      </c>
      <c r="Q20" s="274">
        <v>2.3040604343720492E-2</v>
      </c>
      <c r="R20" s="274">
        <v>6.4778092540132198E-2</v>
      </c>
    </row>
    <row r="21" spans="1:33" x14ac:dyDescent="0.3">
      <c r="A21" s="264" t="s">
        <v>1022</v>
      </c>
      <c r="B21" s="74" t="s">
        <v>1070</v>
      </c>
      <c r="C21" s="74"/>
      <c r="D21" s="74" t="s">
        <v>1023</v>
      </c>
      <c r="G21" s="273" t="s">
        <v>461</v>
      </c>
      <c r="H21" s="266" t="s">
        <v>792</v>
      </c>
      <c r="I21" s="74">
        <v>28</v>
      </c>
      <c r="J21" s="266">
        <v>1.34</v>
      </c>
      <c r="K21" s="266">
        <v>0</v>
      </c>
      <c r="L21" s="266">
        <v>95.919775359925595</v>
      </c>
      <c r="M21" s="266">
        <v>1.32</v>
      </c>
      <c r="N21" s="266">
        <v>0</v>
      </c>
      <c r="O21" s="266">
        <v>95.474299903412202</v>
      </c>
      <c r="P21" s="274">
        <v>0.95014164305949012</v>
      </c>
      <c r="Q21" s="274">
        <v>1.3031161473087818E-2</v>
      </c>
      <c r="R21" s="274">
        <v>3.6638338054768647E-2</v>
      </c>
    </row>
    <row r="22" spans="1:33" x14ac:dyDescent="0.3">
      <c r="A22" s="264" t="s">
        <v>101</v>
      </c>
      <c r="B22" s="74" t="s">
        <v>1071</v>
      </c>
      <c r="C22" s="74"/>
      <c r="D22" s="74" t="s">
        <v>1025</v>
      </c>
      <c r="G22" s="273" t="s">
        <v>461</v>
      </c>
      <c r="H22" s="267" t="s">
        <v>909</v>
      </c>
      <c r="I22" s="74">
        <v>28</v>
      </c>
      <c r="J22" s="266">
        <v>1.5</v>
      </c>
      <c r="K22" s="266">
        <v>3.21</v>
      </c>
      <c r="L22" s="266">
        <v>93.393401881370494</v>
      </c>
      <c r="M22" s="266">
        <v>1.49</v>
      </c>
      <c r="N22" s="266">
        <v>3.11</v>
      </c>
      <c r="O22" s="266">
        <v>93.423653810758097</v>
      </c>
      <c r="P22" s="275"/>
      <c r="Q22" s="275"/>
      <c r="R22" s="275"/>
    </row>
    <row r="23" spans="1:33" x14ac:dyDescent="0.3">
      <c r="G23" s="273" t="s">
        <v>384</v>
      </c>
      <c r="H23" s="269" t="s">
        <v>725</v>
      </c>
      <c r="I23" s="74">
        <v>11</v>
      </c>
      <c r="J23" s="269">
        <v>1.72</v>
      </c>
      <c r="K23" s="269">
        <v>1.19</v>
      </c>
      <c r="L23" s="269">
        <v>94.190014781996496</v>
      </c>
      <c r="M23" s="269">
        <v>1.75</v>
      </c>
      <c r="N23" s="269">
        <v>1.53</v>
      </c>
      <c r="O23" s="269">
        <v>94.076564750160003</v>
      </c>
      <c r="P23" s="274">
        <v>0.69801699716713883</v>
      </c>
      <c r="Q23" s="274">
        <v>2.2096317280453259E-2</v>
      </c>
      <c r="R23" s="274">
        <v>0.28234183191690276</v>
      </c>
    </row>
    <row r="24" spans="1:33" x14ac:dyDescent="0.3">
      <c r="G24" s="273" t="s">
        <v>384</v>
      </c>
      <c r="H24" s="269" t="s">
        <v>725</v>
      </c>
      <c r="I24" s="74">
        <v>19</v>
      </c>
      <c r="J24" s="269">
        <v>1.84</v>
      </c>
      <c r="K24" s="269">
        <v>1.32</v>
      </c>
      <c r="L24" s="269">
        <v>94.183552273523901</v>
      </c>
      <c r="M24" s="269">
        <v>1.82</v>
      </c>
      <c r="N24" s="269">
        <v>1.73</v>
      </c>
      <c r="O24" s="269">
        <v>94.032694291782505</v>
      </c>
      <c r="P24" s="276">
        <v>0.70399999999999996</v>
      </c>
      <c r="Q24" s="276">
        <v>2.1999999999999999E-2</v>
      </c>
      <c r="R24" s="276">
        <v>0.27700000000000002</v>
      </c>
    </row>
    <row r="25" spans="1:33" x14ac:dyDescent="0.3">
      <c r="G25" s="273" t="s">
        <v>384</v>
      </c>
      <c r="H25" s="269" t="s">
        <v>725</v>
      </c>
      <c r="I25" s="74">
        <v>28</v>
      </c>
      <c r="J25" s="269"/>
      <c r="K25" s="269"/>
      <c r="L25" s="269"/>
      <c r="M25" s="269">
        <v>1.86</v>
      </c>
      <c r="N25" s="269">
        <v>0.92</v>
      </c>
      <c r="O25" s="269">
        <v>94.333524239858903</v>
      </c>
      <c r="P25" s="274">
        <v>0.72399999999999998</v>
      </c>
      <c r="Q25" s="274">
        <v>2.8000000000000001E-2</v>
      </c>
      <c r="R25" s="274">
        <v>0.25600000000000001</v>
      </c>
    </row>
    <row r="26" spans="1:33" x14ac:dyDescent="0.3">
      <c r="G26" s="273" t="s">
        <v>94</v>
      </c>
      <c r="H26" s="269" t="s">
        <v>792</v>
      </c>
      <c r="I26" s="74">
        <v>11</v>
      </c>
      <c r="J26" s="269"/>
      <c r="K26" s="269"/>
      <c r="L26" s="269"/>
      <c r="M26" s="269">
        <v>1.51</v>
      </c>
      <c r="N26" s="269">
        <v>0</v>
      </c>
      <c r="O26" s="269">
        <v>95.550034200166706</v>
      </c>
      <c r="P26" s="274">
        <v>0.85571293673276672</v>
      </c>
      <c r="Q26" s="274">
        <v>0.18866855524079321</v>
      </c>
      <c r="R26" s="274">
        <v>0.11312559017941454</v>
      </c>
      <c r="V26" t="s">
        <v>378</v>
      </c>
      <c r="W26">
        <v>5295</v>
      </c>
      <c r="X26" s="349" t="s">
        <v>477</v>
      </c>
      <c r="Y26" s="350"/>
      <c r="Z26" s="350"/>
      <c r="AA26" s="350"/>
      <c r="AB26" s="350"/>
      <c r="AC26" s="350"/>
      <c r="AD26" s="350"/>
      <c r="AE26" s="350"/>
      <c r="AF26" s="350"/>
      <c r="AG26" s="351"/>
    </row>
    <row r="27" spans="1:33" x14ac:dyDescent="0.3">
      <c r="G27" s="273" t="s">
        <v>94</v>
      </c>
      <c r="H27" s="269" t="s">
        <v>909</v>
      </c>
      <c r="I27" s="74">
        <v>11</v>
      </c>
      <c r="J27" s="269"/>
      <c r="K27" s="269"/>
      <c r="L27" s="269"/>
      <c r="M27" s="269">
        <v>1.51</v>
      </c>
      <c r="N27" s="269">
        <v>0</v>
      </c>
      <c r="O27" s="269">
        <v>95.213271972301499</v>
      </c>
      <c r="P27" s="274">
        <v>0.9053824362606232</v>
      </c>
      <c r="Q27" s="274">
        <v>0.3036827195467422</v>
      </c>
      <c r="R27" s="274">
        <v>7.5542965061378656E-2</v>
      </c>
      <c r="V27" t="s">
        <v>377</v>
      </c>
      <c r="W27" t="s">
        <v>302</v>
      </c>
      <c r="X27" s="347" t="s">
        <v>475</v>
      </c>
      <c r="Y27" s="352"/>
      <c r="Z27" s="352" t="s">
        <v>462</v>
      </c>
      <c r="AA27" s="352"/>
      <c r="AB27" s="352" t="s">
        <v>79</v>
      </c>
      <c r="AC27" s="352"/>
      <c r="AD27" s="352" t="s">
        <v>480</v>
      </c>
      <c r="AE27" s="352"/>
      <c r="AF27" s="352" t="s">
        <v>481</v>
      </c>
      <c r="AG27" s="353"/>
    </row>
    <row r="28" spans="1:33" x14ac:dyDescent="0.3">
      <c r="G28" s="270" t="s">
        <v>93</v>
      </c>
      <c r="H28" s="266" t="s">
        <v>725</v>
      </c>
      <c r="I28" s="74">
        <v>11</v>
      </c>
      <c r="J28" s="266">
        <v>1.5</v>
      </c>
      <c r="K28" s="266">
        <v>0</v>
      </c>
      <c r="L28" s="266">
        <v>94.955770835370998</v>
      </c>
      <c r="M28" s="269">
        <v>1.49</v>
      </c>
      <c r="N28" s="269">
        <v>0</v>
      </c>
      <c r="O28" s="269">
        <v>95.101588610019405</v>
      </c>
      <c r="P28" s="274">
        <v>0.952407932011331</v>
      </c>
      <c r="Q28" s="274">
        <v>0.1068932955618508</v>
      </c>
      <c r="R28" s="274">
        <v>3.7204910292728988E-2</v>
      </c>
      <c r="V28" t="s">
        <v>372</v>
      </c>
      <c r="X28" s="28">
        <v>4802</v>
      </c>
      <c r="Y28" s="83">
        <v>0.90689329556185083</v>
      </c>
      <c r="Z28" s="76">
        <v>2014</v>
      </c>
      <c r="AA28" s="83">
        <v>0.38035882908404156</v>
      </c>
      <c r="AB28" s="76">
        <v>2788</v>
      </c>
      <c r="AC28" s="83">
        <v>0.52653446647780922</v>
      </c>
      <c r="AD28" s="76">
        <v>115</v>
      </c>
      <c r="AE28" s="83">
        <v>2.1718602455146365E-2</v>
      </c>
      <c r="AF28" s="76">
        <v>378</v>
      </c>
      <c r="AG28" s="84">
        <v>7.1388101983002827E-2</v>
      </c>
    </row>
    <row r="29" spans="1:33" x14ac:dyDescent="0.3">
      <c r="G29" s="270" t="s">
        <v>93</v>
      </c>
      <c r="H29" s="266" t="s">
        <v>725</v>
      </c>
      <c r="I29" s="74">
        <v>19</v>
      </c>
      <c r="J29" s="266">
        <v>1.53</v>
      </c>
      <c r="K29" s="266">
        <v>0</v>
      </c>
      <c r="L29" s="266">
        <v>95.236271895098696</v>
      </c>
      <c r="M29" s="269">
        <v>1.52</v>
      </c>
      <c r="N29" s="269">
        <v>0</v>
      </c>
      <c r="O29" s="269">
        <v>94.928690860849301</v>
      </c>
      <c r="P29" s="274">
        <v>0.97544853635505191</v>
      </c>
      <c r="Q29" s="274">
        <v>0.11388101983002832</v>
      </c>
      <c r="R29" s="274">
        <v>1.7186024551463643E-2</v>
      </c>
      <c r="V29" t="s">
        <v>90</v>
      </c>
      <c r="W29" t="s">
        <v>259</v>
      </c>
      <c r="X29" s="28">
        <v>4373</v>
      </c>
      <c r="Y29" s="83">
        <v>0.82587346553352214</v>
      </c>
      <c r="Z29" s="76">
        <v>3730</v>
      </c>
      <c r="AA29" s="83">
        <v>0.70443814919735603</v>
      </c>
      <c r="AB29" s="76">
        <v>643</v>
      </c>
      <c r="AC29" s="83">
        <v>0.12143531633616619</v>
      </c>
      <c r="AD29" s="76">
        <v>290</v>
      </c>
      <c r="AE29" s="83">
        <v>5.4768649669499528E-2</v>
      </c>
      <c r="AF29" s="76">
        <v>632</v>
      </c>
      <c r="AG29" s="84">
        <v>0.11935788479697829</v>
      </c>
    </row>
    <row r="30" spans="1:33" x14ac:dyDescent="0.3">
      <c r="G30" s="270" t="s">
        <v>93</v>
      </c>
      <c r="H30" s="266" t="s">
        <v>725</v>
      </c>
      <c r="I30" s="74">
        <v>28</v>
      </c>
      <c r="J30" s="266">
        <v>1.53</v>
      </c>
      <c r="K30" s="266">
        <v>0</v>
      </c>
      <c r="L30" s="266">
        <v>95.121669239320894</v>
      </c>
      <c r="M30" s="266">
        <v>1.51</v>
      </c>
      <c r="N30" s="266">
        <v>0</v>
      </c>
      <c r="O30" s="266">
        <v>95.301035415677006</v>
      </c>
      <c r="P30" s="274">
        <v>0.97828139754485399</v>
      </c>
      <c r="Q30" s="274">
        <v>0.13068932955618509</v>
      </c>
      <c r="R30" s="274">
        <v>1.4730878186968839E-2</v>
      </c>
      <c r="V30" t="s">
        <v>90</v>
      </c>
      <c r="W30" t="s">
        <v>379</v>
      </c>
      <c r="X30" s="28">
        <v>4989</v>
      </c>
      <c r="Y30" s="83">
        <v>0.94220963172804528</v>
      </c>
      <c r="Z30" s="76">
        <v>4438</v>
      </c>
      <c r="AA30" s="83">
        <v>0.83814919735599624</v>
      </c>
      <c r="AB30" s="76">
        <v>551</v>
      </c>
      <c r="AC30" s="83">
        <v>0.10406043437204911</v>
      </c>
      <c r="AD30" s="76">
        <v>90</v>
      </c>
      <c r="AE30" s="83">
        <v>1.69971671388102E-2</v>
      </c>
      <c r="AF30" s="76">
        <v>216</v>
      </c>
      <c r="AG30" s="84">
        <v>4.0793201133144476E-2</v>
      </c>
    </row>
    <row r="31" spans="1:33" x14ac:dyDescent="0.3">
      <c r="G31" s="273" t="s">
        <v>92</v>
      </c>
      <c r="H31" s="269" t="s">
        <v>725</v>
      </c>
      <c r="I31" s="74">
        <v>11</v>
      </c>
      <c r="J31" s="269">
        <v>0.86</v>
      </c>
      <c r="K31" s="269">
        <v>6.07</v>
      </c>
      <c r="L31" s="269">
        <v>92.146716780657599</v>
      </c>
      <c r="M31" s="269">
        <v>0.87</v>
      </c>
      <c r="N31" s="269">
        <v>6.46</v>
      </c>
      <c r="O31" s="269">
        <v>92.015024095701705</v>
      </c>
      <c r="P31" s="274">
        <v>0.70047214353163356</v>
      </c>
      <c r="Q31" s="274">
        <v>3.0217186024551462E-3</v>
      </c>
      <c r="R31" s="274">
        <v>0.26156751652502358</v>
      </c>
      <c r="V31" t="s">
        <v>89</v>
      </c>
      <c r="W31" t="s">
        <v>380</v>
      </c>
      <c r="X31" s="28">
        <v>4792</v>
      </c>
      <c r="Y31" s="83">
        <v>0.90500472143531629</v>
      </c>
      <c r="Z31" s="76">
        <v>4178</v>
      </c>
      <c r="AA31" s="83">
        <v>0.78904627006610006</v>
      </c>
      <c r="AB31" s="76">
        <v>614</v>
      </c>
      <c r="AC31" s="83">
        <v>0.11595845136921624</v>
      </c>
      <c r="AD31" s="76">
        <v>95</v>
      </c>
      <c r="AE31" s="83">
        <v>1.794145420207743E-2</v>
      </c>
      <c r="AF31" s="76">
        <v>408</v>
      </c>
      <c r="AG31" s="84">
        <v>7.705382436260623E-2</v>
      </c>
    </row>
    <row r="32" spans="1:33" x14ac:dyDescent="0.3">
      <c r="G32" s="273" t="s">
        <v>92</v>
      </c>
      <c r="H32" s="269" t="s">
        <v>725</v>
      </c>
      <c r="I32" s="74">
        <v>19</v>
      </c>
      <c r="J32" s="269">
        <v>0.9</v>
      </c>
      <c r="K32" s="269">
        <v>6.53</v>
      </c>
      <c r="L32" s="269">
        <v>91.558285858199596</v>
      </c>
      <c r="M32" s="269">
        <v>0.93</v>
      </c>
      <c r="N32" s="269">
        <v>6.56</v>
      </c>
      <c r="O32" s="269">
        <v>91.665862509001499</v>
      </c>
      <c r="P32" s="274">
        <v>0.83078375826251183</v>
      </c>
      <c r="Q32" s="274">
        <v>8.687440982058545E-3</v>
      </c>
      <c r="R32" s="274">
        <v>0.13446647780925403</v>
      </c>
      <c r="V32" t="s">
        <v>89</v>
      </c>
      <c r="W32" t="s">
        <v>381</v>
      </c>
      <c r="X32" s="28">
        <v>3545</v>
      </c>
      <c r="Y32" s="83">
        <v>0.66949952785646838</v>
      </c>
      <c r="Z32" s="76">
        <v>3512</v>
      </c>
      <c r="AA32" s="83">
        <v>0.66326723323890457</v>
      </c>
      <c r="AB32" s="76">
        <v>33</v>
      </c>
      <c r="AC32" s="83">
        <v>6.2322946175637391E-3</v>
      </c>
      <c r="AD32" s="76">
        <v>89</v>
      </c>
      <c r="AE32" s="83">
        <v>1.6808309726156753E-2</v>
      </c>
      <c r="AF32" s="76">
        <v>1661</v>
      </c>
      <c r="AG32" s="84">
        <v>0.31369216241737491</v>
      </c>
    </row>
    <row r="33" spans="7:33" x14ac:dyDescent="0.3">
      <c r="G33" s="273" t="s">
        <v>92</v>
      </c>
      <c r="H33" s="269" t="s">
        <v>725</v>
      </c>
      <c r="I33" s="74">
        <v>28</v>
      </c>
      <c r="J33" s="269">
        <v>0.99</v>
      </c>
      <c r="K33" s="269">
        <v>6.62</v>
      </c>
      <c r="L33" s="269">
        <v>91.718501932134998</v>
      </c>
      <c r="M33" s="269">
        <v>1.01</v>
      </c>
      <c r="N33" s="269">
        <v>4.41</v>
      </c>
      <c r="O33" s="269">
        <v>92.791881696159294</v>
      </c>
      <c r="P33" s="274">
        <v>0.85533522190745992</v>
      </c>
      <c r="Q33" s="274">
        <v>1.0009442870632672E-2</v>
      </c>
      <c r="R33" s="274">
        <v>0.11274787535410764</v>
      </c>
      <c r="V33" t="s">
        <v>89</v>
      </c>
      <c r="W33" t="s">
        <v>382</v>
      </c>
      <c r="X33" s="28">
        <v>4881</v>
      </c>
      <c r="Y33" s="83">
        <v>0.92181303116147306</v>
      </c>
      <c r="Z33" s="76">
        <v>4249</v>
      </c>
      <c r="AA33" s="83">
        <v>0.80245514636449478</v>
      </c>
      <c r="AB33" s="76">
        <v>632</v>
      </c>
      <c r="AC33" s="83">
        <v>0.11935788479697829</v>
      </c>
      <c r="AD33" s="76">
        <v>79</v>
      </c>
      <c r="AE33" s="83">
        <v>1.4919735599622286E-2</v>
      </c>
      <c r="AF33" s="76">
        <v>335</v>
      </c>
      <c r="AG33" s="84">
        <v>6.3267233238904624E-2</v>
      </c>
    </row>
    <row r="34" spans="7:33" x14ac:dyDescent="0.3">
      <c r="G34" s="273" t="s">
        <v>940</v>
      </c>
      <c r="H34" s="74"/>
      <c r="I34" s="74"/>
      <c r="J34" s="269">
        <v>15.95</v>
      </c>
      <c r="K34" s="269">
        <v>17.309999999999999</v>
      </c>
      <c r="L34" s="269"/>
      <c r="M34" s="269">
        <v>16.16</v>
      </c>
      <c r="N34" s="269">
        <v>17.59</v>
      </c>
      <c r="O34" s="271"/>
      <c r="V34" t="s">
        <v>89</v>
      </c>
      <c r="W34" t="s">
        <v>383</v>
      </c>
      <c r="X34" s="28">
        <v>4899</v>
      </c>
      <c r="Y34" s="83">
        <v>0.92521246458923512</v>
      </c>
      <c r="Z34" s="76">
        <v>4379</v>
      </c>
      <c r="AA34" s="83">
        <v>0.82700661000944287</v>
      </c>
      <c r="AB34" s="76">
        <v>520</v>
      </c>
      <c r="AC34" s="83">
        <v>9.8205854579792251E-2</v>
      </c>
      <c r="AD34" s="76">
        <v>78</v>
      </c>
      <c r="AE34" s="83">
        <v>1.4730878186968839E-2</v>
      </c>
      <c r="AF34" s="76">
        <v>318</v>
      </c>
      <c r="AG34" s="84">
        <v>6.0056657223796037E-2</v>
      </c>
    </row>
    <row r="35" spans="7:33" x14ac:dyDescent="0.3">
      <c r="V35" t="s">
        <v>308</v>
      </c>
      <c r="X35" s="28">
        <v>3382</v>
      </c>
      <c r="Y35" s="83">
        <v>0.63871576959395659</v>
      </c>
      <c r="Z35" s="76">
        <v>3308</v>
      </c>
      <c r="AA35" s="83">
        <v>0.62474032105760147</v>
      </c>
      <c r="AB35" s="76">
        <v>74</v>
      </c>
      <c r="AC35" s="83">
        <v>1.3975448536355052E-2</v>
      </c>
      <c r="AD35" s="76">
        <v>141</v>
      </c>
      <c r="AE35" s="83">
        <v>2.6628895184135977E-2</v>
      </c>
      <c r="AF35" s="76">
        <v>1772</v>
      </c>
      <c r="AG35" s="84">
        <v>0.33465533522190744</v>
      </c>
    </row>
    <row r="36" spans="7:33" x14ac:dyDescent="0.3">
      <c r="V36" t="s">
        <v>384</v>
      </c>
      <c r="X36" s="28">
        <v>3696</v>
      </c>
      <c r="Y36" s="83">
        <v>0.69801699716713883</v>
      </c>
      <c r="Z36" s="76">
        <v>3579</v>
      </c>
      <c r="AA36" s="83">
        <v>0.67592067988668558</v>
      </c>
      <c r="AB36" s="76">
        <v>117</v>
      </c>
      <c r="AC36" s="83">
        <v>2.2096317280453259E-2</v>
      </c>
      <c r="AD36" s="76">
        <v>104</v>
      </c>
      <c r="AE36" s="83">
        <v>1.9641170915958451E-2</v>
      </c>
      <c r="AF36" s="76">
        <v>1495</v>
      </c>
      <c r="AG36" s="84">
        <v>0.28234183191690276</v>
      </c>
    </row>
    <row r="37" spans="7:33" x14ac:dyDescent="0.3">
      <c r="V37" t="s">
        <v>385</v>
      </c>
      <c r="W37" t="s">
        <v>386</v>
      </c>
      <c r="X37" s="28">
        <v>4531</v>
      </c>
      <c r="Y37" s="83">
        <v>0.85571293673276672</v>
      </c>
      <c r="Z37" s="76">
        <v>3532</v>
      </c>
      <c r="AA37" s="83">
        <v>0.66704438149197354</v>
      </c>
      <c r="AB37" s="76">
        <v>999</v>
      </c>
      <c r="AC37" s="83">
        <v>0.18866855524079321</v>
      </c>
      <c r="AD37" s="76">
        <v>165</v>
      </c>
      <c r="AE37" s="83">
        <v>3.1161473087818695E-2</v>
      </c>
      <c r="AF37" s="76">
        <v>599</v>
      </c>
      <c r="AG37" s="84">
        <v>0.11312559017941454</v>
      </c>
    </row>
    <row r="38" spans="7:33" x14ac:dyDescent="0.3">
      <c r="V38" t="s">
        <v>385</v>
      </c>
      <c r="W38" t="s">
        <v>387</v>
      </c>
      <c r="X38" s="28">
        <v>4794</v>
      </c>
      <c r="Y38" s="83">
        <v>0.9053824362606232</v>
      </c>
      <c r="Z38" s="76">
        <v>3186</v>
      </c>
      <c r="AA38" s="83">
        <v>0.60169971671388101</v>
      </c>
      <c r="AB38" s="76">
        <v>1608</v>
      </c>
      <c r="AC38" s="83">
        <v>0.3036827195467422</v>
      </c>
      <c r="AD38" s="76">
        <v>101</v>
      </c>
      <c r="AE38" s="83">
        <v>1.9074598677998111E-2</v>
      </c>
      <c r="AF38" s="76">
        <v>400</v>
      </c>
      <c r="AG38" s="84">
        <v>7.5542965061378656E-2</v>
      </c>
    </row>
    <row r="39" spans="7:33" x14ac:dyDescent="0.3">
      <c r="V39" t="s">
        <v>94</v>
      </c>
      <c r="W39" t="s">
        <v>388</v>
      </c>
      <c r="X39" s="28">
        <v>4425</v>
      </c>
      <c r="Y39" s="83">
        <v>0.8356940509915014</v>
      </c>
      <c r="Z39" s="76">
        <v>2857</v>
      </c>
      <c r="AA39" s="83">
        <v>0.53956562795089702</v>
      </c>
      <c r="AB39" s="76">
        <v>1568</v>
      </c>
      <c r="AC39" s="83">
        <v>0.29612842304060433</v>
      </c>
      <c r="AD39" s="76">
        <v>215</v>
      </c>
      <c r="AE39" s="83">
        <v>4.0604343720491029E-2</v>
      </c>
      <c r="AF39" s="76">
        <v>655</v>
      </c>
      <c r="AG39" s="84">
        <v>0.12370160528800755</v>
      </c>
    </row>
    <row r="40" spans="7:33" x14ac:dyDescent="0.3">
      <c r="V40" t="s">
        <v>94</v>
      </c>
      <c r="W40" t="s">
        <v>389</v>
      </c>
      <c r="X40" s="28">
        <v>4425</v>
      </c>
      <c r="Y40" s="83">
        <v>0.8356940509915014</v>
      </c>
      <c r="Z40" s="76">
        <v>2857</v>
      </c>
      <c r="AA40" s="83">
        <v>0.53956562795089702</v>
      </c>
      <c r="AB40" s="76">
        <v>1568</v>
      </c>
      <c r="AC40" s="83">
        <v>0.29612842304060433</v>
      </c>
      <c r="AD40" s="76">
        <v>215</v>
      </c>
      <c r="AE40" s="83">
        <v>4.0604343720491029E-2</v>
      </c>
      <c r="AF40" s="76">
        <v>655</v>
      </c>
      <c r="AG40" s="84">
        <v>0.12370160528800755</v>
      </c>
    </row>
    <row r="41" spans="7:33" x14ac:dyDescent="0.3">
      <c r="V41" t="s">
        <v>91</v>
      </c>
      <c r="W41" t="s">
        <v>390</v>
      </c>
      <c r="X41" s="28">
        <v>3577</v>
      </c>
      <c r="Y41" s="83">
        <v>0.67554296506137868</v>
      </c>
      <c r="Z41" s="76">
        <v>3459</v>
      </c>
      <c r="AA41" s="83">
        <v>0.65325779036827192</v>
      </c>
      <c r="AB41" s="76">
        <v>118</v>
      </c>
      <c r="AC41" s="83">
        <v>2.2285174693106705E-2</v>
      </c>
      <c r="AD41" s="76">
        <v>110</v>
      </c>
      <c r="AE41" s="83">
        <v>2.0774315391879131E-2</v>
      </c>
      <c r="AF41" s="76">
        <v>1608</v>
      </c>
      <c r="AG41" s="84">
        <v>0.3036827195467422</v>
      </c>
    </row>
    <row r="42" spans="7:33" x14ac:dyDescent="0.3">
      <c r="V42" t="s">
        <v>91</v>
      </c>
      <c r="W42" t="s">
        <v>391</v>
      </c>
      <c r="X42" s="28">
        <v>3455</v>
      </c>
      <c r="Y42" s="83">
        <v>0.65250236071765821</v>
      </c>
      <c r="Z42" s="76">
        <v>3342</v>
      </c>
      <c r="AA42" s="83">
        <v>0.63116147308781867</v>
      </c>
      <c r="AB42" s="76">
        <v>113</v>
      </c>
      <c r="AC42" s="83">
        <v>2.1340887629839472E-2</v>
      </c>
      <c r="AD42" s="76">
        <v>120</v>
      </c>
      <c r="AE42" s="83">
        <v>2.2662889518413599E-2</v>
      </c>
      <c r="AF42" s="76">
        <v>1720</v>
      </c>
      <c r="AG42" s="84">
        <v>0.32483474976392823</v>
      </c>
    </row>
    <row r="43" spans="7:33" x14ac:dyDescent="0.3">
      <c r="V43" t="s">
        <v>91</v>
      </c>
      <c r="W43" t="s">
        <v>392</v>
      </c>
      <c r="X43" s="28">
        <v>4300</v>
      </c>
      <c r="Y43" s="83">
        <v>0.81208687440982064</v>
      </c>
      <c r="Z43" s="76">
        <v>4235</v>
      </c>
      <c r="AA43" s="83">
        <v>0.79981114258734654</v>
      </c>
      <c r="AB43" s="76">
        <v>65</v>
      </c>
      <c r="AC43" s="83">
        <v>1.2275731822474031E-2</v>
      </c>
      <c r="AD43" s="76">
        <v>96</v>
      </c>
      <c r="AE43" s="83">
        <v>1.8130311614730877E-2</v>
      </c>
      <c r="AF43" s="76">
        <v>899</v>
      </c>
      <c r="AG43" s="84">
        <v>0.16978281397544853</v>
      </c>
    </row>
    <row r="44" spans="7:33" x14ac:dyDescent="0.3">
      <c r="V44" t="s">
        <v>91</v>
      </c>
      <c r="W44" t="s">
        <v>393</v>
      </c>
      <c r="X44" s="28">
        <v>4149</v>
      </c>
      <c r="Y44" s="83">
        <v>0.78356940509915018</v>
      </c>
      <c r="Z44" s="76">
        <v>4080</v>
      </c>
      <c r="AA44" s="83">
        <v>0.77053824362606227</v>
      </c>
      <c r="AB44" s="76">
        <v>69</v>
      </c>
      <c r="AC44" s="83">
        <v>1.3031161473087818E-2</v>
      </c>
      <c r="AD44" s="76">
        <v>189</v>
      </c>
      <c r="AE44" s="83">
        <v>3.5694050991501414E-2</v>
      </c>
      <c r="AF44" s="76">
        <v>957</v>
      </c>
      <c r="AG44" s="84">
        <v>0.18073654390934843</v>
      </c>
    </row>
    <row r="45" spans="7:33" x14ac:dyDescent="0.3">
      <c r="V45" t="s">
        <v>91</v>
      </c>
      <c r="W45" t="s">
        <v>394</v>
      </c>
      <c r="X45" s="28">
        <v>4354</v>
      </c>
      <c r="Y45" s="83">
        <v>0.82228517469310669</v>
      </c>
      <c r="Z45" s="76">
        <v>3993</v>
      </c>
      <c r="AA45" s="83">
        <v>0.75410764872521241</v>
      </c>
      <c r="AB45" s="76">
        <v>361</v>
      </c>
      <c r="AC45" s="83">
        <v>6.817752596789424E-2</v>
      </c>
      <c r="AD45" s="76">
        <v>100</v>
      </c>
      <c r="AE45" s="83">
        <v>1.8885741265344664E-2</v>
      </c>
      <c r="AF45" s="76">
        <v>841</v>
      </c>
      <c r="AG45" s="84">
        <v>0.15882908404154863</v>
      </c>
    </row>
    <row r="46" spans="7:33" x14ac:dyDescent="0.3">
      <c r="V46" t="s">
        <v>91</v>
      </c>
      <c r="W46" t="s">
        <v>395</v>
      </c>
      <c r="X46" s="28">
        <v>4264</v>
      </c>
      <c r="Y46" s="83">
        <v>0.80528800755429653</v>
      </c>
      <c r="Z46" s="76">
        <v>3900</v>
      </c>
      <c r="AA46" s="83">
        <v>0.73654390934844194</v>
      </c>
      <c r="AB46" s="76">
        <v>364</v>
      </c>
      <c r="AC46" s="83">
        <v>6.8744098205854573E-2</v>
      </c>
      <c r="AD46" s="76">
        <v>197</v>
      </c>
      <c r="AE46" s="83">
        <v>3.7204910292728988E-2</v>
      </c>
      <c r="AF46" s="76">
        <v>834</v>
      </c>
      <c r="AG46" s="84">
        <v>0.15750708215297451</v>
      </c>
    </row>
    <row r="47" spans="7:33" x14ac:dyDescent="0.3">
      <c r="V47" t="s">
        <v>93</v>
      </c>
      <c r="X47" s="28">
        <v>5043</v>
      </c>
      <c r="Y47" s="83">
        <v>0.95240793201133145</v>
      </c>
      <c r="Z47" s="76">
        <v>4477</v>
      </c>
      <c r="AA47" s="83">
        <v>0.84551463644948066</v>
      </c>
      <c r="AB47" s="76">
        <v>566</v>
      </c>
      <c r="AC47" s="83">
        <v>0.1068932955618508</v>
      </c>
      <c r="AD47" s="76">
        <v>55</v>
      </c>
      <c r="AE47" s="83">
        <v>1.0387157695939566E-2</v>
      </c>
      <c r="AF47" s="76">
        <v>197</v>
      </c>
      <c r="AG47" s="84">
        <v>3.7204910292728988E-2</v>
      </c>
    </row>
    <row r="48" spans="7:33" x14ac:dyDescent="0.3">
      <c r="V48" t="s">
        <v>92</v>
      </c>
      <c r="X48" s="20">
        <v>3709</v>
      </c>
      <c r="Y48" s="85">
        <v>0.70047214353163356</v>
      </c>
      <c r="Z48" s="18">
        <v>3693</v>
      </c>
      <c r="AA48" s="85">
        <v>0.69745042492917853</v>
      </c>
      <c r="AB48" s="18">
        <v>16</v>
      </c>
      <c r="AC48" s="85">
        <v>3.0217186024551462E-3</v>
      </c>
      <c r="AD48" s="18">
        <v>201</v>
      </c>
      <c r="AE48" s="85">
        <v>3.7960339943342775E-2</v>
      </c>
      <c r="AF48" s="18">
        <v>1385</v>
      </c>
      <c r="AG48" s="86">
        <v>0.26156751652502358</v>
      </c>
    </row>
  </sheetData>
  <mergeCells count="12">
    <mergeCell ref="AE4:AI4"/>
    <mergeCell ref="X26:AG26"/>
    <mergeCell ref="X27:Y27"/>
    <mergeCell ref="Z27:AA27"/>
    <mergeCell ref="AB27:AC27"/>
    <mergeCell ref="AD27:AE27"/>
    <mergeCell ref="AF27:AG27"/>
    <mergeCell ref="B1:C1"/>
    <mergeCell ref="U4:Y4"/>
    <mergeCell ref="Z4:AD4"/>
    <mergeCell ref="M1:O1"/>
    <mergeCell ref="J1:L1"/>
  </mergeCells>
  <conditionalFormatting sqref="U6:U14 Z6:Z14 AE6:AE14">
    <cfRule type="colorScale" priority="79">
      <colorScale>
        <cfvo type="min"/>
        <cfvo type="max"/>
        <color rgb="FFFF0000"/>
        <color rgb="FF00B050"/>
      </colorScale>
    </cfRule>
  </conditionalFormatting>
  <conditionalFormatting sqref="V6:V14 AA6:AA14 AF6:AF14">
    <cfRule type="colorScale" priority="80">
      <colorScale>
        <cfvo type="min"/>
        <cfvo type="max"/>
        <color rgb="FFFF0000"/>
        <color rgb="FF00B050"/>
      </colorScale>
    </cfRule>
  </conditionalFormatting>
  <conditionalFormatting sqref="W6:W14 AB6:AB14 AG6:AG14">
    <cfRule type="colorScale" priority="81">
      <colorScale>
        <cfvo type="min"/>
        <cfvo type="max"/>
        <color rgb="FF00B050"/>
        <color rgb="FFFF0000"/>
      </colorScale>
    </cfRule>
  </conditionalFormatting>
  <conditionalFormatting sqref="X6:X14 AC6:AC14 AH6:AH14">
    <cfRule type="colorScale" priority="82">
      <colorScale>
        <cfvo type="min"/>
        <cfvo type="max"/>
        <color rgb="FF00B050"/>
        <color rgb="FFFF0000"/>
      </colorScale>
    </cfRule>
  </conditionalFormatting>
  <conditionalFormatting sqref="Y6:Y14 AD6:AD14 AI6:AI14">
    <cfRule type="colorScale" priority="83">
      <colorScale>
        <cfvo type="min"/>
        <cfvo type="max"/>
        <color rgb="FF00B050"/>
        <color rgb="FFFF0000"/>
      </colorScale>
    </cfRule>
  </conditionalFormatting>
  <conditionalFormatting sqref="Y28:Y48">
    <cfRule type="colorScale" priority="39">
      <colorScale>
        <cfvo type="min"/>
        <cfvo type="max"/>
        <color rgb="FFFF0000"/>
        <color rgb="FF00B050"/>
      </colorScale>
    </cfRule>
  </conditionalFormatting>
  <conditionalFormatting sqref="AE28:AE48">
    <cfRule type="colorScale" priority="38">
      <colorScale>
        <cfvo type="min"/>
        <cfvo type="max"/>
        <color rgb="FF00B050"/>
        <color rgb="FFFF0000"/>
      </colorScale>
    </cfRule>
  </conditionalFormatting>
  <conditionalFormatting sqref="AG28:AG48">
    <cfRule type="colorScale" priority="37">
      <colorScale>
        <cfvo type="min"/>
        <cfvo type="max"/>
        <color rgb="FF00B050"/>
        <color rgb="FFFF0000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B5AA191B418D48AC93E36424353C6D" ma:contentTypeVersion="14" ma:contentTypeDescription="Create a new document." ma:contentTypeScope="" ma:versionID="00d125d5605f1c84935c86c77fcd2730">
  <xsd:schema xmlns:xsd="http://www.w3.org/2001/XMLSchema" xmlns:xs="http://www.w3.org/2001/XMLSchema" xmlns:p="http://schemas.microsoft.com/office/2006/metadata/properties" xmlns:ns3="b466f71f-27eb-47e4-896e-1655fa0b685a" xmlns:ns4="2f713ad5-8e71-4355-99b9-15f4defc2cd2" targetNamespace="http://schemas.microsoft.com/office/2006/metadata/properties" ma:root="true" ma:fieldsID="992928603de5d0989bfa98c3b9ea702f" ns3:_="" ns4:_="">
    <xsd:import namespace="b466f71f-27eb-47e4-896e-1655fa0b685a"/>
    <xsd:import namespace="2f713ad5-8e71-4355-99b9-15f4defc2cd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66f71f-27eb-47e4-896e-1655fa0b68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713ad5-8e71-4355-99b9-15f4defc2cd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68FEC5-BDC4-4AB1-8C8C-1E16692ADE00}">
  <ds:schemaRefs>
    <ds:schemaRef ds:uri="http://schemas.microsoft.com/office/2006/documentManagement/types"/>
    <ds:schemaRef ds:uri="b466f71f-27eb-47e4-896e-1655fa0b685a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2f713ad5-8e71-4355-99b9-15f4defc2cd2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E89EEE-A527-4A85-BB9B-D9E5A5A05A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66f71f-27eb-47e4-896e-1655fa0b685a"/>
    <ds:schemaRef ds:uri="2f713ad5-8e71-4355-99b9-15f4defc2c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4FEF46-8A11-4FDE-9BBF-321A59971CB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Writting Gantt</vt:lpstr>
      <vt:lpstr>Gantt</vt:lpstr>
      <vt:lpstr>Per Tool Deadlines</vt:lpstr>
      <vt:lpstr>Overall Comp</vt:lpstr>
      <vt:lpstr>C Pending</vt:lpstr>
      <vt:lpstr>synteny</vt:lpstr>
      <vt:lpstr>C contig</vt:lpstr>
      <vt:lpstr>C Kmer</vt:lpstr>
      <vt:lpstr>C Busco</vt:lpstr>
      <vt:lpstr>C LAI</vt:lpstr>
      <vt:lpstr>C LAI GenQC</vt:lpstr>
      <vt:lpstr>Analysis Steps</vt:lpstr>
      <vt:lpstr>hicstuff</vt:lpstr>
      <vt:lpstr>bandage</vt:lpstr>
      <vt:lpstr>SBATCH STATS</vt:lpstr>
      <vt:lpstr>Tool Description</vt:lpstr>
      <vt:lpstr>MGSE</vt:lpstr>
      <vt:lpstr>tetools_installation</vt:lpstr>
      <vt:lpstr>hicup</vt:lpstr>
      <vt:lpstr>graphs</vt:lpstr>
      <vt:lpstr>tetools</vt:lpstr>
      <vt:lpstr>ltrretriever</vt:lpstr>
      <vt:lpstr>tetoolsDB</vt:lpstr>
      <vt:lpstr>Per Assembler Progress</vt:lpstr>
      <vt:lpstr>ISGA</vt:lpstr>
      <vt:lpstr>Dipasm</vt:lpstr>
      <vt:lpstr>multiqc</vt:lpstr>
      <vt:lpstr>genomescope</vt:lpstr>
      <vt:lpstr>genescope.fk</vt:lpstr>
      <vt:lpstr>genomescope2</vt:lpstr>
      <vt:lpstr>smudgeplot</vt:lpstr>
      <vt:lpstr>kmergenie</vt:lpstr>
      <vt:lpstr>Opt Kmer Merq</vt:lpstr>
      <vt:lpstr>findGSE</vt:lpstr>
      <vt:lpstr>GCE</vt:lpstr>
      <vt:lpstr>ntcard</vt:lpstr>
      <vt:lpstr>longqc</vt:lpstr>
      <vt:lpstr>covest</vt:lpstr>
      <vt:lpstr>Instragraal</vt:lpstr>
      <vt:lpstr>C NX QUAST5.1</vt:lpstr>
      <vt:lpstr>Oysters</vt:lpstr>
      <vt:lpstr>CheatSheet</vt:lpstr>
      <vt:lpstr>Literature</vt:lpstr>
      <vt:lpstr>isoseq3</vt:lpstr>
      <vt:lpstr>Pop Samples</vt:lpstr>
      <vt:lpstr>mitohifi</vt:lpstr>
      <vt:lpstr>purge_Dups</vt:lpstr>
      <vt:lpstr>coseg</vt:lpstr>
      <vt:lpstr>SW version tracking</vt:lpstr>
      <vt:lpstr>LAI Email</vt:lpstr>
    </vt:vector>
  </TitlesOfParts>
  <Manager/>
  <Company>Victoria University of Wellington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Guillermo Rodriguez Piccoli</dc:creator>
  <cp:keywords/>
  <dc:description/>
  <cp:lastModifiedBy>Guillermo Rodriguez Piccoli</cp:lastModifiedBy>
  <cp:revision/>
  <dcterms:created xsi:type="dcterms:W3CDTF">2021-06-02T04:09:10Z</dcterms:created>
  <dcterms:modified xsi:type="dcterms:W3CDTF">2022-10-21T11:14:13Z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0x01010041B5AA191B418D48AC93E36424353C6D</vt:lpwstr>
  </property>
</Properties>
</file>