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ENOVO\Music\"/>
    </mc:Choice>
  </mc:AlternateContent>
  <xr:revisionPtr revIDLastSave="0" documentId="13_ncr:1_{A85AF1DC-3646-4F3D-9B36-FAD5A4230C1C}" xr6:coauthVersionLast="47" xr6:coauthVersionMax="47" xr10:uidLastSave="{00000000-0000-0000-0000-000000000000}"/>
  <bookViews>
    <workbookView xWindow="-120" yWindow="-120" windowWidth="20730" windowHeight="11160" tabRatio="773" firstSheet="1" activeTab="2" xr2:uid="{00000000-000D-0000-FFFF-FFFF00000000}"/>
  </bookViews>
  <sheets>
    <sheet name="DATOS" sheetId="11" state="hidden" r:id="rId1"/>
    <sheet name="RESUMEN EJECUTIVO" sheetId="12" r:id="rId2"/>
    <sheet name="SIMULADOR" sheetId="6" r:id="rId3"/>
    <sheet name="DATOS DEL CLIENTE" sheetId="8" r:id="rId4"/>
  </sheets>
  <externalReferences>
    <externalReference r:id="rId5"/>
  </externalReferences>
  <definedNames>
    <definedName name="AMATISTA_1">DATOS!$AT$7:$AT$26</definedName>
    <definedName name="AMATISTA_2">DATOS!$AU$7:$AU$26</definedName>
    <definedName name="_xlnm.Print_Area" localSheetId="3">'DATOS DEL CLIENTE'!$A$2:$AV$95</definedName>
    <definedName name="_xlnm.Print_Area" localSheetId="1">'RESUMEN EJECUTIVO'!$A$2:$AV$72</definedName>
    <definedName name="_xlnm.Print_Area" localSheetId="2">SIMULADOR!$A$1:$K$348</definedName>
    <definedName name="ARRECIFE_3">Tabla4850[ARRECIFE 3]</definedName>
    <definedName name="BOSQUE_1">DATOS!$AI$7:$AI$21</definedName>
    <definedName name="BOSQUE_2">DATOS!$AJ$7:$AJ$21</definedName>
    <definedName name="BOSQUE_3">DATOS!$AK$7:$AK$21</definedName>
    <definedName name="BOSQUE_4">DATOS!$AL$7:$AL$21</definedName>
    <definedName name="Categorías">OFFSET('[1]Presupuesto Mensual'!$B$3,1,,COUNTA('[1]Presupuesto Mensual'!$B:$B),)</definedName>
    <definedName name="CONSULTA">INDIRECT(SIMULADOR!$D$3)</definedName>
    <definedName name="DESIERTO_1">DATOS!$U$7:$U$16</definedName>
    <definedName name="DESIERTO_2">DATOS!$V$7:$V$16</definedName>
    <definedName name="DESIERTO_3">DATOS!$W$7:$W$16</definedName>
    <definedName name="DESIERTO_4">DATOS!$X$7:$X$16</definedName>
    <definedName name="ESTADO_CIVIL">DATOS!$R$7:$R$8</definedName>
    <definedName name="FOTOS" localSheetId="2">INDEX(DATOS!D3:D5,MATCH(SIMULADOR!D3,DATOS!C3:C5,0))</definedName>
    <definedName name="Gastado">OFFSET('[1]Presupuesto Mensual'!$D$3,1,,COUNTA('[1]Presupuesto Mensual'!$D:$D)-2,)</definedName>
    <definedName name="LAGO_1">DATOS!$AM$7:$AM$26</definedName>
    <definedName name="LAGO_2">DATOS!$AP$7:$AP$26</definedName>
    <definedName name="LOGO">DATOS!$D$3:$D$5</definedName>
    <definedName name="LOMAS_DE_PORTTO_BLANCO_CIMATARIO">DATOS!$D$4</definedName>
    <definedName name="LOMAS_ETAPA_1">DATOS!$AQ$7:$AQ$21</definedName>
    <definedName name="LOMAS_ETAPA_2">DATOS!$AR$7:$AR$21</definedName>
    <definedName name="LOMAS_ETAPA_3">DATOS!$AS$7:$AS$21</definedName>
    <definedName name="LPBC" localSheetId="1">Tabla3[LPBC]</definedName>
    <definedName name="LPBC">Tabla3[LPBC]</definedName>
    <definedName name="MALAQUITA_1">DATOS!$AX$7:$AX$26</definedName>
    <definedName name="MALAQUITA_2">DATOS!$AY$7:$AY$26</definedName>
    <definedName name="MANGLAR_1">DATOS!$AN$7:$AN$26</definedName>
    <definedName name="MANGLAR_2">DATOS!$AO$7:$AO$26</definedName>
    <definedName name="PARAMO_1">DATOS!$AB$7:$AB$16</definedName>
    <definedName name="PARAMO_2">DATOS!$AC$7:$AC$16</definedName>
    <definedName name="PARAMO_3">DATOS!$AD$7:$AD$16</definedName>
    <definedName name="PARQUE">DATOS!$C$3:$C$5</definedName>
    <definedName name="PBB" localSheetId="1">Tabla5[PBB]</definedName>
    <definedName name="PBB">Tabla5[PBB]</definedName>
    <definedName name="PBC" localSheetId="1">Tabla2[PBC]</definedName>
    <definedName name="PBC">Tabla2[PBC]</definedName>
    <definedName name="PORTTO_BLANCO_BERNAL">DATOS!$D$5</definedName>
    <definedName name="PORTTO_BLANCO_CIMATARIO">DATOS!$D$3</definedName>
    <definedName name="Presupuesto">OFFSET('[1]Presupuesto Mensual'!$C$3,1,,COUNTA('[1]Presupuesto Mensual'!$C:$C)-2,)</definedName>
    <definedName name="SELVA_1">DATOS!$AE$7:$AE$21</definedName>
    <definedName name="SELVA_2">DATOS!$AF$7:$AF$21</definedName>
    <definedName name="SELVA_3">DATOS!$AG$7:$AG$21</definedName>
    <definedName name="SELVA_4">DATOS!$AH$7:$AH$21</definedName>
    <definedName name="TAIGA_1">DATOS!$Y$7:$Y$16</definedName>
    <definedName name="TAIGA_2">DATOS!$Z$7:$Z$16</definedName>
    <definedName name="TAIGA_3">DATOS!$AA$7:$AA$16</definedName>
    <definedName name="ZAFIRO_1">DATOS!$AV$7:$AV$26</definedName>
    <definedName name="ZAFIRO_2">DATOS!$AW$7:$AW$26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E3" i="6"/>
  <c r="C56" i="6"/>
  <c r="AL23" i="12" l="1"/>
  <c r="D19" i="6"/>
  <c r="D3" i="6"/>
  <c r="E18" i="6" s="1"/>
  <c r="AE7" i="12"/>
  <c r="H11" i="12"/>
  <c r="AE25" i="12"/>
  <c r="J29" i="6"/>
  <c r="I34" i="6"/>
  <c r="AH30" i="12" s="1"/>
  <c r="I33" i="6"/>
  <c r="AH29" i="12" s="1"/>
  <c r="I32" i="6"/>
  <c r="AH28" i="12" s="1"/>
  <c r="I31" i="6"/>
  <c r="AH27" i="12" s="1"/>
  <c r="H34" i="6"/>
  <c r="H33" i="6"/>
  <c r="H32" i="6"/>
  <c r="H31" i="6"/>
  <c r="H23" i="6"/>
  <c r="AE27" i="12" l="1"/>
  <c r="AE28" i="12"/>
  <c r="AE29" i="12"/>
  <c r="AE30" i="12"/>
  <c r="AE11" i="12"/>
  <c r="H13" i="12" l="1"/>
  <c r="H7" i="12"/>
  <c r="H9" i="12"/>
  <c r="B33" i="12"/>
  <c r="G30" i="12"/>
  <c r="F23" i="12"/>
  <c r="V21" i="12"/>
  <c r="C21" i="12"/>
  <c r="C20" i="12"/>
  <c r="I3" i="6"/>
  <c r="H17" i="12" l="1"/>
  <c r="C57" i="6" l="1"/>
  <c r="D20" i="6" l="1"/>
  <c r="D21" i="6" s="1"/>
  <c r="H22" i="12"/>
  <c r="T28" i="12"/>
  <c r="Q22" i="12"/>
  <c r="D12" i="6"/>
  <c r="G24" i="12" l="1"/>
  <c r="J10" i="6"/>
  <c r="F104" i="6" l="1"/>
  <c r="F116" i="6" l="1"/>
  <c r="F212" i="6" s="1"/>
  <c r="D223" i="6"/>
  <c r="I116" i="6"/>
  <c r="D112" i="6"/>
  <c r="D52" i="6"/>
  <c r="B24" i="6"/>
  <c r="H19" i="6"/>
  <c r="I7" i="6"/>
  <c r="G116" i="6" l="1"/>
  <c r="F227" i="6"/>
  <c r="G227" i="6" s="1"/>
  <c r="I227" i="6" s="1"/>
  <c r="L9" i="6" l="1"/>
  <c r="C19" i="6" l="1"/>
  <c r="B20" i="6" s="1"/>
  <c r="D51" i="6"/>
  <c r="D17" i="6" l="1"/>
  <c r="D48" i="6" s="1"/>
  <c r="D49" i="6" s="1"/>
  <c r="D109" i="6" s="1"/>
  <c r="Q23" i="12"/>
  <c r="T29" i="12"/>
  <c r="C20" i="6"/>
  <c r="I20" i="6" s="1"/>
  <c r="I19" i="6"/>
  <c r="H20" i="6"/>
  <c r="D111" i="6"/>
  <c r="D110" i="6" s="1"/>
  <c r="D50" i="6"/>
  <c r="B57" i="6" l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228" i="6"/>
  <c r="D220" i="6"/>
  <c r="D222" i="6"/>
  <c r="T30" i="12"/>
  <c r="Q24" i="12"/>
  <c r="B21" i="6"/>
  <c r="B212" i="6"/>
  <c r="B229" i="6" l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H21" i="6"/>
  <c r="C21" i="6"/>
  <c r="I21" i="6" s="1"/>
  <c r="D221" i="6"/>
  <c r="B314" i="6" l="1"/>
  <c r="B315" i="6" s="1"/>
  <c r="B316" i="6" s="1"/>
  <c r="B317" i="6" s="1"/>
  <c r="B318" i="6" s="1"/>
  <c r="B319" i="6" s="1"/>
  <c r="B320" i="6" s="1"/>
  <c r="B321" i="6" s="1"/>
  <c r="B322" i="6" l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l="1"/>
  <c r="B342" i="6" s="1"/>
  <c r="B343" i="6" s="1"/>
  <c r="B344" i="6" s="1"/>
  <c r="B345" i="6" s="1"/>
  <c r="B346" i="6" s="1"/>
  <c r="B347" i="6" s="1"/>
  <c r="B104" i="6" l="1"/>
  <c r="B116" i="6" l="1"/>
  <c r="B117" i="6" l="1"/>
  <c r="I8" i="6"/>
  <c r="I9" i="6" s="1"/>
  <c r="J32" i="6" l="1"/>
  <c r="AM28" i="12" s="1"/>
  <c r="J31" i="6"/>
  <c r="AM27" i="12" s="1"/>
  <c r="J33" i="6"/>
  <c r="AM29" i="12" s="1"/>
  <c r="J34" i="6"/>
  <c r="AM30" i="12" s="1"/>
  <c r="D45" i="6"/>
  <c r="B118" i="6"/>
  <c r="I10" i="6"/>
  <c r="M10" i="6"/>
  <c r="B119" i="6" l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H25" i="12"/>
  <c r="I11" i="6"/>
  <c r="I12" i="6"/>
  <c r="H26" i="12" l="1"/>
  <c r="I13" i="6"/>
  <c r="B190" i="6"/>
  <c r="J12" i="6"/>
  <c r="I15" i="6"/>
  <c r="D46" i="6"/>
  <c r="D47" i="6" s="1"/>
  <c r="U20" i="12" l="1"/>
  <c r="J13" i="6"/>
  <c r="G27" i="12"/>
  <c r="B191" i="6"/>
  <c r="I14" i="6"/>
  <c r="E59" i="6"/>
  <c r="E83" i="6"/>
  <c r="E101" i="6"/>
  <c r="E70" i="6"/>
  <c r="E96" i="6"/>
  <c r="E81" i="6"/>
  <c r="E77" i="6"/>
  <c r="E97" i="6"/>
  <c r="E56" i="6"/>
  <c r="E62" i="6"/>
  <c r="E86" i="6"/>
  <c r="E57" i="6"/>
  <c r="E82" i="6"/>
  <c r="E74" i="6"/>
  <c r="E95" i="6"/>
  <c r="E93" i="6"/>
  <c r="E99" i="6"/>
  <c r="D56" i="6"/>
  <c r="E60" i="6"/>
  <c r="E80" i="6"/>
  <c r="E91" i="6"/>
  <c r="E79" i="6"/>
  <c r="E66" i="6"/>
  <c r="E103" i="6"/>
  <c r="E69" i="6"/>
  <c r="E75" i="6"/>
  <c r="E72" i="6"/>
  <c r="E76" i="6"/>
  <c r="E89" i="6"/>
  <c r="E98" i="6"/>
  <c r="E78" i="6"/>
  <c r="E65" i="6"/>
  <c r="E92" i="6"/>
  <c r="E63" i="6"/>
  <c r="E71" i="6"/>
  <c r="E73" i="6"/>
  <c r="E68" i="6"/>
  <c r="E88" i="6"/>
  <c r="E90" i="6"/>
  <c r="E87" i="6"/>
  <c r="E58" i="6"/>
  <c r="E84" i="6"/>
  <c r="E64" i="6"/>
  <c r="E102" i="6"/>
  <c r="E67" i="6"/>
  <c r="E100" i="6"/>
  <c r="D53" i="6"/>
  <c r="E85" i="6"/>
  <c r="E94" i="6"/>
  <c r="E61" i="6"/>
  <c r="G28" i="12" l="1"/>
  <c r="B192" i="6"/>
  <c r="G100" i="6"/>
  <c r="G63" i="6"/>
  <c r="G66" i="6"/>
  <c r="G60" i="6"/>
  <c r="G86" i="6"/>
  <c r="G77" i="6"/>
  <c r="G101" i="6"/>
  <c r="G94" i="6"/>
  <c r="G67" i="6"/>
  <c r="G58" i="6"/>
  <c r="G68" i="6"/>
  <c r="G92" i="6"/>
  <c r="G89" i="6"/>
  <c r="G79" i="6"/>
  <c r="G74" i="6"/>
  <c r="G62" i="6"/>
  <c r="G81" i="6"/>
  <c r="G83" i="6"/>
  <c r="G61" i="6"/>
  <c r="G98" i="6"/>
  <c r="G85" i="6"/>
  <c r="G65" i="6"/>
  <c r="G69" i="6"/>
  <c r="G91" i="6"/>
  <c r="G99" i="6"/>
  <c r="G82" i="6"/>
  <c r="G56" i="6"/>
  <c r="I56" i="6" s="1"/>
  <c r="G96" i="6"/>
  <c r="G59" i="6"/>
  <c r="G84" i="6"/>
  <c r="G88" i="6"/>
  <c r="G75" i="6"/>
  <c r="G95" i="6"/>
  <c r="G102" i="6"/>
  <c r="G87" i="6"/>
  <c r="G73" i="6"/>
  <c r="G76" i="6"/>
  <c r="J19" i="6"/>
  <c r="D54" i="6"/>
  <c r="G64" i="6"/>
  <c r="G90" i="6"/>
  <c r="G71" i="6"/>
  <c r="G78" i="6"/>
  <c r="G72" i="6"/>
  <c r="G103" i="6"/>
  <c r="G80" i="6"/>
  <c r="G93" i="6"/>
  <c r="G57" i="6"/>
  <c r="G97" i="6"/>
  <c r="G70" i="6"/>
  <c r="X28" i="12" l="1"/>
  <c r="B193" i="6"/>
  <c r="J56" i="6"/>
  <c r="D57" i="6" s="1"/>
  <c r="B194" i="6" l="1"/>
  <c r="H57" i="6"/>
  <c r="I57" i="6" s="1"/>
  <c r="J57" i="6" s="1"/>
  <c r="D58" i="6" s="1"/>
  <c r="B195" i="6" l="1"/>
  <c r="H58" i="6"/>
  <c r="B196" i="6" l="1"/>
  <c r="I58" i="6"/>
  <c r="J58" i="6" s="1"/>
  <c r="D59" i="6" s="1"/>
  <c r="B197" i="6" l="1"/>
  <c r="H59" i="6"/>
  <c r="I59" i="6" s="1"/>
  <c r="J59" i="6" s="1"/>
  <c r="D60" i="6" s="1"/>
  <c r="B198" i="6" l="1"/>
  <c r="H60" i="6"/>
  <c r="I60" i="6" s="1"/>
  <c r="J60" i="6" s="1"/>
  <c r="D61" i="6" s="1"/>
  <c r="B199" i="6" l="1"/>
  <c r="H61" i="6"/>
  <c r="I61" i="6" s="1"/>
  <c r="J61" i="6" s="1"/>
  <c r="D62" i="6" s="1"/>
  <c r="B200" i="6" l="1"/>
  <c r="B201" i="6" s="1"/>
  <c r="H62" i="6"/>
  <c r="I62" i="6" s="1"/>
  <c r="J62" i="6" s="1"/>
  <c r="D63" i="6" s="1"/>
  <c r="H63" i="6" l="1"/>
  <c r="I63" i="6" s="1"/>
  <c r="J63" i="6" s="1"/>
  <c r="D64" i="6" s="1"/>
  <c r="B202" i="6" l="1"/>
  <c r="H64" i="6"/>
  <c r="I64" i="6" s="1"/>
  <c r="J64" i="6" s="1"/>
  <c r="D65" i="6" s="1"/>
  <c r="B203" i="6" l="1"/>
  <c r="H65" i="6"/>
  <c r="I65" i="6" s="1"/>
  <c r="J65" i="6" s="1"/>
  <c r="D66" i="6" s="1"/>
  <c r="B204" i="6" l="1"/>
  <c r="H66" i="6"/>
  <c r="I66" i="6" s="1"/>
  <c r="J66" i="6" s="1"/>
  <c r="D67" i="6" s="1"/>
  <c r="B205" i="6" l="1"/>
  <c r="H67" i="6"/>
  <c r="I67" i="6" s="1"/>
  <c r="J67" i="6" s="1"/>
  <c r="D68" i="6" s="1"/>
  <c r="B206" i="6" l="1"/>
  <c r="B207" i="6" s="1"/>
  <c r="H68" i="6"/>
  <c r="I68" i="6" s="1"/>
  <c r="J68" i="6" s="1"/>
  <c r="D69" i="6" s="1"/>
  <c r="B208" i="6" l="1"/>
  <c r="H69" i="6"/>
  <c r="I69" i="6" s="1"/>
  <c r="J69" i="6" s="1"/>
  <c r="D70" i="6" s="1"/>
  <c r="B209" i="6" l="1"/>
  <c r="H70" i="6"/>
  <c r="I70" i="6" s="1"/>
  <c r="J70" i="6" s="1"/>
  <c r="D71" i="6" s="1"/>
  <c r="B210" i="6" l="1"/>
  <c r="H71" i="6"/>
  <c r="I71" i="6" s="1"/>
  <c r="J71" i="6" s="1"/>
  <c r="D72" i="6" s="1"/>
  <c r="B211" i="6" l="1"/>
  <c r="H72" i="6"/>
  <c r="I72" i="6" s="1"/>
  <c r="J72" i="6" s="1"/>
  <c r="D73" i="6" s="1"/>
  <c r="H73" i="6" l="1"/>
  <c r="I73" i="6" s="1"/>
  <c r="J73" i="6" s="1"/>
  <c r="D74" i="6" s="1"/>
  <c r="H74" i="6" l="1"/>
  <c r="I74" i="6" s="1"/>
  <c r="J74" i="6" s="1"/>
  <c r="D75" i="6" s="1"/>
  <c r="H75" i="6" l="1"/>
  <c r="I75" i="6" s="1"/>
  <c r="J75" i="6" s="1"/>
  <c r="D76" i="6" s="1"/>
  <c r="H76" i="6" l="1"/>
  <c r="I76" i="6" s="1"/>
  <c r="J76" i="6" s="1"/>
  <c r="D77" i="6" s="1"/>
  <c r="H77" i="6" l="1"/>
  <c r="I77" i="6" s="1"/>
  <c r="J77" i="6" s="1"/>
  <c r="D78" i="6" s="1"/>
  <c r="H78" i="6" l="1"/>
  <c r="I78" i="6" s="1"/>
  <c r="J78" i="6" s="1"/>
  <c r="D79" i="6" s="1"/>
  <c r="H79" i="6" l="1"/>
  <c r="I79" i="6" s="1"/>
  <c r="J79" i="6" s="1"/>
  <c r="D80" i="6" s="1"/>
  <c r="H80" i="6" l="1"/>
  <c r="I80" i="6" s="1"/>
  <c r="J80" i="6" s="1"/>
  <c r="D81" i="6" s="1"/>
  <c r="H81" i="6" l="1"/>
  <c r="I81" i="6" s="1"/>
  <c r="J81" i="6" s="1"/>
  <c r="D82" i="6" s="1"/>
  <c r="H82" i="6" l="1"/>
  <c r="I82" i="6" s="1"/>
  <c r="J82" i="6" s="1"/>
  <c r="D83" i="6" s="1"/>
  <c r="H83" i="6" l="1"/>
  <c r="I83" i="6" s="1"/>
  <c r="J83" i="6" s="1"/>
  <c r="D84" i="6" s="1"/>
  <c r="H84" i="6" l="1"/>
  <c r="I84" i="6" s="1"/>
  <c r="J84" i="6" s="1"/>
  <c r="D85" i="6" s="1"/>
  <c r="H85" i="6" l="1"/>
  <c r="I85" i="6" s="1"/>
  <c r="J85" i="6" s="1"/>
  <c r="D86" i="6" s="1"/>
  <c r="H86" i="6" l="1"/>
  <c r="I86" i="6" s="1"/>
  <c r="J86" i="6" s="1"/>
  <c r="D87" i="6" s="1"/>
  <c r="H87" i="6" l="1"/>
  <c r="I87" i="6" s="1"/>
  <c r="J87" i="6" s="1"/>
  <c r="D88" i="6" s="1"/>
  <c r="H88" i="6" l="1"/>
  <c r="I88" i="6" s="1"/>
  <c r="J88" i="6" s="1"/>
  <c r="D89" i="6" s="1"/>
  <c r="H89" i="6" l="1"/>
  <c r="I89" i="6" s="1"/>
  <c r="J89" i="6" s="1"/>
  <c r="D90" i="6" s="1"/>
  <c r="H90" i="6" l="1"/>
  <c r="I90" i="6" s="1"/>
  <c r="J90" i="6" s="1"/>
  <c r="D91" i="6" s="1"/>
  <c r="H91" i="6" l="1"/>
  <c r="I91" i="6" s="1"/>
  <c r="J91" i="6" s="1"/>
  <c r="D92" i="6" s="1"/>
  <c r="H92" i="6" l="1"/>
  <c r="I92" i="6" s="1"/>
  <c r="J92" i="6" s="1"/>
  <c r="D93" i="6" s="1"/>
  <c r="H93" i="6" l="1"/>
  <c r="I93" i="6" s="1"/>
  <c r="J93" i="6" s="1"/>
  <c r="D94" i="6" s="1"/>
  <c r="H94" i="6" l="1"/>
  <c r="I94" i="6" s="1"/>
  <c r="J94" i="6" s="1"/>
  <c r="D95" i="6" s="1"/>
  <c r="H95" i="6" l="1"/>
  <c r="I95" i="6" s="1"/>
  <c r="J95" i="6" s="1"/>
  <c r="D96" i="6" s="1"/>
  <c r="H96" i="6" l="1"/>
  <c r="I96" i="6" s="1"/>
  <c r="J96" i="6" s="1"/>
  <c r="D97" i="6" s="1"/>
  <c r="H97" i="6" l="1"/>
  <c r="I97" i="6" s="1"/>
  <c r="J97" i="6" s="1"/>
  <c r="D98" i="6" s="1"/>
  <c r="H98" i="6" l="1"/>
  <c r="I98" i="6" s="1"/>
  <c r="J98" i="6" s="1"/>
  <c r="D99" i="6" s="1"/>
  <c r="H99" i="6" l="1"/>
  <c r="I99" i="6" s="1"/>
  <c r="J99" i="6" s="1"/>
  <c r="D100" i="6" s="1"/>
  <c r="H100" i="6" l="1"/>
  <c r="I100" i="6" s="1"/>
  <c r="J100" i="6" s="1"/>
  <c r="D101" i="6" s="1"/>
  <c r="H101" i="6" l="1"/>
  <c r="I101" i="6" s="1"/>
  <c r="J101" i="6" s="1"/>
  <c r="D102" i="6" s="1"/>
  <c r="H102" i="6" l="1"/>
  <c r="I102" i="6" s="1"/>
  <c r="J102" i="6" s="1"/>
  <c r="D103" i="6" s="1"/>
  <c r="H103" i="6" l="1"/>
  <c r="I103" i="6" s="1"/>
  <c r="J103" i="6" l="1"/>
  <c r="I104" i="6" l="1"/>
  <c r="D107" i="6" s="1"/>
  <c r="D108" i="6" s="1"/>
  <c r="J104" i="6"/>
  <c r="D113" i="6" l="1"/>
  <c r="J20" i="6" s="1"/>
  <c r="E207" i="6"/>
  <c r="E208" i="6"/>
  <c r="G208" i="6" s="1"/>
  <c r="E209" i="6"/>
  <c r="E210" i="6"/>
  <c r="E211" i="6"/>
  <c r="G211" i="6" s="1"/>
  <c r="D116" i="6"/>
  <c r="J116" i="6" s="1"/>
  <c r="D117" i="6" s="1"/>
  <c r="H117" i="6" s="1"/>
  <c r="E117" i="6"/>
  <c r="G117" i="6" s="1"/>
  <c r="D114" i="6" l="1"/>
  <c r="G207" i="6"/>
  <c r="G209" i="6"/>
  <c r="G210" i="6"/>
  <c r="X29" i="12"/>
  <c r="I117" i="6"/>
  <c r="J117" i="6" s="1"/>
  <c r="D118" i="6" s="1"/>
  <c r="E119" i="6"/>
  <c r="E118" i="6"/>
  <c r="H118" i="6" l="1"/>
  <c r="I118" i="6" s="1"/>
  <c r="G119" i="6"/>
  <c r="E120" i="6"/>
  <c r="G118" i="6"/>
  <c r="G120" i="6" l="1"/>
  <c r="E121" i="6"/>
  <c r="J118" i="6"/>
  <c r="D119" i="6" s="1"/>
  <c r="E122" i="6" l="1"/>
  <c r="G121" i="6"/>
  <c r="H119" i="6"/>
  <c r="I119" i="6" s="1"/>
  <c r="J119" i="6" s="1"/>
  <c r="D120" i="6" s="1"/>
  <c r="G122" i="6" l="1"/>
  <c r="H120" i="6"/>
  <c r="I120" i="6" s="1"/>
  <c r="J120" i="6" s="1"/>
  <c r="D121" i="6" s="1"/>
  <c r="E123" i="6"/>
  <c r="H121" i="6" l="1"/>
  <c r="I121" i="6" s="1"/>
  <c r="J121" i="6" s="1"/>
  <c r="D122" i="6" s="1"/>
  <c r="G123" i="6"/>
  <c r="E124" i="6"/>
  <c r="H122" i="6" l="1"/>
  <c r="I122" i="6" s="1"/>
  <c r="J122" i="6" s="1"/>
  <c r="D123" i="6" s="1"/>
  <c r="G124" i="6"/>
  <c r="E125" i="6"/>
  <c r="H123" i="6" l="1"/>
  <c r="I123" i="6" s="1"/>
  <c r="J123" i="6" s="1"/>
  <c r="D124" i="6" s="1"/>
  <c r="G125" i="6"/>
  <c r="E126" i="6"/>
  <c r="H124" i="6" l="1"/>
  <c r="I124" i="6" s="1"/>
  <c r="J124" i="6" s="1"/>
  <c r="D125" i="6" s="1"/>
  <c r="G126" i="6"/>
  <c r="E127" i="6"/>
  <c r="H125" i="6" l="1"/>
  <c r="I125" i="6" s="1"/>
  <c r="J125" i="6" s="1"/>
  <c r="D126" i="6" s="1"/>
  <c r="G127" i="6"/>
  <c r="E128" i="6"/>
  <c r="H126" i="6" l="1"/>
  <c r="I126" i="6" s="1"/>
  <c r="J126" i="6" s="1"/>
  <c r="D127" i="6" s="1"/>
  <c r="G128" i="6"/>
  <c r="E129" i="6"/>
  <c r="H127" i="6" l="1"/>
  <c r="I127" i="6" s="1"/>
  <c r="J127" i="6" s="1"/>
  <c r="D128" i="6" s="1"/>
  <c r="G129" i="6"/>
  <c r="E130" i="6"/>
  <c r="H128" i="6" l="1"/>
  <c r="I128" i="6" s="1"/>
  <c r="J128" i="6" s="1"/>
  <c r="D129" i="6" s="1"/>
  <c r="G130" i="6"/>
  <c r="E131" i="6"/>
  <c r="H129" i="6" l="1"/>
  <c r="I129" i="6" s="1"/>
  <c r="J129" i="6" s="1"/>
  <c r="D130" i="6" s="1"/>
  <c r="G131" i="6"/>
  <c r="E132" i="6"/>
  <c r="H130" i="6" l="1"/>
  <c r="I130" i="6" s="1"/>
  <c r="J130" i="6" s="1"/>
  <c r="D131" i="6" s="1"/>
  <c r="G132" i="6"/>
  <c r="E133" i="6"/>
  <c r="H131" i="6" l="1"/>
  <c r="I131" i="6" s="1"/>
  <c r="J131" i="6" s="1"/>
  <c r="D132" i="6" s="1"/>
  <c r="G133" i="6"/>
  <c r="E134" i="6"/>
  <c r="H132" i="6" l="1"/>
  <c r="I132" i="6" s="1"/>
  <c r="J132" i="6" s="1"/>
  <c r="D133" i="6" s="1"/>
  <c r="E135" i="6"/>
  <c r="G134" i="6"/>
  <c r="H133" i="6" l="1"/>
  <c r="I133" i="6" s="1"/>
  <c r="J133" i="6" s="1"/>
  <c r="D134" i="6" s="1"/>
  <c r="E136" i="6"/>
  <c r="G135" i="6"/>
  <c r="H134" i="6" l="1"/>
  <c r="I134" i="6" s="1"/>
  <c r="J134" i="6" s="1"/>
  <c r="D135" i="6" s="1"/>
  <c r="E137" i="6"/>
  <c r="G136" i="6"/>
  <c r="H135" i="6" l="1"/>
  <c r="I135" i="6" s="1"/>
  <c r="J135" i="6" s="1"/>
  <c r="D136" i="6" s="1"/>
  <c r="E138" i="6"/>
  <c r="G137" i="6"/>
  <c r="H136" i="6" l="1"/>
  <c r="I136" i="6" s="1"/>
  <c r="J136" i="6" s="1"/>
  <c r="D137" i="6" s="1"/>
  <c r="E139" i="6"/>
  <c r="G138" i="6"/>
  <c r="H137" i="6" l="1"/>
  <c r="I137" i="6" s="1"/>
  <c r="J137" i="6" s="1"/>
  <c r="D138" i="6" s="1"/>
  <c r="E140" i="6"/>
  <c r="G139" i="6"/>
  <c r="H138" i="6" l="1"/>
  <c r="I138" i="6" s="1"/>
  <c r="J138" i="6" s="1"/>
  <c r="D139" i="6" s="1"/>
  <c r="E141" i="6"/>
  <c r="G140" i="6"/>
  <c r="H139" i="6" l="1"/>
  <c r="I139" i="6" s="1"/>
  <c r="J139" i="6" s="1"/>
  <c r="D140" i="6" s="1"/>
  <c r="E142" i="6"/>
  <c r="G141" i="6"/>
  <c r="H140" i="6" l="1"/>
  <c r="I140" i="6" s="1"/>
  <c r="J140" i="6" s="1"/>
  <c r="D141" i="6" s="1"/>
  <c r="E143" i="6"/>
  <c r="G142" i="6"/>
  <c r="H141" i="6" l="1"/>
  <c r="I141" i="6" s="1"/>
  <c r="J141" i="6" s="1"/>
  <c r="D142" i="6" s="1"/>
  <c r="G143" i="6"/>
  <c r="E144" i="6"/>
  <c r="H142" i="6" l="1"/>
  <c r="I142" i="6" s="1"/>
  <c r="J142" i="6" s="1"/>
  <c r="D143" i="6" s="1"/>
  <c r="G144" i="6"/>
  <c r="E145" i="6"/>
  <c r="H143" i="6" l="1"/>
  <c r="I143" i="6" s="1"/>
  <c r="J143" i="6" s="1"/>
  <c r="D144" i="6" s="1"/>
  <c r="G145" i="6"/>
  <c r="E146" i="6"/>
  <c r="H144" i="6" l="1"/>
  <c r="I144" i="6" s="1"/>
  <c r="J144" i="6" s="1"/>
  <c r="D145" i="6" s="1"/>
  <c r="G146" i="6"/>
  <c r="E147" i="6"/>
  <c r="H145" i="6" l="1"/>
  <c r="I145" i="6" s="1"/>
  <c r="J145" i="6" s="1"/>
  <c r="D146" i="6" s="1"/>
  <c r="G147" i="6"/>
  <c r="E148" i="6"/>
  <c r="H146" i="6" l="1"/>
  <c r="I146" i="6" s="1"/>
  <c r="J146" i="6" s="1"/>
  <c r="D147" i="6" s="1"/>
  <c r="G148" i="6"/>
  <c r="E149" i="6"/>
  <c r="H147" i="6" l="1"/>
  <c r="I147" i="6" s="1"/>
  <c r="J147" i="6" s="1"/>
  <c r="D148" i="6" s="1"/>
  <c r="G149" i="6"/>
  <c r="E150" i="6"/>
  <c r="H148" i="6" l="1"/>
  <c r="I148" i="6" s="1"/>
  <c r="J148" i="6" s="1"/>
  <c r="D149" i="6" s="1"/>
  <c r="G150" i="6"/>
  <c r="E151" i="6"/>
  <c r="H149" i="6" l="1"/>
  <c r="I149" i="6" s="1"/>
  <c r="J149" i="6" s="1"/>
  <c r="D150" i="6" s="1"/>
  <c r="G151" i="6"/>
  <c r="E152" i="6"/>
  <c r="H150" i="6" l="1"/>
  <c r="I150" i="6" s="1"/>
  <c r="J150" i="6" s="1"/>
  <c r="D151" i="6" s="1"/>
  <c r="G152" i="6"/>
  <c r="E153" i="6"/>
  <c r="H151" i="6" l="1"/>
  <c r="I151" i="6" s="1"/>
  <c r="J151" i="6" s="1"/>
  <c r="D152" i="6" s="1"/>
  <c r="G153" i="6"/>
  <c r="E154" i="6"/>
  <c r="H152" i="6" l="1"/>
  <c r="I152" i="6" s="1"/>
  <c r="J152" i="6" s="1"/>
  <c r="D153" i="6" s="1"/>
  <c r="G154" i="6"/>
  <c r="E155" i="6"/>
  <c r="H153" i="6" l="1"/>
  <c r="I153" i="6" s="1"/>
  <c r="J153" i="6" s="1"/>
  <c r="D154" i="6" s="1"/>
  <c r="E156" i="6"/>
  <c r="G155" i="6"/>
  <c r="H154" i="6" l="1"/>
  <c r="I154" i="6" s="1"/>
  <c r="J154" i="6" s="1"/>
  <c r="D155" i="6" s="1"/>
  <c r="G156" i="6"/>
  <c r="E157" i="6"/>
  <c r="H155" i="6" l="1"/>
  <c r="I155" i="6" s="1"/>
  <c r="J155" i="6" s="1"/>
  <c r="D156" i="6" s="1"/>
  <c r="G157" i="6"/>
  <c r="E158" i="6"/>
  <c r="H156" i="6" l="1"/>
  <c r="I156" i="6" s="1"/>
  <c r="J156" i="6" s="1"/>
  <c r="D157" i="6" s="1"/>
  <c r="G158" i="6"/>
  <c r="E159" i="6"/>
  <c r="H157" i="6" l="1"/>
  <c r="I157" i="6" s="1"/>
  <c r="J157" i="6" s="1"/>
  <c r="D158" i="6" s="1"/>
  <c r="E160" i="6"/>
  <c r="G159" i="6"/>
  <c r="H158" i="6" l="1"/>
  <c r="I158" i="6" s="1"/>
  <c r="J158" i="6" s="1"/>
  <c r="D159" i="6" s="1"/>
  <c r="G160" i="6"/>
  <c r="E161" i="6"/>
  <c r="H159" i="6" l="1"/>
  <c r="I159" i="6" s="1"/>
  <c r="J159" i="6" s="1"/>
  <c r="D160" i="6" s="1"/>
  <c r="E162" i="6"/>
  <c r="G161" i="6"/>
  <c r="H160" i="6" l="1"/>
  <c r="I160" i="6" s="1"/>
  <c r="J160" i="6" s="1"/>
  <c r="D161" i="6" s="1"/>
  <c r="E163" i="6"/>
  <c r="G162" i="6"/>
  <c r="H161" i="6" l="1"/>
  <c r="I161" i="6" s="1"/>
  <c r="J161" i="6" s="1"/>
  <c r="D162" i="6" s="1"/>
  <c r="G163" i="6"/>
  <c r="E164" i="6"/>
  <c r="H162" i="6" l="1"/>
  <c r="I162" i="6" s="1"/>
  <c r="J162" i="6" s="1"/>
  <c r="D163" i="6" s="1"/>
  <c r="E165" i="6"/>
  <c r="G164" i="6"/>
  <c r="H163" i="6" l="1"/>
  <c r="I163" i="6" s="1"/>
  <c r="J163" i="6" s="1"/>
  <c r="D164" i="6" s="1"/>
  <c r="E166" i="6"/>
  <c r="G165" i="6"/>
  <c r="H164" i="6" l="1"/>
  <c r="I164" i="6" s="1"/>
  <c r="J164" i="6" s="1"/>
  <c r="D165" i="6" s="1"/>
  <c r="G166" i="6"/>
  <c r="E167" i="6"/>
  <c r="H165" i="6" l="1"/>
  <c r="I165" i="6" s="1"/>
  <c r="J165" i="6" s="1"/>
  <c r="D166" i="6" s="1"/>
  <c r="G167" i="6"/>
  <c r="E168" i="6"/>
  <c r="H166" i="6" l="1"/>
  <c r="I166" i="6" s="1"/>
  <c r="J166" i="6" s="1"/>
  <c r="D167" i="6" s="1"/>
  <c r="E169" i="6"/>
  <c r="G168" i="6"/>
  <c r="H167" i="6" l="1"/>
  <c r="I167" i="6" s="1"/>
  <c r="J167" i="6" s="1"/>
  <c r="D168" i="6" s="1"/>
  <c r="G169" i="6"/>
  <c r="E170" i="6"/>
  <c r="H168" i="6" l="1"/>
  <c r="I168" i="6" s="1"/>
  <c r="J168" i="6" s="1"/>
  <c r="D169" i="6" s="1"/>
  <c r="G170" i="6"/>
  <c r="E171" i="6"/>
  <c r="H169" i="6" l="1"/>
  <c r="I169" i="6" s="1"/>
  <c r="J169" i="6" s="1"/>
  <c r="D170" i="6" s="1"/>
  <c r="E172" i="6"/>
  <c r="G171" i="6"/>
  <c r="H170" i="6" l="1"/>
  <c r="I170" i="6" s="1"/>
  <c r="J170" i="6" s="1"/>
  <c r="D171" i="6" s="1"/>
  <c r="E173" i="6"/>
  <c r="G172" i="6"/>
  <c r="H171" i="6" l="1"/>
  <c r="I171" i="6" s="1"/>
  <c r="J171" i="6" s="1"/>
  <c r="D172" i="6" s="1"/>
  <c r="E174" i="6"/>
  <c r="G173" i="6"/>
  <c r="H172" i="6" l="1"/>
  <c r="I172" i="6" s="1"/>
  <c r="J172" i="6" s="1"/>
  <c r="D173" i="6" s="1"/>
  <c r="G174" i="6"/>
  <c r="E175" i="6"/>
  <c r="H173" i="6" l="1"/>
  <c r="I173" i="6" s="1"/>
  <c r="J173" i="6" s="1"/>
  <c r="D174" i="6" s="1"/>
  <c r="G175" i="6"/>
  <c r="E176" i="6"/>
  <c r="H174" i="6" l="1"/>
  <c r="I174" i="6" s="1"/>
  <c r="J174" i="6" s="1"/>
  <c r="D175" i="6" s="1"/>
  <c r="E177" i="6"/>
  <c r="G176" i="6"/>
  <c r="H175" i="6" l="1"/>
  <c r="I175" i="6" s="1"/>
  <c r="J175" i="6" s="1"/>
  <c r="D176" i="6" s="1"/>
  <c r="G177" i="6"/>
  <c r="E178" i="6"/>
  <c r="H176" i="6" l="1"/>
  <c r="I176" i="6" s="1"/>
  <c r="J176" i="6" s="1"/>
  <c r="D177" i="6" s="1"/>
  <c r="G178" i="6"/>
  <c r="E179" i="6"/>
  <c r="H177" i="6" l="1"/>
  <c r="I177" i="6" s="1"/>
  <c r="J177" i="6" s="1"/>
  <c r="D178" i="6" s="1"/>
  <c r="G179" i="6"/>
  <c r="E180" i="6"/>
  <c r="H178" i="6" l="1"/>
  <c r="I178" i="6" s="1"/>
  <c r="J178" i="6" s="1"/>
  <c r="D179" i="6" s="1"/>
  <c r="G180" i="6"/>
  <c r="E181" i="6"/>
  <c r="H179" i="6" l="1"/>
  <c r="I179" i="6" s="1"/>
  <c r="J179" i="6" s="1"/>
  <c r="D180" i="6" s="1"/>
  <c r="E182" i="6"/>
  <c r="G181" i="6"/>
  <c r="H180" i="6" l="1"/>
  <c r="I180" i="6" s="1"/>
  <c r="J180" i="6" s="1"/>
  <c r="D181" i="6" s="1"/>
  <c r="G182" i="6"/>
  <c r="E183" i="6"/>
  <c r="H181" i="6" l="1"/>
  <c r="I181" i="6" s="1"/>
  <c r="J181" i="6" s="1"/>
  <c r="D182" i="6" s="1"/>
  <c r="E184" i="6"/>
  <c r="G183" i="6"/>
  <c r="H182" i="6" l="1"/>
  <c r="I182" i="6" s="1"/>
  <c r="J182" i="6" s="1"/>
  <c r="D183" i="6" s="1"/>
  <c r="G184" i="6"/>
  <c r="E185" i="6"/>
  <c r="H183" i="6" l="1"/>
  <c r="I183" i="6" s="1"/>
  <c r="J183" i="6" s="1"/>
  <c r="D184" i="6" s="1"/>
  <c r="E186" i="6"/>
  <c r="G185" i="6"/>
  <c r="H184" i="6" l="1"/>
  <c r="I184" i="6" s="1"/>
  <c r="J184" i="6" s="1"/>
  <c r="D185" i="6" s="1"/>
  <c r="G186" i="6"/>
  <c r="E187" i="6"/>
  <c r="H185" i="6" l="1"/>
  <c r="I185" i="6" s="1"/>
  <c r="J185" i="6" s="1"/>
  <c r="D186" i="6" s="1"/>
  <c r="G187" i="6"/>
  <c r="E188" i="6"/>
  <c r="H186" i="6" l="1"/>
  <c r="I186" i="6" s="1"/>
  <c r="J186" i="6" s="1"/>
  <c r="D187" i="6" s="1"/>
  <c r="G188" i="6"/>
  <c r="E189" i="6"/>
  <c r="H187" i="6" l="1"/>
  <c r="I187" i="6" s="1"/>
  <c r="J187" i="6" s="1"/>
  <c r="D188" i="6" s="1"/>
  <c r="G189" i="6"/>
  <c r="E190" i="6"/>
  <c r="H188" i="6" l="1"/>
  <c r="I188" i="6" s="1"/>
  <c r="J188" i="6" s="1"/>
  <c r="D189" i="6" s="1"/>
  <c r="E191" i="6"/>
  <c r="G190" i="6"/>
  <c r="H189" i="6" l="1"/>
  <c r="I189" i="6" s="1"/>
  <c r="J189" i="6" s="1"/>
  <c r="D190" i="6" s="1"/>
  <c r="E192" i="6"/>
  <c r="G191" i="6"/>
  <c r="H190" i="6" l="1"/>
  <c r="I190" i="6" s="1"/>
  <c r="J190" i="6" s="1"/>
  <c r="D191" i="6" s="1"/>
  <c r="E193" i="6"/>
  <c r="G192" i="6"/>
  <c r="H191" i="6" l="1"/>
  <c r="I191" i="6" s="1"/>
  <c r="J191" i="6" s="1"/>
  <c r="D192" i="6" s="1"/>
  <c r="E194" i="6"/>
  <c r="G193" i="6"/>
  <c r="H192" i="6" l="1"/>
  <c r="I192" i="6" s="1"/>
  <c r="J192" i="6" s="1"/>
  <c r="D193" i="6" s="1"/>
  <c r="E195" i="6"/>
  <c r="G194" i="6"/>
  <c r="H193" i="6" l="1"/>
  <c r="I193" i="6" s="1"/>
  <c r="J193" i="6" s="1"/>
  <c r="D194" i="6" s="1"/>
  <c r="G195" i="6"/>
  <c r="E196" i="6"/>
  <c r="H194" i="6" l="1"/>
  <c r="I194" i="6" s="1"/>
  <c r="J194" i="6" s="1"/>
  <c r="D195" i="6" s="1"/>
  <c r="E197" i="6"/>
  <c r="G196" i="6"/>
  <c r="H195" i="6" l="1"/>
  <c r="I195" i="6" s="1"/>
  <c r="J195" i="6" s="1"/>
  <c r="D196" i="6" s="1"/>
  <c r="G197" i="6"/>
  <c r="E198" i="6"/>
  <c r="H196" i="6" l="1"/>
  <c r="I196" i="6" s="1"/>
  <c r="J196" i="6" s="1"/>
  <c r="D197" i="6" s="1"/>
  <c r="E199" i="6"/>
  <c r="G198" i="6"/>
  <c r="H197" i="6" l="1"/>
  <c r="I197" i="6" s="1"/>
  <c r="J197" i="6" s="1"/>
  <c r="D198" i="6" s="1"/>
  <c r="E200" i="6"/>
  <c r="G199" i="6"/>
  <c r="H198" i="6" l="1"/>
  <c r="I198" i="6" s="1"/>
  <c r="J198" i="6" s="1"/>
  <c r="D199" i="6" s="1"/>
  <c r="G200" i="6"/>
  <c r="E201" i="6"/>
  <c r="H199" i="6" l="1"/>
  <c r="I199" i="6" s="1"/>
  <c r="J199" i="6" s="1"/>
  <c r="D200" i="6" s="1"/>
  <c r="E202" i="6"/>
  <c r="G201" i="6"/>
  <c r="H200" i="6" l="1"/>
  <c r="I200" i="6" s="1"/>
  <c r="J200" i="6" s="1"/>
  <c r="D201" i="6" s="1"/>
  <c r="G202" i="6"/>
  <c r="E203" i="6"/>
  <c r="H201" i="6" l="1"/>
  <c r="I201" i="6" s="1"/>
  <c r="J201" i="6" s="1"/>
  <c r="D202" i="6" s="1"/>
  <c r="E204" i="6"/>
  <c r="G203" i="6"/>
  <c r="H202" i="6" l="1"/>
  <c r="I202" i="6" s="1"/>
  <c r="J202" i="6" s="1"/>
  <c r="D203" i="6" s="1"/>
  <c r="G204" i="6"/>
  <c r="E205" i="6"/>
  <c r="H203" i="6" l="1"/>
  <c r="I203" i="6" s="1"/>
  <c r="J203" i="6" s="1"/>
  <c r="D204" i="6" s="1"/>
  <c r="E206" i="6"/>
  <c r="G205" i="6"/>
  <c r="H204" i="6" l="1"/>
  <c r="I204" i="6" s="1"/>
  <c r="J204" i="6" s="1"/>
  <c r="D205" i="6" s="1"/>
  <c r="G206" i="6"/>
  <c r="H205" i="6" l="1"/>
  <c r="I205" i="6" s="1"/>
  <c r="J205" i="6" s="1"/>
  <c r="D206" i="6" s="1"/>
  <c r="H206" i="6" l="1"/>
  <c r="I206" i="6" s="1"/>
  <c r="J206" i="6" l="1"/>
  <c r="D207" i="6" l="1"/>
  <c r="H207" i="6" l="1"/>
  <c r="I207" i="6" s="1"/>
  <c r="J207" i="6" l="1"/>
  <c r="D208" i="6" s="1"/>
  <c r="H208" i="6" l="1"/>
  <c r="I208" i="6" s="1"/>
  <c r="J208" i="6" l="1"/>
  <c r="D209" i="6" s="1"/>
  <c r="H209" i="6" s="1"/>
  <c r="I209" i="6" s="1"/>
  <c r="J209" i="6" s="1"/>
  <c r="D210" i="6" s="1"/>
  <c r="H210" i="6" l="1"/>
  <c r="I210" i="6" s="1"/>
  <c r="J210" i="6" s="1"/>
  <c r="D211" i="6" s="1"/>
  <c r="H211" i="6" l="1"/>
  <c r="I211" i="6" s="1"/>
  <c r="I212" i="6" s="1"/>
  <c r="D218" i="6" s="1"/>
  <c r="D219" i="6" s="1"/>
  <c r="D224" i="6" l="1"/>
  <c r="D227" i="6"/>
  <c r="J227" i="6" s="1"/>
  <c r="D228" i="6" s="1"/>
  <c r="J211" i="6"/>
  <c r="J212" i="6" s="1"/>
  <c r="H228" i="6" l="1"/>
  <c r="E228" i="6"/>
  <c r="G228" i="6" s="1"/>
  <c r="J21" i="6"/>
  <c r="X30" i="12" s="1"/>
  <c r="D225" i="6"/>
  <c r="I228" i="6" l="1"/>
  <c r="J228" i="6" s="1"/>
  <c r="D229" i="6" s="1"/>
  <c r="H229" i="6" s="1"/>
  <c r="E229" i="6" l="1"/>
  <c r="G229" i="6" s="1"/>
  <c r="I229" i="6" s="1"/>
  <c r="J229" i="6" s="1"/>
  <c r="D230" i="6" s="1"/>
  <c r="E230" i="6" s="1"/>
  <c r="G230" i="6" s="1"/>
  <c r="H230" i="6" l="1"/>
  <c r="I230" i="6" s="1"/>
  <c r="J230" i="6" s="1"/>
  <c r="D231" i="6" s="1"/>
  <c r="E231" i="6" l="1"/>
  <c r="G231" i="6" s="1"/>
  <c r="H231" i="6"/>
  <c r="I231" i="6" l="1"/>
  <c r="J231" i="6" s="1"/>
  <c r="D232" i="6" s="1"/>
  <c r="E232" i="6" s="1"/>
  <c r="G232" i="6" s="1"/>
  <c r="H232" i="6" l="1"/>
  <c r="I232" i="6" s="1"/>
  <c r="J232" i="6" s="1"/>
  <c r="D233" i="6" s="1"/>
  <c r="H233" i="6" s="1"/>
  <c r="E233" i="6" l="1"/>
  <c r="G233" i="6" s="1"/>
  <c r="I233" i="6" s="1"/>
  <c r="J233" i="6" s="1"/>
  <c r="D234" i="6" s="1"/>
  <c r="E234" i="6" s="1"/>
  <c r="G234" i="6" s="1"/>
  <c r="H234" i="6" l="1"/>
  <c r="I234" i="6" s="1"/>
  <c r="J234" i="6" s="1"/>
  <c r="D235" i="6" s="1"/>
  <c r="E235" i="6" s="1"/>
  <c r="G235" i="6" s="1"/>
  <c r="H235" i="6" l="1"/>
  <c r="I235" i="6" s="1"/>
  <c r="J235" i="6" s="1"/>
  <c r="D236" i="6" s="1"/>
  <c r="E236" i="6" s="1"/>
  <c r="G236" i="6" s="1"/>
  <c r="H236" i="6" l="1"/>
  <c r="I236" i="6" s="1"/>
  <c r="J236" i="6" s="1"/>
  <c r="D237" i="6" s="1"/>
  <c r="H237" i="6" s="1"/>
  <c r="E237" i="6" l="1"/>
  <c r="G237" i="6" s="1"/>
  <c r="I237" i="6" s="1"/>
  <c r="J237" i="6" s="1"/>
  <c r="D238" i="6" s="1"/>
  <c r="E238" i="6" s="1"/>
  <c r="G238" i="6" s="1"/>
  <c r="H238" i="6" l="1"/>
  <c r="I238" i="6" s="1"/>
  <c r="J238" i="6" s="1"/>
  <c r="D239" i="6" s="1"/>
  <c r="H239" i="6" s="1"/>
  <c r="E239" i="6" l="1"/>
  <c r="G239" i="6" s="1"/>
  <c r="I239" i="6" s="1"/>
  <c r="J239" i="6" s="1"/>
  <c r="D240" i="6" s="1"/>
  <c r="H240" i="6" s="1"/>
  <c r="E240" i="6" l="1"/>
  <c r="G240" i="6" s="1"/>
  <c r="I240" i="6" s="1"/>
  <c r="J240" i="6" s="1"/>
  <c r="D241" i="6" s="1"/>
  <c r="H241" i="6" s="1"/>
  <c r="E241" i="6" l="1"/>
  <c r="G241" i="6" s="1"/>
  <c r="I241" i="6" s="1"/>
  <c r="J241" i="6" s="1"/>
  <c r="D242" i="6" s="1"/>
  <c r="E242" i="6" s="1"/>
  <c r="G242" i="6" s="1"/>
  <c r="H242" i="6" l="1"/>
  <c r="I242" i="6" s="1"/>
  <c r="J242" i="6" s="1"/>
  <c r="D243" i="6" s="1"/>
  <c r="H243" i="6" s="1"/>
  <c r="E243" i="6" l="1"/>
  <c r="G243" i="6" s="1"/>
  <c r="I243" i="6" s="1"/>
  <c r="J243" i="6" s="1"/>
  <c r="D244" i="6" s="1"/>
  <c r="E244" i="6" s="1"/>
  <c r="G244" i="6" s="1"/>
  <c r="H244" i="6" l="1"/>
  <c r="I244" i="6" s="1"/>
  <c r="J244" i="6" s="1"/>
  <c r="D245" i="6" s="1"/>
  <c r="H245" i="6" s="1"/>
  <c r="E245" i="6" l="1"/>
  <c r="G245" i="6" s="1"/>
  <c r="I245" i="6" s="1"/>
  <c r="J245" i="6" s="1"/>
  <c r="D246" i="6" s="1"/>
  <c r="E246" i="6" l="1"/>
  <c r="G246" i="6" s="1"/>
  <c r="H246" i="6"/>
  <c r="I246" i="6" l="1"/>
  <c r="J246" i="6" s="1"/>
  <c r="D247" i="6" s="1"/>
  <c r="H247" i="6" s="1"/>
  <c r="E247" i="6" l="1"/>
  <c r="G247" i="6" s="1"/>
  <c r="I247" i="6" s="1"/>
  <c r="J247" i="6" s="1"/>
  <c r="D248" i="6" s="1"/>
  <c r="E248" i="6" l="1"/>
  <c r="G248" i="6" s="1"/>
  <c r="H248" i="6"/>
  <c r="I248" i="6" l="1"/>
  <c r="J248" i="6" s="1"/>
  <c r="D249" i="6" s="1"/>
  <c r="E249" i="6" s="1"/>
  <c r="G249" i="6" s="1"/>
  <c r="H249" i="6" l="1"/>
  <c r="I249" i="6" s="1"/>
  <c r="J249" i="6" s="1"/>
  <c r="D250" i="6" s="1"/>
  <c r="E250" i="6" s="1"/>
  <c r="G250" i="6" s="1"/>
  <c r="H250" i="6" l="1"/>
  <c r="I250" i="6" s="1"/>
  <c r="J250" i="6" s="1"/>
  <c r="D251" i="6" s="1"/>
  <c r="E251" i="6" s="1"/>
  <c r="G251" i="6" s="1"/>
  <c r="H251" i="6" l="1"/>
  <c r="I251" i="6" s="1"/>
  <c r="J251" i="6" s="1"/>
  <c r="D252" i="6" s="1"/>
  <c r="E252" i="6" s="1"/>
  <c r="G252" i="6" s="1"/>
  <c r="H252" i="6" l="1"/>
  <c r="I252" i="6" s="1"/>
  <c r="J252" i="6" s="1"/>
  <c r="D253" i="6" s="1"/>
  <c r="H253" i="6" s="1"/>
  <c r="E253" i="6" l="1"/>
  <c r="G253" i="6" s="1"/>
  <c r="I253" i="6" s="1"/>
  <c r="J253" i="6" s="1"/>
  <c r="D254" i="6" s="1"/>
  <c r="H254" i="6" s="1"/>
  <c r="E254" i="6" l="1"/>
  <c r="G254" i="6" s="1"/>
  <c r="I254" i="6" s="1"/>
  <c r="J254" i="6" s="1"/>
  <c r="D255" i="6" s="1"/>
  <c r="E255" i="6" s="1"/>
  <c r="G255" i="6" s="1"/>
  <c r="H255" i="6" l="1"/>
  <c r="I255" i="6" s="1"/>
  <c r="J255" i="6" s="1"/>
  <c r="D256" i="6" s="1"/>
  <c r="E256" i="6" s="1"/>
  <c r="G256" i="6" s="1"/>
  <c r="H256" i="6" l="1"/>
  <c r="I256" i="6" s="1"/>
  <c r="J256" i="6" s="1"/>
  <c r="D257" i="6" s="1"/>
  <c r="E257" i="6" s="1"/>
  <c r="G257" i="6" s="1"/>
  <c r="H257" i="6" l="1"/>
  <c r="I257" i="6" s="1"/>
  <c r="J257" i="6" s="1"/>
  <c r="D258" i="6" s="1"/>
  <c r="H258" i="6" l="1"/>
  <c r="E258" i="6"/>
  <c r="G258" i="6" s="1"/>
  <c r="I258" i="6" l="1"/>
  <c r="J258" i="6" s="1"/>
  <c r="D259" i="6" s="1"/>
  <c r="H259" i="6" s="1"/>
  <c r="E259" i="6" l="1"/>
  <c r="G259" i="6" s="1"/>
  <c r="I259" i="6" s="1"/>
  <c r="J259" i="6" s="1"/>
  <c r="D260" i="6" s="1"/>
  <c r="E260" i="6" s="1"/>
  <c r="G260" i="6" s="1"/>
  <c r="H260" i="6" l="1"/>
  <c r="I260" i="6" s="1"/>
  <c r="J260" i="6" s="1"/>
  <c r="D261" i="6" s="1"/>
  <c r="H261" i="6" s="1"/>
  <c r="E261" i="6" l="1"/>
  <c r="G261" i="6" s="1"/>
  <c r="I261" i="6" s="1"/>
  <c r="J261" i="6" s="1"/>
  <c r="D262" i="6" s="1"/>
  <c r="H262" i="6" l="1"/>
  <c r="E262" i="6"/>
  <c r="G262" i="6" s="1"/>
  <c r="I262" i="6" l="1"/>
  <c r="J262" i="6" s="1"/>
  <c r="D263" i="6" s="1"/>
  <c r="E263" i="6" s="1"/>
  <c r="G263" i="6" s="1"/>
  <c r="H263" i="6" l="1"/>
  <c r="I263" i="6" s="1"/>
  <c r="J263" i="6" s="1"/>
  <c r="D264" i="6" s="1"/>
  <c r="E264" i="6" s="1"/>
  <c r="G264" i="6" s="1"/>
  <c r="H264" i="6" l="1"/>
  <c r="I264" i="6" s="1"/>
  <c r="J264" i="6" s="1"/>
  <c r="D265" i="6" s="1"/>
  <c r="H265" i="6" s="1"/>
  <c r="E265" i="6" l="1"/>
  <c r="G265" i="6" s="1"/>
  <c r="I265" i="6" s="1"/>
  <c r="J265" i="6" s="1"/>
  <c r="D266" i="6" s="1"/>
  <c r="E266" i="6" s="1"/>
  <c r="G266" i="6" s="1"/>
  <c r="H266" i="6" l="1"/>
  <c r="I266" i="6" s="1"/>
  <c r="J266" i="6" s="1"/>
  <c r="D267" i="6" s="1"/>
  <c r="E267" i="6" s="1"/>
  <c r="G267" i="6" s="1"/>
  <c r="H267" i="6" l="1"/>
  <c r="I267" i="6" s="1"/>
  <c r="J267" i="6" s="1"/>
  <c r="D268" i="6" s="1"/>
  <c r="E268" i="6" s="1"/>
  <c r="G268" i="6" s="1"/>
  <c r="H268" i="6" l="1"/>
  <c r="I268" i="6" s="1"/>
  <c r="J268" i="6" s="1"/>
  <c r="D269" i="6" s="1"/>
  <c r="E269" i="6" s="1"/>
  <c r="G269" i="6" s="1"/>
  <c r="H269" i="6" l="1"/>
  <c r="I269" i="6" s="1"/>
  <c r="J269" i="6" s="1"/>
  <c r="D270" i="6" s="1"/>
  <c r="E270" i="6" s="1"/>
  <c r="G270" i="6" s="1"/>
  <c r="H270" i="6" l="1"/>
  <c r="I270" i="6" s="1"/>
  <c r="J270" i="6" s="1"/>
  <c r="D271" i="6" s="1"/>
  <c r="H271" i="6" s="1"/>
  <c r="E271" i="6" l="1"/>
  <c r="G271" i="6" s="1"/>
  <c r="I271" i="6" s="1"/>
  <c r="J271" i="6" s="1"/>
  <c r="D272" i="6" s="1"/>
  <c r="H272" i="6" s="1"/>
  <c r="E272" i="6" l="1"/>
  <c r="G272" i="6" s="1"/>
  <c r="I272" i="6" s="1"/>
  <c r="J272" i="6" s="1"/>
  <c r="D273" i="6" s="1"/>
  <c r="H273" i="6" s="1"/>
  <c r="E273" i="6" l="1"/>
  <c r="G273" i="6" s="1"/>
  <c r="I273" i="6" s="1"/>
  <c r="J273" i="6" s="1"/>
  <c r="D274" i="6" s="1"/>
  <c r="E274" i="6" s="1"/>
  <c r="G274" i="6" s="1"/>
  <c r="H274" i="6" l="1"/>
  <c r="I274" i="6" s="1"/>
  <c r="J274" i="6" s="1"/>
  <c r="D275" i="6" s="1"/>
  <c r="H275" i="6" s="1"/>
  <c r="E275" i="6" l="1"/>
  <c r="G275" i="6" s="1"/>
  <c r="I275" i="6" s="1"/>
  <c r="J275" i="6" s="1"/>
  <c r="D276" i="6" s="1"/>
  <c r="E276" i="6" s="1"/>
  <c r="G276" i="6" s="1"/>
  <c r="H276" i="6" l="1"/>
  <c r="I276" i="6" s="1"/>
  <c r="J276" i="6" s="1"/>
  <c r="D277" i="6" s="1"/>
  <c r="H277" i="6" s="1"/>
  <c r="E277" i="6" l="1"/>
  <c r="G277" i="6" s="1"/>
  <c r="I277" i="6" s="1"/>
  <c r="J277" i="6" s="1"/>
  <c r="D278" i="6" s="1"/>
  <c r="E278" i="6" s="1"/>
  <c r="G278" i="6" s="1"/>
  <c r="H278" i="6" l="1"/>
  <c r="I278" i="6" s="1"/>
  <c r="J278" i="6" s="1"/>
  <c r="D279" i="6" s="1"/>
  <c r="H279" i="6" l="1"/>
  <c r="E279" i="6"/>
  <c r="G279" i="6" s="1"/>
  <c r="I279" i="6" l="1"/>
  <c r="J279" i="6" s="1"/>
  <c r="D280" i="6" s="1"/>
  <c r="H280" i="6" s="1"/>
  <c r="E280" i="6" l="1"/>
  <c r="G280" i="6" s="1"/>
  <c r="I280" i="6" s="1"/>
  <c r="J280" i="6" s="1"/>
  <c r="D281" i="6" s="1"/>
  <c r="H281" i="6" s="1"/>
  <c r="E281" i="6" l="1"/>
  <c r="G281" i="6" s="1"/>
  <c r="I281" i="6" s="1"/>
  <c r="J281" i="6" s="1"/>
  <c r="D282" i="6" s="1"/>
  <c r="E282" i="6" l="1"/>
  <c r="G282" i="6" s="1"/>
  <c r="H282" i="6"/>
  <c r="I282" i="6" l="1"/>
  <c r="J282" i="6" s="1"/>
  <c r="D283" i="6" s="1"/>
  <c r="E283" i="6" s="1"/>
  <c r="G283" i="6" s="1"/>
  <c r="H283" i="6" l="1"/>
  <c r="I283" i="6" s="1"/>
  <c r="J283" i="6" s="1"/>
  <c r="D284" i="6" s="1"/>
  <c r="E284" i="6" s="1"/>
  <c r="G284" i="6" s="1"/>
  <c r="H284" i="6" l="1"/>
  <c r="I284" i="6" s="1"/>
  <c r="J284" i="6" s="1"/>
  <c r="D285" i="6" s="1"/>
  <c r="E285" i="6" l="1"/>
  <c r="G285" i="6" s="1"/>
  <c r="H285" i="6"/>
  <c r="I285" i="6" l="1"/>
  <c r="J285" i="6" s="1"/>
  <c r="D286" i="6" s="1"/>
  <c r="H286" i="6" s="1"/>
  <c r="E286" i="6" l="1"/>
  <c r="G286" i="6" s="1"/>
  <c r="I286" i="6" s="1"/>
  <c r="J286" i="6" s="1"/>
  <c r="D287" i="6" s="1"/>
  <c r="E287" i="6" l="1"/>
  <c r="G287" i="6" s="1"/>
  <c r="H287" i="6"/>
  <c r="I287" i="6" l="1"/>
  <c r="J287" i="6" s="1"/>
  <c r="X26" i="12"/>
  <c r="C58" i="6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J348" i="6" l="1"/>
  <c r="D288" i="6"/>
  <c r="C92" i="6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AL22" i="12" l="1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E288" i="6"/>
  <c r="G288" i="6" s="1"/>
  <c r="H288" i="6"/>
  <c r="C207" i="6" l="1"/>
  <c r="C208" i="6" s="1"/>
  <c r="C209" i="6" s="1"/>
  <c r="C210" i="6" s="1"/>
  <c r="C211" i="6" s="1"/>
  <c r="C212" i="6" s="1"/>
  <c r="C227" i="6" s="1"/>
  <c r="I288" i="6"/>
  <c r="C228" i="6" l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J288" i="6"/>
  <c r="D289" i="6" s="1"/>
  <c r="E289" i="6" l="1"/>
  <c r="G289" i="6" s="1"/>
  <c r="H289" i="6"/>
  <c r="I289" i="6" l="1"/>
  <c r="J289" i="6" s="1"/>
  <c r="D290" i="6" s="1"/>
  <c r="E290" i="6" l="1"/>
  <c r="G290" i="6" s="1"/>
  <c r="H290" i="6"/>
  <c r="I290" i="6" l="1"/>
  <c r="J290" i="6" s="1"/>
  <c r="D291" i="6" s="1"/>
  <c r="E291" i="6" s="1"/>
  <c r="G291" i="6" s="1"/>
  <c r="H291" i="6" l="1"/>
  <c r="I291" i="6" s="1"/>
  <c r="J291" i="6" s="1"/>
  <c r="D292" i="6" s="1"/>
  <c r="H292" i="6" s="1"/>
  <c r="E292" i="6" l="1"/>
  <c r="G292" i="6" s="1"/>
  <c r="I292" i="6" s="1"/>
  <c r="J292" i="6" l="1"/>
  <c r="D293" i="6" s="1"/>
  <c r="E293" i="6" l="1"/>
  <c r="G293" i="6" s="1"/>
  <c r="H293" i="6"/>
  <c r="I293" i="6" l="1"/>
  <c r="J293" i="6" s="1"/>
  <c r="D294" i="6" s="1"/>
  <c r="E294" i="6" l="1"/>
  <c r="G294" i="6" s="1"/>
  <c r="H294" i="6"/>
  <c r="I294" i="6" l="1"/>
  <c r="J294" i="6" s="1"/>
  <c r="D295" i="6" s="1"/>
  <c r="E295" i="6" l="1"/>
  <c r="G295" i="6" s="1"/>
  <c r="H295" i="6"/>
  <c r="I295" i="6" l="1"/>
  <c r="J295" i="6" s="1"/>
  <c r="D296" i="6" s="1"/>
  <c r="E296" i="6" l="1"/>
  <c r="G296" i="6" s="1"/>
  <c r="H296" i="6"/>
  <c r="I296" i="6" l="1"/>
  <c r="J296" i="6" s="1"/>
  <c r="D297" i="6" s="1"/>
  <c r="E297" i="6" s="1"/>
  <c r="G297" i="6" s="1"/>
  <c r="H297" i="6" l="1"/>
  <c r="I297" i="6" s="1"/>
  <c r="J297" i="6" s="1"/>
  <c r="D298" i="6" s="1"/>
  <c r="H298" i="6" l="1"/>
  <c r="E298" i="6"/>
  <c r="G298" i="6" s="1"/>
  <c r="I298" i="6" l="1"/>
  <c r="J298" i="6" s="1"/>
  <c r="D299" i="6" s="1"/>
  <c r="E299" i="6" s="1"/>
  <c r="G299" i="6" s="1"/>
  <c r="H299" i="6" l="1"/>
  <c r="I299" i="6" s="1"/>
  <c r="J299" i="6" s="1"/>
  <c r="D300" i="6" s="1"/>
  <c r="E300" i="6" l="1"/>
  <c r="G300" i="6" s="1"/>
  <c r="H300" i="6"/>
  <c r="I300" i="6" l="1"/>
  <c r="J300" i="6" s="1"/>
  <c r="D301" i="6" s="1"/>
  <c r="H301" i="6" s="1"/>
  <c r="E301" i="6" l="1"/>
  <c r="G301" i="6" s="1"/>
  <c r="I301" i="6" s="1"/>
  <c r="J301" i="6" s="1"/>
  <c r="D302" i="6" s="1"/>
  <c r="H302" i="6" s="1"/>
  <c r="E302" i="6" l="1"/>
  <c r="G302" i="6" s="1"/>
  <c r="I302" i="6" s="1"/>
  <c r="J302" i="6" s="1"/>
  <c r="D303" i="6" l="1"/>
  <c r="H303" i="6" s="1"/>
  <c r="E303" i="6" l="1"/>
  <c r="G303" i="6" s="1"/>
  <c r="I303" i="6" s="1"/>
  <c r="J303" i="6" s="1"/>
  <c r="D304" i="6" l="1"/>
  <c r="H304" i="6" s="1"/>
  <c r="E304" i="6" l="1"/>
  <c r="G304" i="6" s="1"/>
  <c r="I304" i="6" s="1"/>
  <c r="J304" i="6" s="1"/>
  <c r="D305" i="6" l="1"/>
  <c r="H305" i="6" s="1"/>
  <c r="E305" i="6" l="1"/>
  <c r="G305" i="6" s="1"/>
  <c r="I305" i="6" s="1"/>
  <c r="J305" i="6" s="1"/>
  <c r="D306" i="6" l="1"/>
  <c r="H306" i="6" s="1"/>
  <c r="E306" i="6" l="1"/>
  <c r="G306" i="6" s="1"/>
  <c r="I306" i="6" s="1"/>
  <c r="J306" i="6" s="1"/>
  <c r="D307" i="6" l="1"/>
  <c r="H307" i="6" s="1"/>
  <c r="E307" i="6" l="1"/>
  <c r="G307" i="6" s="1"/>
  <c r="I307" i="6" s="1"/>
  <c r="J307" i="6" s="1"/>
  <c r="D308" i="6" l="1"/>
  <c r="H308" i="6" s="1"/>
  <c r="E308" i="6" l="1"/>
  <c r="G308" i="6" s="1"/>
  <c r="I308" i="6" s="1"/>
  <c r="J308" i="6" l="1"/>
  <c r="D309" i="6" s="1"/>
  <c r="H309" i="6" s="1"/>
  <c r="E309" i="6" l="1"/>
  <c r="G309" i="6" s="1"/>
  <c r="I309" i="6" s="1"/>
  <c r="J309" i="6" s="1"/>
  <c r="D310" i="6" l="1"/>
  <c r="H310" i="6" s="1"/>
  <c r="E310" i="6" l="1"/>
  <c r="G310" i="6" s="1"/>
  <c r="I310" i="6" s="1"/>
  <c r="J310" i="6" s="1"/>
  <c r="D311" i="6" l="1"/>
  <c r="H311" i="6" s="1"/>
  <c r="E311" i="6" l="1"/>
  <c r="G311" i="6" s="1"/>
  <c r="I311" i="6" s="1"/>
  <c r="J311" i="6" s="1"/>
  <c r="D312" i="6" l="1"/>
  <c r="H312" i="6" s="1"/>
  <c r="E312" i="6" l="1"/>
  <c r="G312" i="6" s="1"/>
  <c r="I312" i="6" s="1"/>
  <c r="J312" i="6" s="1"/>
  <c r="D313" i="6" l="1"/>
  <c r="H313" i="6" s="1"/>
  <c r="E313" i="6" l="1"/>
  <c r="G313" i="6" s="1"/>
  <c r="I313" i="6" s="1"/>
  <c r="J313" i="6" s="1"/>
  <c r="D314" i="6" l="1"/>
  <c r="H314" i="6" s="1"/>
  <c r="E314" i="6" l="1"/>
  <c r="G314" i="6" s="1"/>
  <c r="I314" i="6" s="1"/>
  <c r="J314" i="6" s="1"/>
  <c r="D315" i="6" l="1"/>
  <c r="H315" i="6" s="1"/>
  <c r="E315" i="6" l="1"/>
  <c r="G315" i="6" s="1"/>
  <c r="I315" i="6" s="1"/>
  <c r="J315" i="6" s="1"/>
  <c r="D316" i="6" l="1"/>
  <c r="H316" i="6" s="1"/>
  <c r="E316" i="6" l="1"/>
  <c r="G316" i="6" s="1"/>
  <c r="I316" i="6" s="1"/>
  <c r="J316" i="6" s="1"/>
  <c r="D317" i="6" l="1"/>
  <c r="H317" i="6" s="1"/>
  <c r="E317" i="6" l="1"/>
  <c r="G317" i="6" s="1"/>
  <c r="I317" i="6" s="1"/>
  <c r="J317" i="6" l="1"/>
  <c r="D318" i="6" s="1"/>
  <c r="H318" i="6" s="1"/>
  <c r="E318" i="6" l="1"/>
  <c r="G318" i="6" s="1"/>
  <c r="I318" i="6" s="1"/>
  <c r="J318" i="6" s="1"/>
  <c r="D319" i="6" l="1"/>
  <c r="H319" i="6" s="1"/>
  <c r="E319" i="6" l="1"/>
  <c r="G319" i="6" s="1"/>
  <c r="I319" i="6" s="1"/>
  <c r="J319" i="6" s="1"/>
  <c r="D320" i="6" l="1"/>
  <c r="H320" i="6" s="1"/>
  <c r="E320" i="6" l="1"/>
  <c r="G320" i="6" s="1"/>
  <c r="I320" i="6" s="1"/>
  <c r="J320" i="6" s="1"/>
  <c r="D321" i="6" l="1"/>
  <c r="H321" i="6" s="1"/>
  <c r="E321" i="6" l="1"/>
  <c r="G321" i="6" s="1"/>
  <c r="I321" i="6" s="1"/>
  <c r="J321" i="6" l="1"/>
  <c r="D322" i="6" s="1"/>
  <c r="H322" i="6" s="1"/>
  <c r="E322" i="6" l="1"/>
  <c r="G322" i="6" s="1"/>
  <c r="I322" i="6" s="1"/>
  <c r="J322" i="6" l="1"/>
  <c r="D323" i="6" s="1"/>
  <c r="H323" i="6" s="1"/>
  <c r="E323" i="6" l="1"/>
  <c r="G323" i="6" s="1"/>
  <c r="I323" i="6" s="1"/>
  <c r="J323" i="6" s="1"/>
  <c r="D324" i="6" l="1"/>
  <c r="H324" i="6" s="1"/>
  <c r="E324" i="6" l="1"/>
  <c r="G324" i="6" s="1"/>
  <c r="I324" i="6" s="1"/>
  <c r="J324" i="6" s="1"/>
  <c r="D325" i="6" l="1"/>
  <c r="H325" i="6" s="1"/>
  <c r="E325" i="6" l="1"/>
  <c r="G325" i="6" s="1"/>
  <c r="I325" i="6" s="1"/>
  <c r="J325" i="6" s="1"/>
  <c r="D326" i="6" l="1"/>
  <c r="H326" i="6" s="1"/>
  <c r="E326" i="6" l="1"/>
  <c r="G326" i="6" s="1"/>
  <c r="I326" i="6" s="1"/>
  <c r="J326" i="6" l="1"/>
  <c r="D327" i="6" s="1"/>
  <c r="H327" i="6" s="1"/>
  <c r="E327" i="6" l="1"/>
  <c r="G327" i="6" s="1"/>
  <c r="I327" i="6" s="1"/>
  <c r="J327" i="6" l="1"/>
  <c r="D328" i="6" s="1"/>
  <c r="H328" i="6" s="1"/>
  <c r="E328" i="6" l="1"/>
  <c r="G328" i="6" s="1"/>
  <c r="I328" i="6" s="1"/>
  <c r="J328" i="6" s="1"/>
  <c r="D329" i="6" l="1"/>
  <c r="H329" i="6" s="1"/>
  <c r="E329" i="6" l="1"/>
  <c r="G329" i="6" s="1"/>
  <c r="I329" i="6" s="1"/>
  <c r="J329" i="6" s="1"/>
  <c r="D330" i="6" l="1"/>
  <c r="H330" i="6" s="1"/>
  <c r="E330" i="6" l="1"/>
  <c r="G330" i="6" s="1"/>
  <c r="I330" i="6" s="1"/>
  <c r="J330" i="6" s="1"/>
  <c r="D331" i="6" l="1"/>
  <c r="H331" i="6" s="1"/>
  <c r="E331" i="6" l="1"/>
  <c r="G331" i="6" s="1"/>
  <c r="I331" i="6" s="1"/>
  <c r="J331" i="6" s="1"/>
  <c r="D332" i="6" l="1"/>
  <c r="H332" i="6" s="1"/>
  <c r="E332" i="6" l="1"/>
  <c r="G332" i="6" s="1"/>
  <c r="I332" i="6" s="1"/>
  <c r="J332" i="6" s="1"/>
  <c r="D333" i="6" l="1"/>
  <c r="H333" i="6" s="1"/>
  <c r="E333" i="6" l="1"/>
  <c r="G333" i="6" s="1"/>
  <c r="I333" i="6" s="1"/>
  <c r="J333" i="6" s="1"/>
  <c r="D334" i="6" l="1"/>
  <c r="H334" i="6" s="1"/>
  <c r="E334" i="6" l="1"/>
  <c r="G334" i="6" s="1"/>
  <c r="I334" i="6" s="1"/>
  <c r="J334" i="6" s="1"/>
  <c r="D335" i="6" l="1"/>
  <c r="H335" i="6" s="1"/>
  <c r="E335" i="6" l="1"/>
  <c r="G335" i="6" s="1"/>
  <c r="I335" i="6" s="1"/>
  <c r="J335" i="6" s="1"/>
  <c r="D336" i="6" l="1"/>
  <c r="H336" i="6" s="1"/>
  <c r="E336" i="6" l="1"/>
  <c r="G336" i="6" s="1"/>
  <c r="I336" i="6" s="1"/>
  <c r="J336" i="6" s="1"/>
  <c r="D337" i="6" s="1"/>
  <c r="H337" i="6" s="1"/>
  <c r="E337" i="6" l="1"/>
  <c r="G337" i="6" s="1"/>
  <c r="I337" i="6" s="1"/>
  <c r="J337" i="6" s="1"/>
  <c r="D338" i="6" s="1"/>
  <c r="H338" i="6" s="1"/>
  <c r="E338" i="6" l="1"/>
  <c r="G338" i="6" s="1"/>
  <c r="I338" i="6" s="1"/>
  <c r="J338" i="6" s="1"/>
  <c r="D339" i="6" s="1"/>
  <c r="H339" i="6" s="1"/>
  <c r="E339" i="6" l="1"/>
  <c r="G339" i="6" s="1"/>
  <c r="I339" i="6" s="1"/>
  <c r="J339" i="6" s="1"/>
  <c r="D340" i="6" l="1"/>
  <c r="H340" i="6" s="1"/>
  <c r="E340" i="6" l="1"/>
  <c r="G340" i="6" s="1"/>
  <c r="I340" i="6" s="1"/>
  <c r="J340" i="6" s="1"/>
  <c r="D341" i="6" l="1"/>
  <c r="H341" i="6" s="1"/>
  <c r="E341" i="6" l="1"/>
  <c r="G341" i="6" s="1"/>
  <c r="I341" i="6" s="1"/>
  <c r="J341" i="6" s="1"/>
  <c r="D342" i="6" l="1"/>
  <c r="H342" i="6" s="1"/>
  <c r="E342" i="6" l="1"/>
  <c r="G342" i="6" s="1"/>
  <c r="I342" i="6" s="1"/>
  <c r="J342" i="6" s="1"/>
  <c r="D343" i="6" l="1"/>
  <c r="H343" i="6" s="1"/>
  <c r="E343" i="6" l="1"/>
  <c r="G343" i="6" s="1"/>
  <c r="I343" i="6" s="1"/>
  <c r="J343" i="6" l="1"/>
  <c r="D344" i="6" s="1"/>
  <c r="H344" i="6" s="1"/>
  <c r="E344" i="6" l="1"/>
  <c r="G344" i="6" s="1"/>
  <c r="I344" i="6" s="1"/>
  <c r="J344" i="6" s="1"/>
  <c r="D345" i="6" l="1"/>
  <c r="H345" i="6" s="1"/>
  <c r="E345" i="6" l="1"/>
  <c r="G345" i="6" s="1"/>
  <c r="I345" i="6" s="1"/>
  <c r="J345" i="6" s="1"/>
  <c r="D346" i="6" l="1"/>
  <c r="H346" i="6" s="1"/>
  <c r="E346" i="6" l="1"/>
  <c r="G346" i="6" s="1"/>
  <c r="I346" i="6" s="1"/>
  <c r="J346" i="6" s="1"/>
  <c r="D347" i="6" l="1"/>
  <c r="H347" i="6" s="1"/>
  <c r="E347" i="6" l="1"/>
  <c r="G347" i="6" s="1"/>
  <c r="I347" i="6" s="1"/>
  <c r="I348" i="6" s="1"/>
  <c r="J347" i="6" l="1"/>
</calcChain>
</file>

<file path=xl/sharedStrings.xml><?xml version="1.0" encoding="utf-8"?>
<sst xmlns="http://schemas.openxmlformats.org/spreadsheetml/2006/main" count="503" uniqueCount="289">
  <si>
    <t>RESUMEN GENERAL</t>
  </si>
  <si>
    <t>m2</t>
  </si>
  <si>
    <t>MONTO</t>
  </si>
  <si>
    <t>ENGANCHE %</t>
  </si>
  <si>
    <t>FINANCIAR</t>
  </si>
  <si>
    <t>AÑOS</t>
  </si>
  <si>
    <t>MESES</t>
  </si>
  <si>
    <t>PRIMEROS 4 AÑOS</t>
  </si>
  <si>
    <t>MESES S/INT</t>
  </si>
  <si>
    <t>Interés:</t>
  </si>
  <si>
    <t>Mensualidad</t>
  </si>
  <si>
    <t>PERIODO</t>
  </si>
  <si>
    <t>FECHA</t>
  </si>
  <si>
    <t>SALDO INICIAL</t>
  </si>
  <si>
    <t>MENSUALUDAD</t>
  </si>
  <si>
    <t>ABONOS</t>
  </si>
  <si>
    <t>PAGADO</t>
  </si>
  <si>
    <t>INTERÉS</t>
  </si>
  <si>
    <t>ABONO A CAPITAL</t>
  </si>
  <si>
    <t>SALDO FINAL</t>
  </si>
  <si>
    <t>POR PAGAR</t>
  </si>
  <si>
    <t>MESES RESTANTES</t>
  </si>
  <si>
    <t>CRÉDITO A 10 AÑOS</t>
  </si>
  <si>
    <t>MESES C/INT</t>
  </si>
  <si>
    <t>Mensualidad:</t>
  </si>
  <si>
    <t>MENSUALIDAD</t>
  </si>
  <si>
    <t xml:space="preserve">MESES C/INT </t>
  </si>
  <si>
    <t xml:space="preserve">Descuento: </t>
  </si>
  <si>
    <t>Documentación Requerida:</t>
  </si>
  <si>
    <t>Física.</t>
  </si>
  <si>
    <t>Moral:</t>
  </si>
  <si>
    <t>*Comprobante de Domicilio (Empresa y Representante legal).</t>
  </si>
  <si>
    <t>Referencia:</t>
  </si>
  <si>
    <t>Precio de Lista:</t>
  </si>
  <si>
    <t>CONDOMINIO:</t>
  </si>
  <si>
    <t>M2:</t>
  </si>
  <si>
    <t>TEMPORALIDAD:</t>
  </si>
  <si>
    <t>LOTE:</t>
  </si>
  <si>
    <t>NOMBRE:</t>
  </si>
  <si>
    <t>CEL:</t>
  </si>
  <si>
    <t>DOMILICIO:</t>
  </si>
  <si>
    <t>VIVES EN CASA:</t>
  </si>
  <si>
    <t>CORREO:</t>
  </si>
  <si>
    <t>ESTADO CIVIL:</t>
  </si>
  <si>
    <t>LUGAR DE NACIMIENTO:</t>
  </si>
  <si>
    <t>NACIONALIDAD:</t>
  </si>
  <si>
    <t>ESTUDIOS:</t>
  </si>
  <si>
    <t>ANTIGÜEDAD:</t>
  </si>
  <si>
    <t>TELÉFONO:</t>
  </si>
  <si>
    <t>PUESTO:</t>
  </si>
  <si>
    <t>ESCRITURACIÓN</t>
  </si>
  <si>
    <t>PERSONA FÍSICA</t>
  </si>
  <si>
    <t>PERSONA MORAL</t>
  </si>
  <si>
    <t>Total a Pagar:</t>
  </si>
  <si>
    <t>TOTAL A PAGAR:</t>
  </si>
  <si>
    <t>PRECIOS</t>
  </si>
  <si>
    <t>SELVA 1</t>
  </si>
  <si>
    <t>SELVA 2</t>
  </si>
  <si>
    <t>SELVA 3</t>
  </si>
  <si>
    <t>SELVA 4</t>
  </si>
  <si>
    <t>SI</t>
  </si>
  <si>
    <t>NO</t>
  </si>
  <si>
    <t>Precios Sujetos a cambio  sin previo  aviso.</t>
  </si>
  <si>
    <t>Adjuntar en ambos casos</t>
  </si>
  <si>
    <t>Simulador y hoja de Registro</t>
  </si>
  <si>
    <t>Evidencia de Envio de Proceso de Facturación y Pago.</t>
  </si>
  <si>
    <t xml:space="preserve">Evidencia de Envio de Reglamento de Administración y Contrucción. </t>
  </si>
  <si>
    <t>Anexar Check-lis Firmado por cliente (Despues de firmar contrato anexar).</t>
  </si>
  <si>
    <t>FECHA DE NACIMIENTO:</t>
  </si>
  <si>
    <t>RFC:</t>
  </si>
  <si>
    <t>GIRO:</t>
  </si>
  <si>
    <t>ACTIVIDAD:</t>
  </si>
  <si>
    <t>ACTA CONSTITUTIVA</t>
  </si>
  <si>
    <t>FOLIO:</t>
  </si>
  <si>
    <t>CIUDAD DE REGISTRO:</t>
  </si>
  <si>
    <t>FECHA DE REGISTRO:</t>
  </si>
  <si>
    <t>OBJETO SOCIAL:</t>
  </si>
  <si>
    <t xml:space="preserve">No NOTARIA: </t>
  </si>
  <si>
    <t>FOLIO MERCANTIL:</t>
  </si>
  <si>
    <t>NOMBRE NOTARIO:</t>
  </si>
  <si>
    <t>DATOS DE PERSONA FISICA</t>
  </si>
  <si>
    <t>DATOS DE PERSONA MORAL</t>
  </si>
  <si>
    <t>LICENCIATURA</t>
  </si>
  <si>
    <t>ESPECIFICAR:</t>
  </si>
  <si>
    <t>PROPIA</t>
  </si>
  <si>
    <t>USO DE PROPIEDAD:</t>
  </si>
  <si>
    <t>Recibo y Voucher, de Apartado y/o enganche.</t>
  </si>
  <si>
    <t>DATOS COPROPIEDAD</t>
  </si>
  <si>
    <t>NOMBRE 1:</t>
  </si>
  <si>
    <t>NOMBRE 2:</t>
  </si>
  <si>
    <t>BOSQUE 1</t>
  </si>
  <si>
    <t>BOSQUE 2</t>
  </si>
  <si>
    <t>BOSQUE 3</t>
  </si>
  <si>
    <t>PLUSVALÍA:</t>
  </si>
  <si>
    <t>FECHA DE APARTADO:</t>
  </si>
  <si>
    <t>BOSQUE 4</t>
  </si>
  <si>
    <t>Lomas Etapa 1y 2 Premium</t>
  </si>
  <si>
    <t>Lomas Etapa 1y 2 Estándar</t>
  </si>
  <si>
    <t>PARQUE</t>
  </si>
  <si>
    <t>LOMAS DE PORTTO BLANCO CIMATARIO</t>
  </si>
  <si>
    <t>PORTTO BLANCO CIMATARIO</t>
  </si>
  <si>
    <t>LOGO</t>
  </si>
  <si>
    <t xml:space="preserve">Enganche: </t>
  </si>
  <si>
    <t>Descuento en el Enganche:</t>
  </si>
  <si>
    <t>Enganche extra</t>
  </si>
  <si>
    <t>Enganche a Pagar:</t>
  </si>
  <si>
    <t>IMPORTES:</t>
  </si>
  <si>
    <t>SUBTOTAL</t>
  </si>
  <si>
    <t>TIPO:</t>
  </si>
  <si>
    <t>P.U LISTA:</t>
  </si>
  <si>
    <t>P.U DESCUENTO:</t>
  </si>
  <si>
    <t>MENSUALIDADES:</t>
  </si>
  <si>
    <t>FINANCIAMIENTO:</t>
  </si>
  <si>
    <t>NOMBRE CLIENTE:</t>
  </si>
  <si>
    <t>LOTE</t>
  </si>
  <si>
    <t>LOMAS ETAPA 1</t>
  </si>
  <si>
    <t>LOMAS ETAPA 2</t>
  </si>
  <si>
    <t>LAGO 1</t>
  </si>
  <si>
    <t>Desarrollo:</t>
  </si>
  <si>
    <t>ESTADO CIVIL</t>
  </si>
  <si>
    <t>TSU</t>
  </si>
  <si>
    <t>PREPARATORIA</t>
  </si>
  <si>
    <t>OTRO</t>
  </si>
  <si>
    <t>MAESTRIA</t>
  </si>
  <si>
    <t xml:space="preserve">VIVE EN CASA </t>
  </si>
  <si>
    <t xml:space="preserve">RENTA </t>
  </si>
  <si>
    <t xml:space="preserve">FAMILIAR </t>
  </si>
  <si>
    <t>DOCTORADO</t>
  </si>
  <si>
    <t>DESGLOSE DE FINANCIAMIENTO A MESES SIN INTERESES</t>
  </si>
  <si>
    <t>DESGLOSE DE FINANCIAMIENTO A MESES CON INTERESES (1%)</t>
  </si>
  <si>
    <t>DESGLOSE DE FINANCIAMIENTO A MESES CON INTERESES (1.25%)</t>
  </si>
  <si>
    <t>PBC_Estándar</t>
  </si>
  <si>
    <t>PBC_Premium</t>
  </si>
  <si>
    <t>MANGLAR 1</t>
  </si>
  <si>
    <t>NOMBRE 3:</t>
  </si>
  <si>
    <t>MES ENTREGA:</t>
  </si>
  <si>
    <t>Lomas Etapa 3 Estándar</t>
  </si>
  <si>
    <t>Lomas Etapa 3 Premium</t>
  </si>
  <si>
    <t>LOMAS ETAPA 3</t>
  </si>
  <si>
    <t>CURP:</t>
  </si>
  <si>
    <t>APLICA BIENES:</t>
  </si>
  <si>
    <t>MANGLAR 2</t>
  </si>
  <si>
    <t>*Acta de nacimiento.</t>
  </si>
  <si>
    <t>*Identificación oficial vigente.</t>
  </si>
  <si>
    <t>*Acta de matrimonio ( en caso de ser casado).</t>
  </si>
  <si>
    <t>*Constancia de situación fiscal</t>
  </si>
  <si>
    <t>*CURP .</t>
  </si>
  <si>
    <t>*Comprobante de domicilio</t>
  </si>
  <si>
    <t>*Identificación oficial del representante legal vigente.</t>
  </si>
  <si>
    <t>*Acta de nacimiento del representante legal.</t>
  </si>
  <si>
    <t>*Acta constitutiva</t>
  </si>
  <si>
    <t>*Constancia de situacón fiscal empre y representante legal</t>
  </si>
  <si>
    <t>*CURP del representante legal</t>
  </si>
  <si>
    <t>*Poder en el que ostenta las facultades otorgadas al representante legal</t>
  </si>
  <si>
    <t>BERNAL ESTANDAR</t>
  </si>
  <si>
    <t xml:space="preserve">BERNAL PREMIUM </t>
  </si>
  <si>
    <t>PORTTO BLANCO BERNAL</t>
  </si>
  <si>
    <t>DESARROLLO</t>
  </si>
  <si>
    <t>PBC</t>
  </si>
  <si>
    <t>LPBC</t>
  </si>
  <si>
    <t>PBB</t>
  </si>
  <si>
    <t>DESARROLLO:</t>
  </si>
  <si>
    <t>ESTANDAR</t>
  </si>
  <si>
    <t>PREMIUM</t>
  </si>
  <si>
    <t>EN CASO DE SER EXTRANJERO ANEXAR FORMA MIGRATORIA</t>
  </si>
  <si>
    <t>ZAFIRO 1</t>
  </si>
  <si>
    <t>ZAFIRO 2</t>
  </si>
  <si>
    <t>AMATISTA 1</t>
  </si>
  <si>
    <t>AMATISTA 2</t>
  </si>
  <si>
    <t>DESIERTO 1</t>
  </si>
  <si>
    <t>DESIERTO 2</t>
  </si>
  <si>
    <t>DESIERTO 3</t>
  </si>
  <si>
    <t>DESIERTO 4</t>
  </si>
  <si>
    <t>TAIGA 1</t>
  </si>
  <si>
    <t>TAIGA 2</t>
  </si>
  <si>
    <t>TAIGA 3</t>
  </si>
  <si>
    <t>PARAMO 1</t>
  </si>
  <si>
    <t>PARAMO 2</t>
  </si>
  <si>
    <t>PARAMO 3</t>
  </si>
  <si>
    <t xml:space="preserve">MENSUALIDAD CON INTERÉS </t>
  </si>
  <si>
    <t>MENSUALIDAD SIN INTERÉS</t>
  </si>
  <si>
    <t>En caso de ser casado por sociedad conyugal anexar la documentación de ambas personas</t>
  </si>
  <si>
    <t>En caso de ser por copropiedad anexar documentación de ambos.</t>
  </si>
  <si>
    <t>FECHA DE COTIZACIÓN:</t>
  </si>
  <si>
    <t>MALAQUITA 1</t>
  </si>
  <si>
    <t>MALAQUITA 2</t>
  </si>
  <si>
    <t>PROMOCION:</t>
  </si>
  <si>
    <t>PROMOCIONES</t>
  </si>
  <si>
    <t>LINEAMIENTOS PPB SEPTIEMBRE MES PATRIO 13 - 30 SEP 2022</t>
  </si>
  <si>
    <t>PROMOCIONES MES PATRIO 19 - 30 SEP 2023</t>
  </si>
  <si>
    <t xml:space="preserve">PROMOCIONES ANIVERSARIO GRUPO CCIMA 01-31 OCT 2022 </t>
  </si>
  <si>
    <t xml:space="preserve">EL BUEN FIN LLEGO A GRUPO CCIMA 01-30 NOV 2022 </t>
  </si>
  <si>
    <t>PROMOCIONES FERIA GANADERA DE QUERETARO 24 NOV - 12 DIC 2022</t>
  </si>
  <si>
    <t>LANZAMIENTO PPB "LANZAMIENTO MALAQUITA"  24 NOV 2022</t>
  </si>
  <si>
    <t>LA NAVIDAD LLEGO A GRUPO CCIMA 01-31 DIC 2022</t>
  </si>
  <si>
    <t>PROMOCION SORPRESA SHERPA NAVIDEÑO 06 -31 DIC 2022</t>
  </si>
  <si>
    <t>PROMOCIÓN:</t>
  </si>
  <si>
    <t>DOCUMENTACIÓN ENTREGADA</t>
  </si>
  <si>
    <t>REFERENCIA:</t>
  </si>
  <si>
    <t>DESCUENTO:</t>
  </si>
  <si>
    <t>P.U. DESCUENTO:</t>
  </si>
  <si>
    <t xml:space="preserve">ENGANCHE(10%): </t>
  </si>
  <si>
    <t>Desc. 10% Enganche:</t>
  </si>
  <si>
    <t>ENGANCHE REAL:</t>
  </si>
  <si>
    <t>FECHA DE ENTREGA:</t>
  </si>
  <si>
    <t>USO DE PROPIEDAD</t>
  </si>
  <si>
    <t>PATRIMONIO</t>
  </si>
  <si>
    <t>INVERSION</t>
  </si>
  <si>
    <t>ESTUDIOS</t>
  </si>
  <si>
    <t>PRIMARIA</t>
  </si>
  <si>
    <t>SECUNDARIA</t>
  </si>
  <si>
    <t>INGENIERIA</t>
  </si>
  <si>
    <t>EMPREA LABORA:</t>
  </si>
  <si>
    <t>SOLTERO</t>
  </si>
  <si>
    <t>CASADO</t>
  </si>
  <si>
    <t>APLICA BIENES</t>
  </si>
  <si>
    <t>NOMBRE CONYUGE:</t>
  </si>
  <si>
    <t>REPRESENTANTE LEGAL 1:</t>
  </si>
  <si>
    <t>REPRESENTANTE LEGAL 2:</t>
  </si>
  <si>
    <t>REPRESENTANTE LEGAL 3:</t>
  </si>
  <si>
    <t>TASA DE INTERÉS:</t>
  </si>
  <si>
    <t>TASA DE INTERÉS</t>
  </si>
  <si>
    <t>AÑO NUEVO NUEVAS PROMOCIONES 01-31 ENERO 2023</t>
  </si>
  <si>
    <t>RESUMEN EJECUTIVO DE VENTA</t>
  </si>
  <si>
    <t xml:space="preserve">P. U. LISTA: </t>
  </si>
  <si>
    <t>DATOS DEL CLIENTE</t>
  </si>
  <si>
    <t>TIPO DE CONTRATO</t>
  </si>
  <si>
    <t>TIPO DE CONTRATO:</t>
  </si>
  <si>
    <t>PERSONA FISICA</t>
  </si>
  <si>
    <t xml:space="preserve">PERSONA MORAL </t>
  </si>
  <si>
    <t>COPROPIEDAD</t>
  </si>
  <si>
    <t>ACUERDOS ADICIONALES</t>
  </si>
  <si>
    <t>INFORMACION  DE VENTA</t>
  </si>
  <si>
    <t>Vo.Bo De acuerdo a Empowerment.</t>
  </si>
  <si>
    <t>NOMBRE DE EMPRESA:</t>
  </si>
  <si>
    <t>NOMBRE DEL CLIENTE:</t>
  </si>
  <si>
    <t>MONTO A FINANCIAR:</t>
  </si>
  <si>
    <t>Monto a Financiar:</t>
  </si>
  <si>
    <t>Monto de Operación:</t>
  </si>
  <si>
    <t>INFORMACIÓN DEL CLIENTE</t>
  </si>
  <si>
    <t>FECHA  1RA MENSUALIDAD:</t>
  </si>
  <si>
    <t xml:space="preserve">;  </t>
  </si>
  <si>
    <t>TEL. :</t>
  </si>
  <si>
    <t>QUINCENA 1</t>
  </si>
  <si>
    <t>QUINCENA 2</t>
  </si>
  <si>
    <t>QUINCENA 4</t>
  </si>
  <si>
    <t>QUINCENA 3</t>
  </si>
  <si>
    <t>N/A</t>
  </si>
  <si>
    <t>ENGANCHE DIFERIDO:</t>
  </si>
  <si>
    <t>ENGANCHE DIFERIDO 1 MES</t>
  </si>
  <si>
    <t>ENGANCHE DIFERIDO 2 MESES</t>
  </si>
  <si>
    <t>LAGO 2</t>
  </si>
  <si>
    <t>DESIERTO_1</t>
  </si>
  <si>
    <t>DESIERTO_2</t>
  </si>
  <si>
    <t>DESIERTO_3</t>
  </si>
  <si>
    <t>DESIERTO_4</t>
  </si>
  <si>
    <t>TAIGA_1</t>
  </si>
  <si>
    <t>LOMAS_ETAPA_1</t>
  </si>
  <si>
    <t>LOMAS_ETAPA_3</t>
  </si>
  <si>
    <t>TAIGA_2</t>
  </si>
  <si>
    <t>TAIGA_3</t>
  </si>
  <si>
    <t>PARAMO_1</t>
  </si>
  <si>
    <t>PARAMO_2</t>
  </si>
  <si>
    <t>PARAMO_3</t>
  </si>
  <si>
    <t>SELVA_1</t>
  </si>
  <si>
    <t>SELVA_2</t>
  </si>
  <si>
    <t>SELVA_3</t>
  </si>
  <si>
    <t>SELVA_4</t>
  </si>
  <si>
    <t>BOSQUE_1</t>
  </si>
  <si>
    <t>BOSQUE_2</t>
  </si>
  <si>
    <t>BOSQUE_3</t>
  </si>
  <si>
    <t>BOSQUE_4</t>
  </si>
  <si>
    <t>LAGO_1</t>
  </si>
  <si>
    <t>MANGLAR_1</t>
  </si>
  <si>
    <t>MANGLAR_2</t>
  </si>
  <si>
    <t>LAGO_2</t>
  </si>
  <si>
    <t>AMATISTA_1</t>
  </si>
  <si>
    <t>AMATISTA_2</t>
  </si>
  <si>
    <t>ZAFIRO_1</t>
  </si>
  <si>
    <t>ZAFIRO_2</t>
  </si>
  <si>
    <t>MALAQUITA_1</t>
  </si>
  <si>
    <t>MALAQUITA_2</t>
  </si>
  <si>
    <t>LOMAS_ETAPA_2</t>
  </si>
  <si>
    <t>PROMOCIONES TRIMESTRALES (MARZO, ABRIL Y MAYO 2023)</t>
  </si>
  <si>
    <t xml:space="preserve">* En caso de estar CASADOS por sociedad conyugal o COOPROPIEDAD, 
 anexar toda la documentacion mencionada de ambas partes. </t>
  </si>
  <si>
    <t>* En caso de estar CASADOS por sociedad conyugal o COOPROPIEDAD, anexar toda la documentacion mencionada de ambas partes.</t>
  </si>
  <si>
    <t>ARRECIFE_3</t>
  </si>
  <si>
    <t>ARRECIFE 3</t>
  </si>
  <si>
    <t>ACTUALIZACIÓN: 24-04-2023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</si>
</sst>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&quot;$&quot;#,##0.00"/>
    <numFmt numFmtId="166" formatCode="0.0\ &quot;Meses&quot;"/>
    <numFmt numFmtId="167" formatCode="0.0\ &quot;Años&quot;"/>
    <numFmt numFmtId="168" formatCode="0\ &quot;Meses&quot;"/>
    <numFmt numFmtId="169" formatCode="0.0%"/>
    <numFmt numFmtId="170" formatCode="0\ &quot;Años&quot;"/>
    <numFmt numFmtId="171" formatCode="0.00\ &quot;m2&quot;"/>
    <numFmt numFmtId="172" formatCode="[$-F800]dddd\,\ mmmm\ dd\,\ yyyy"/>
    <numFmt numFmtId="173" formatCode="&quot;Enganche mayor a &quot;\ 0.0%"/>
    <numFmt numFmtId="174" formatCode="&quot;Mensualidad  &quot;0&quot;  a&quot;"/>
    <numFmt numFmtId="175" formatCode="0\ &quot;a&quot;"/>
    <numFmt numFmtId="176" formatCode="_-[$$-80A]* #,##0.00_-;\-[$$-80A]* #,##0.00_-;_-[$$-80A]* &quot;-&quot;??_-;_-@_-"/>
    <numFmt numFmtId="177" formatCode="&quot;MENSUALIDAD&quot;\ 0\ "/>
    <numFmt numFmtId="178" formatCode="&quot;;&quot;"/>
    <numFmt numFmtId="179" formatCode="0.0"/>
  </numFmts>
  <fonts count="6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Century Gothic"/>
      <family val="2"/>
      <scheme val="minor"/>
    </font>
    <font>
      <b/>
      <sz val="14"/>
      <color theme="0"/>
      <name val="Calibri"/>
      <family val="2"/>
    </font>
    <font>
      <b/>
      <sz val="10"/>
      <color theme="1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Century Gothic"/>
      <family val="2"/>
    </font>
    <font>
      <b/>
      <u/>
      <sz val="2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20"/>
      <color theme="0"/>
      <name val="Century Gothic"/>
      <family val="2"/>
      <scheme val="minor"/>
    </font>
    <font>
      <b/>
      <sz val="14"/>
      <color theme="4" tint="-0.499984740745262"/>
      <name val="Century Gothic"/>
      <family val="2"/>
      <scheme val="minor"/>
    </font>
    <font>
      <u/>
      <sz val="12"/>
      <color theme="1"/>
      <name val="Century Gothic"/>
      <family val="2"/>
      <scheme val="minor"/>
    </font>
    <font>
      <b/>
      <u/>
      <sz val="12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8"/>
      <color theme="1"/>
      <name val="Century Gothic"/>
      <family val="2"/>
      <scheme val="minor"/>
    </font>
    <font>
      <b/>
      <sz val="10"/>
      <color theme="1"/>
      <name val="Arial"/>
      <family val="2"/>
    </font>
    <font>
      <b/>
      <i/>
      <sz val="9"/>
      <color theme="1"/>
      <name val="Century Gothic"/>
      <family val="2"/>
    </font>
    <font>
      <b/>
      <i/>
      <sz val="10"/>
      <color theme="1"/>
      <name val="Century Gothic"/>
      <family val="2"/>
    </font>
    <font>
      <b/>
      <u/>
      <sz val="14"/>
      <color rgb="FF000000"/>
      <name val="Calibri"/>
      <family val="2"/>
    </font>
    <font>
      <b/>
      <u/>
      <sz val="14"/>
      <color theme="1"/>
      <name val="Century Gothic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Century Gothic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entury Gothic"/>
      <family val="2"/>
      <scheme val="minor"/>
    </font>
    <font>
      <b/>
      <u/>
      <sz val="16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8"/>
      <name val="Century Gothic"/>
      <family val="2"/>
      <scheme val="minor"/>
    </font>
    <font>
      <sz val="11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sz val="11"/>
      <color theme="1"/>
      <name val="Arial"/>
      <family val="2"/>
    </font>
    <font>
      <b/>
      <sz val="14"/>
      <color theme="0"/>
      <name val="Century Gothic"/>
      <family val="2"/>
      <scheme val="minor"/>
    </font>
    <font>
      <b/>
      <u/>
      <sz val="12"/>
      <color theme="1"/>
      <name val="Arial"/>
      <family val="2"/>
    </font>
    <font>
      <b/>
      <sz val="24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12"/>
      <color theme="4" tint="-0.249977111117893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i/>
      <u/>
      <sz val="8"/>
      <color theme="1"/>
      <name val="Century Gothic"/>
      <family val="2"/>
      <scheme val="minor"/>
    </font>
    <font>
      <b/>
      <sz val="8"/>
      <color theme="1"/>
      <name val="Arial"/>
      <family val="2"/>
    </font>
    <font>
      <b/>
      <sz val="16"/>
      <color theme="0"/>
      <name val="Century Gothic"/>
      <family val="2"/>
      <scheme val="minor"/>
    </font>
    <font>
      <b/>
      <sz val="12"/>
      <color theme="4" tint="-0.249977111117893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b/>
      <sz val="12"/>
      <name val="Century Gothic"/>
      <family val="2"/>
      <scheme val="minor"/>
    </font>
    <font>
      <b/>
      <u/>
      <sz val="12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 style="medium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/>
      </bottom>
      <diagonal/>
    </border>
    <border>
      <left/>
      <right/>
      <top style="thin">
        <color theme="0" tint="-0.249977111117893"/>
      </top>
      <bottom style="medium">
        <color theme="0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theme="0"/>
      </top>
      <bottom/>
      <diagonal/>
    </border>
    <border>
      <left/>
      <right style="thin">
        <color theme="0" tint="-0.249977111117893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9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3" fillId="2" borderId="0" xfId="2" applyFill="1"/>
    <xf numFmtId="0" fontId="1" fillId="0" borderId="0" xfId="0" applyFont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18" xfId="0" applyFill="1" applyBorder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hidden="1"/>
    </xf>
    <xf numFmtId="0" fontId="20" fillId="2" borderId="0" xfId="0" applyFont="1" applyFill="1" applyAlignment="1" applyProtection="1">
      <alignment vertical="center"/>
      <protection hidden="1"/>
    </xf>
    <xf numFmtId="0" fontId="23" fillId="2" borderId="0" xfId="0" applyFont="1" applyFill="1" applyAlignment="1" applyProtection="1">
      <alignment horizontal="right" vertical="center"/>
      <protection hidden="1"/>
    </xf>
    <xf numFmtId="0" fontId="24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19" fillId="2" borderId="0" xfId="0" applyFont="1" applyFill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2" borderId="0" xfId="0" applyFill="1" applyAlignment="1" applyProtection="1">
      <alignment horizontal="center" vertical="top"/>
      <protection locked="0"/>
    </xf>
    <xf numFmtId="0" fontId="5" fillId="2" borderId="0" xfId="0" applyFont="1" applyFill="1" applyAlignment="1" applyProtection="1">
      <alignment horizontal="right"/>
      <protection locked="0"/>
    </xf>
    <xf numFmtId="9" fontId="2" fillId="2" borderId="0" xfId="1" applyFont="1" applyFill="1" applyAlignment="1" applyProtection="1">
      <alignment horizontal="left"/>
      <protection locked="0"/>
    </xf>
    <xf numFmtId="8" fontId="0" fillId="0" borderId="0" xfId="0" applyNumberFormat="1" applyProtection="1">
      <protection locked="0"/>
    </xf>
    <xf numFmtId="8" fontId="0" fillId="2" borderId="0" xfId="0" applyNumberFormat="1" applyFill="1" applyProtection="1">
      <protection locked="0"/>
    </xf>
    <xf numFmtId="8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Protection="1">
      <protection hidden="1"/>
    </xf>
    <xf numFmtId="165" fontId="2" fillId="3" borderId="23" xfId="3" applyNumberFormat="1" applyFont="1" applyFill="1" applyBorder="1" applyAlignment="1" applyProtection="1">
      <alignment horizontal="center" vertical="center"/>
      <protection hidden="1"/>
    </xf>
    <xf numFmtId="165" fontId="2" fillId="3" borderId="24" xfId="0" applyNumberFormat="1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44" fontId="39" fillId="3" borderId="0" xfId="0" applyNumberFormat="1" applyFont="1" applyFill="1" applyAlignment="1" applyProtection="1">
      <alignment horizontal="center" vertical="center"/>
      <protection hidden="1"/>
    </xf>
    <xf numFmtId="44" fontId="39" fillId="3" borderId="0" xfId="0" applyNumberFormat="1" applyFont="1" applyFill="1" applyAlignment="1" applyProtection="1">
      <alignment horizontal="center"/>
      <protection hidden="1"/>
    </xf>
    <xf numFmtId="176" fontId="38" fillId="9" borderId="0" xfId="0" applyNumberFormat="1" applyFont="1" applyFill="1" applyAlignment="1" applyProtection="1">
      <alignment horizontal="right" vertical="center"/>
      <protection hidden="1"/>
    </xf>
    <xf numFmtId="44" fontId="38" fillId="9" borderId="0" xfId="0" applyNumberFormat="1" applyFont="1" applyFill="1" applyAlignment="1" applyProtection="1">
      <alignment horizontal="right" vertical="center"/>
      <protection hidden="1"/>
    </xf>
    <xf numFmtId="44" fontId="39" fillId="3" borderId="0" xfId="0" applyNumberFormat="1" applyFont="1" applyFill="1" applyAlignment="1" applyProtection="1">
      <alignment horizontal="right" vertical="center"/>
      <protection hidden="1"/>
    </xf>
    <xf numFmtId="169" fontId="39" fillId="3" borderId="0" xfId="0" applyNumberFormat="1" applyFont="1" applyFill="1" applyAlignment="1" applyProtection="1">
      <alignment horizontal="center" vertical="center"/>
      <protection hidden="1"/>
    </xf>
    <xf numFmtId="9" fontId="38" fillId="9" borderId="0" xfId="1" applyFont="1" applyFill="1" applyBorder="1" applyAlignment="1" applyProtection="1">
      <alignment horizontal="center"/>
      <protection hidden="1"/>
    </xf>
    <xf numFmtId="169" fontId="38" fillId="9" borderId="0" xfId="0" applyNumberFormat="1" applyFont="1" applyFill="1" applyAlignment="1" applyProtection="1">
      <alignment horizontal="center" vertical="center"/>
      <protection hidden="1"/>
    </xf>
    <xf numFmtId="8" fontId="0" fillId="0" borderId="0" xfId="0" applyNumberFormat="1" applyProtection="1">
      <protection hidden="1"/>
    </xf>
    <xf numFmtId="0" fontId="0" fillId="2" borderId="0" xfId="0" applyFill="1" applyAlignment="1" applyProtection="1">
      <alignment horizontal="center" vertical="top"/>
      <protection hidden="1"/>
    </xf>
    <xf numFmtId="0" fontId="0" fillId="0" borderId="0" xfId="0" applyProtection="1">
      <protection hidden="1"/>
    </xf>
    <xf numFmtId="174" fontId="34" fillId="2" borderId="0" xfId="0" applyNumberFormat="1" applyFont="1" applyFill="1" applyAlignment="1" applyProtection="1">
      <alignment horizontal="center" vertical="center"/>
      <protection hidden="1"/>
    </xf>
    <xf numFmtId="1" fontId="34" fillId="2" borderId="0" xfId="0" applyNumberFormat="1" applyFont="1" applyFill="1" applyAlignment="1" applyProtection="1">
      <alignment horizontal="left" vertical="center"/>
      <protection hidden="1"/>
    </xf>
    <xf numFmtId="8" fontId="14" fillId="3" borderId="0" xfId="0" applyNumberFormat="1" applyFont="1" applyFill="1" applyAlignment="1" applyProtection="1">
      <alignment horizontal="center"/>
      <protection hidden="1"/>
    </xf>
    <xf numFmtId="9" fontId="9" fillId="10" borderId="3" xfId="0" applyNumberFormat="1" applyFont="1" applyFill="1" applyBorder="1" applyAlignment="1" applyProtection="1">
      <alignment horizontal="center"/>
      <protection hidden="1"/>
    </xf>
    <xf numFmtId="169" fontId="9" fillId="10" borderId="1" xfId="0" applyNumberFormat="1" applyFont="1" applyFill="1" applyBorder="1" applyAlignment="1" applyProtection="1">
      <alignment horizontal="center"/>
      <protection hidden="1"/>
    </xf>
    <xf numFmtId="10" fontId="9" fillId="10" borderId="6" xfId="0" applyNumberFormat="1" applyFont="1" applyFill="1" applyBorder="1" applyAlignment="1" applyProtection="1">
      <alignment horizontal="center"/>
      <protection hidden="1"/>
    </xf>
    <xf numFmtId="166" fontId="0" fillId="2" borderId="7" xfId="0" applyNumberFormat="1" applyFill="1" applyBorder="1" applyProtection="1">
      <protection hidden="1"/>
    </xf>
    <xf numFmtId="166" fontId="0" fillId="2" borderId="0" xfId="0" applyNumberFormat="1" applyFill="1" applyProtection="1">
      <protection hidden="1"/>
    </xf>
    <xf numFmtId="166" fontId="0" fillId="2" borderId="8" xfId="0" applyNumberFormat="1" applyFill="1" applyBorder="1" applyProtection="1">
      <protection hidden="1"/>
    </xf>
    <xf numFmtId="0" fontId="0" fillId="2" borderId="11" xfId="0" applyFill="1" applyBorder="1" applyAlignment="1" applyProtection="1">
      <alignment horizontal="center"/>
      <protection hidden="1"/>
    </xf>
    <xf numFmtId="15" fontId="0" fillId="2" borderId="11" xfId="0" applyNumberFormat="1" applyFill="1" applyBorder="1" applyAlignment="1" applyProtection="1">
      <alignment horizontal="center"/>
      <protection hidden="1"/>
    </xf>
    <xf numFmtId="44" fontId="0" fillId="2" borderId="11" xfId="0" applyNumberForma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8" fontId="3" fillId="4" borderId="0" xfId="0" applyNumberFormat="1" applyFont="1" applyFill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8" fontId="2" fillId="3" borderId="11" xfId="0" applyNumberFormat="1" applyFont="1" applyFill="1" applyBorder="1" applyAlignment="1" applyProtection="1">
      <alignment horizontal="center"/>
      <protection hidden="1"/>
    </xf>
    <xf numFmtId="44" fontId="0" fillId="2" borderId="12" xfId="0" applyNumberFormat="1" applyFill="1" applyBorder="1" applyAlignment="1" applyProtection="1">
      <alignment horizontal="center"/>
      <protection hidden="1"/>
    </xf>
    <xf numFmtId="0" fontId="0" fillId="6" borderId="0" xfId="0" applyFill="1" applyAlignment="1" applyProtection="1">
      <alignment horizontal="center"/>
      <protection hidden="1"/>
    </xf>
    <xf numFmtId="15" fontId="0" fillId="6" borderId="0" xfId="0" applyNumberFormat="1" applyFill="1" applyAlignment="1" applyProtection="1">
      <alignment horizontal="center"/>
      <protection hidden="1"/>
    </xf>
    <xf numFmtId="165" fontId="0" fillId="6" borderId="0" xfId="0" applyNumberFormat="1" applyFill="1" applyAlignment="1" applyProtection="1">
      <alignment horizontal="center"/>
      <protection hidden="1"/>
    </xf>
    <xf numFmtId="8" fontId="0" fillId="6" borderId="0" xfId="0" applyNumberFormat="1" applyFill="1" applyAlignment="1" applyProtection="1">
      <alignment horizontal="center"/>
      <protection hidden="1"/>
    </xf>
    <xf numFmtId="8" fontId="0" fillId="2" borderId="0" xfId="0" applyNumberFormat="1" applyFill="1" applyProtection="1">
      <protection hidden="1"/>
    </xf>
    <xf numFmtId="8" fontId="2" fillId="3" borderId="0" xfId="0" applyNumberFormat="1" applyFont="1" applyFill="1" applyAlignment="1" applyProtection="1">
      <alignment horizontal="center" vertical="center"/>
      <protection hidden="1"/>
    </xf>
    <xf numFmtId="8" fontId="2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9" fontId="4" fillId="3" borderId="0" xfId="1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8" fontId="2" fillId="3" borderId="11" xfId="0" applyNumberFormat="1" applyFont="1" applyFill="1" applyBorder="1" applyAlignment="1" applyProtection="1">
      <alignment horizontal="center" vertical="center"/>
      <protection hidden="1"/>
    </xf>
    <xf numFmtId="15" fontId="10" fillId="2" borderId="11" xfId="0" applyNumberFormat="1" applyFont="1" applyFill="1" applyBorder="1" applyAlignment="1" applyProtection="1">
      <alignment horizontal="center"/>
      <protection hidden="1"/>
    </xf>
    <xf numFmtId="165" fontId="10" fillId="2" borderId="11" xfId="0" applyNumberFormat="1" applyFont="1" applyFill="1" applyBorder="1" applyAlignment="1" applyProtection="1">
      <alignment horizontal="center"/>
      <protection hidden="1"/>
    </xf>
    <xf numFmtId="8" fontId="10" fillId="2" borderId="11" xfId="0" applyNumberFormat="1" applyFont="1" applyFill="1" applyBorder="1" applyAlignment="1" applyProtection="1">
      <alignment horizontal="center"/>
      <protection hidden="1"/>
    </xf>
    <xf numFmtId="8" fontId="0" fillId="2" borderId="11" xfId="0" applyNumberFormat="1" applyFill="1" applyBorder="1" applyAlignment="1" applyProtection="1">
      <alignment horizontal="center"/>
      <protection hidden="1"/>
    </xf>
    <xf numFmtId="15" fontId="3" fillId="2" borderId="11" xfId="0" applyNumberFormat="1" applyFont="1" applyFill="1" applyBorder="1" applyAlignment="1" applyProtection="1">
      <alignment horizontal="center"/>
      <protection hidden="1"/>
    </xf>
    <xf numFmtId="165" fontId="0" fillId="2" borderId="12" xfId="0" applyNumberFormat="1" applyFill="1" applyBorder="1" applyAlignment="1" applyProtection="1">
      <alignment horizontal="center"/>
      <protection hidden="1"/>
    </xf>
    <xf numFmtId="8" fontId="0" fillId="2" borderId="12" xfId="0" applyNumberFormat="1" applyFill="1" applyBorder="1" applyAlignment="1" applyProtection="1">
      <alignment horizontal="center"/>
      <protection hidden="1"/>
    </xf>
    <xf numFmtId="15" fontId="3" fillId="2" borderId="0" xfId="0" applyNumberFormat="1" applyFont="1" applyFill="1" applyAlignment="1" applyProtection="1">
      <alignment horizontal="center"/>
      <protection hidden="1"/>
    </xf>
    <xf numFmtId="165" fontId="0" fillId="2" borderId="0" xfId="0" applyNumberFormat="1" applyFill="1" applyAlignment="1" applyProtection="1">
      <alignment horizontal="center"/>
      <protection hidden="1"/>
    </xf>
    <xf numFmtId="8" fontId="0" fillId="2" borderId="0" xfId="0" applyNumberFormat="1" applyFill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2" fillId="3" borderId="0" xfId="0" applyNumberFormat="1" applyFont="1" applyFill="1" applyAlignment="1" applyProtection="1">
      <alignment horizontal="center"/>
      <protection hidden="1"/>
    </xf>
    <xf numFmtId="10" fontId="4" fillId="3" borderId="0" xfId="1" applyNumberFormat="1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Protection="1">
      <protection hidden="1"/>
    </xf>
    <xf numFmtId="8" fontId="2" fillId="3" borderId="13" xfId="0" applyNumberFormat="1" applyFont="1" applyFill="1" applyBorder="1" applyProtection="1">
      <protection hidden="1"/>
    </xf>
    <xf numFmtId="165" fontId="4" fillId="2" borderId="11" xfId="0" applyNumberFormat="1" applyFont="1" applyFill="1" applyBorder="1" applyAlignment="1" applyProtection="1">
      <alignment horizontal="center"/>
      <protection hidden="1"/>
    </xf>
    <xf numFmtId="165" fontId="0" fillId="2" borderId="11" xfId="0" applyNumberForma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vertical="center" wrapText="1"/>
      <protection locked="0"/>
    </xf>
    <xf numFmtId="44" fontId="0" fillId="2" borderId="11" xfId="0" applyNumberFormat="1" applyFill="1" applyBorder="1" applyAlignment="1" applyProtection="1">
      <alignment horizontal="center"/>
      <protection locked="0"/>
    </xf>
    <xf numFmtId="8" fontId="0" fillId="6" borderId="0" xfId="0" applyNumberFormat="1" applyFill="1" applyAlignment="1" applyProtection="1">
      <alignment horizontal="center"/>
      <protection locked="0"/>
    </xf>
    <xf numFmtId="8" fontId="10" fillId="2" borderId="11" xfId="0" applyNumberFormat="1" applyFont="1" applyFill="1" applyBorder="1" applyAlignment="1" applyProtection="1">
      <alignment horizontal="center"/>
      <protection locked="0"/>
    </xf>
    <xf numFmtId="8" fontId="0" fillId="2" borderId="11" xfId="0" applyNumberFormat="1" applyFill="1" applyBorder="1" applyAlignment="1" applyProtection="1">
      <alignment horizontal="center"/>
      <protection locked="0"/>
    </xf>
    <xf numFmtId="44" fontId="10" fillId="2" borderId="11" xfId="0" applyNumberFormat="1" applyFont="1" applyFill="1" applyBorder="1" applyAlignment="1" applyProtection="1">
      <alignment horizontal="center"/>
      <protection locked="0"/>
    </xf>
    <xf numFmtId="8" fontId="0" fillId="2" borderId="12" xfId="0" applyNumberFormat="1" applyFill="1" applyBorder="1" applyAlignment="1" applyProtection="1">
      <alignment horizontal="center"/>
      <protection locked="0"/>
    </xf>
    <xf numFmtId="175" fontId="34" fillId="2" borderId="2" xfId="0" applyNumberFormat="1" applyFont="1" applyFill="1" applyBorder="1" applyAlignment="1" applyProtection="1">
      <alignment horizontal="right" vertical="center"/>
      <protection hidden="1"/>
    </xf>
    <xf numFmtId="166" fontId="34" fillId="2" borderId="7" xfId="0" applyNumberFormat="1" applyFont="1" applyFill="1" applyBorder="1" applyAlignment="1" applyProtection="1">
      <alignment horizontal="left" vertical="center"/>
      <protection hidden="1"/>
    </xf>
    <xf numFmtId="175" fontId="34" fillId="2" borderId="4" xfId="0" applyNumberFormat="1" applyFont="1" applyFill="1" applyBorder="1" applyAlignment="1" applyProtection="1">
      <alignment horizontal="right" vertical="center"/>
      <protection hidden="1"/>
    </xf>
    <xf numFmtId="166" fontId="34" fillId="2" borderId="0" xfId="0" applyNumberFormat="1" applyFont="1" applyFill="1" applyAlignment="1" applyProtection="1">
      <alignment horizontal="left" vertical="center"/>
      <protection hidden="1"/>
    </xf>
    <xf numFmtId="175" fontId="34" fillId="2" borderId="5" xfId="0" applyNumberFormat="1" applyFont="1" applyFill="1" applyBorder="1" applyAlignment="1" applyProtection="1">
      <alignment horizontal="right" vertical="center"/>
      <protection hidden="1"/>
    </xf>
    <xf numFmtId="166" fontId="34" fillId="2" borderId="8" xfId="0" applyNumberFormat="1" applyFont="1" applyFill="1" applyBorder="1" applyAlignment="1" applyProtection="1">
      <alignment horizontal="left" vertical="center"/>
      <protection hidden="1"/>
    </xf>
    <xf numFmtId="165" fontId="0" fillId="2" borderId="0" xfId="0" applyNumberFormat="1" applyFill="1" applyAlignment="1" applyProtection="1">
      <alignment horizontal="center" vertical="top"/>
      <protection hidden="1"/>
    </xf>
    <xf numFmtId="0" fontId="20" fillId="2" borderId="0" xfId="0" applyFont="1" applyFill="1" applyAlignment="1" applyProtection="1">
      <alignment horizontal="right" vertical="center"/>
      <protection hidden="1"/>
    </xf>
    <xf numFmtId="0" fontId="48" fillId="2" borderId="0" xfId="0" applyFont="1" applyFill="1" applyAlignment="1" applyProtection="1">
      <alignment vertical="center"/>
      <protection hidden="1"/>
    </xf>
    <xf numFmtId="0" fontId="38" fillId="2" borderId="0" xfId="0" applyFont="1" applyFill="1" applyAlignment="1" applyProtection="1">
      <alignment vertical="center"/>
      <protection hidden="1"/>
    </xf>
    <xf numFmtId="0" fontId="49" fillId="2" borderId="0" xfId="0" applyFont="1" applyFill="1" applyAlignment="1" applyProtection="1">
      <alignment vertical="center"/>
      <protection hidden="1"/>
    </xf>
    <xf numFmtId="176" fontId="12" fillId="2" borderId="0" xfId="0" applyNumberFormat="1" applyFont="1" applyFill="1" applyAlignment="1" applyProtection="1">
      <alignment vertical="center"/>
      <protection hidden="1"/>
    </xf>
    <xf numFmtId="176" fontId="8" fillId="0" borderId="0" xfId="0" applyNumberFormat="1" applyFont="1" applyAlignment="1" applyProtection="1">
      <alignment vertical="center"/>
      <protection hidden="1"/>
    </xf>
    <xf numFmtId="171" fontId="22" fillId="2" borderId="0" xfId="0" applyNumberFormat="1" applyFont="1" applyFill="1" applyAlignment="1" applyProtection="1">
      <alignment vertical="center"/>
      <protection hidden="1"/>
    </xf>
    <xf numFmtId="165" fontId="22" fillId="2" borderId="0" xfId="0" applyNumberFormat="1" applyFont="1" applyFill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top"/>
      <protection hidden="1"/>
    </xf>
    <xf numFmtId="0" fontId="1" fillId="0" borderId="0" xfId="0" applyFont="1" applyAlignment="1" applyProtection="1">
      <alignment horizontal="right"/>
      <protection hidden="1"/>
    </xf>
    <xf numFmtId="0" fontId="3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horizontal="right" vertical="center"/>
      <protection locked="0"/>
    </xf>
    <xf numFmtId="0" fontId="0" fillId="2" borderId="25" xfId="0" applyFill="1" applyBorder="1" applyAlignment="1" applyProtection="1">
      <alignment horizontal="center"/>
      <protection hidden="1"/>
    </xf>
    <xf numFmtId="44" fontId="0" fillId="2" borderId="26" xfId="0" applyNumberForma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15" fontId="0" fillId="2" borderId="1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6" fillId="0" borderId="0" xfId="0" applyFont="1" applyAlignment="1" applyProtection="1">
      <alignment vertical="center"/>
      <protection hidden="1"/>
    </xf>
    <xf numFmtId="168" fontId="34" fillId="0" borderId="0" xfId="0" applyNumberFormat="1" applyFont="1" applyAlignment="1" applyProtection="1">
      <alignment horizontal="right" vertical="top"/>
      <protection hidden="1"/>
    </xf>
    <xf numFmtId="0" fontId="0" fillId="0" borderId="0" xfId="0" applyAlignment="1" applyProtection="1">
      <alignment horizontal="right" vertical="center"/>
      <protection hidden="1"/>
    </xf>
    <xf numFmtId="0" fontId="36" fillId="0" borderId="0" xfId="0" applyFont="1" applyAlignment="1" applyProtection="1">
      <alignment vertical="top"/>
      <protection hidden="1"/>
    </xf>
    <xf numFmtId="176" fontId="8" fillId="0" borderId="0" xfId="0" applyNumberFormat="1" applyFont="1" applyAlignment="1" applyProtection="1">
      <alignment horizontal="right" vertical="top"/>
      <protection hidden="1"/>
    </xf>
    <xf numFmtId="176" fontId="12" fillId="2" borderId="0" xfId="0" applyNumberFormat="1" applyFont="1" applyFill="1" applyAlignment="1" applyProtection="1">
      <alignment vertical="top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right" vertical="center" wrapText="1"/>
      <protection hidden="1"/>
    </xf>
    <xf numFmtId="0" fontId="7" fillId="2" borderId="0" xfId="0" applyFont="1" applyFill="1" applyAlignment="1" applyProtection="1">
      <alignment horizontal="left" vertical="center" wrapText="1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right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 wrapText="1"/>
      <protection hidden="1"/>
    </xf>
    <xf numFmtId="0" fontId="50" fillId="2" borderId="0" xfId="0" applyFont="1" applyFill="1" applyAlignment="1" applyProtection="1">
      <alignment horizontal="left"/>
      <protection hidden="1"/>
    </xf>
    <xf numFmtId="0" fontId="4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27" fillId="2" borderId="0" xfId="0" applyFont="1" applyFill="1" applyAlignment="1" applyProtection="1">
      <alignment horizontal="center" vertical="center" wrapText="1"/>
      <protection hidden="1"/>
    </xf>
    <xf numFmtId="0" fontId="50" fillId="2" borderId="0" xfId="0" applyFont="1" applyFill="1" applyProtection="1">
      <protection hidden="1"/>
    </xf>
    <xf numFmtId="0" fontId="50" fillId="2" borderId="0" xfId="0" applyFont="1" applyFill="1" applyAlignment="1" applyProtection="1">
      <alignment vertical="center"/>
      <protection hidden="1"/>
    </xf>
    <xf numFmtId="0" fontId="46" fillId="2" borderId="0" xfId="0" applyFont="1" applyFill="1" applyAlignment="1" applyProtection="1">
      <alignment vertical="center"/>
      <protection hidden="1"/>
    </xf>
    <xf numFmtId="0" fontId="5" fillId="6" borderId="0" xfId="0" applyFont="1" applyFill="1" applyAlignment="1" applyProtection="1">
      <alignment vertical="center"/>
      <protection hidden="1"/>
    </xf>
    <xf numFmtId="0" fontId="0" fillId="6" borderId="0" xfId="0" applyFill="1" applyAlignment="1" applyProtection="1">
      <alignment vertical="center"/>
      <protection hidden="1"/>
    </xf>
    <xf numFmtId="0" fontId="50" fillId="2" borderId="0" xfId="0" applyFont="1" applyFill="1" applyAlignment="1" applyProtection="1">
      <alignment horizontal="left" vertical="center"/>
      <protection hidden="1"/>
    </xf>
    <xf numFmtId="0" fontId="46" fillId="2" borderId="0" xfId="0" applyFont="1" applyFill="1" applyAlignment="1" applyProtection="1">
      <alignment horizontal="left" vertical="center"/>
      <protection hidden="1"/>
    </xf>
    <xf numFmtId="0" fontId="3" fillId="13" borderId="22" xfId="0" applyFont="1" applyFill="1" applyBorder="1" applyAlignment="1" applyProtection="1">
      <alignment horizontal="center"/>
      <protection locked="0"/>
    </xf>
    <xf numFmtId="0" fontId="3" fillId="13" borderId="23" xfId="0" applyFont="1" applyFill="1" applyBorder="1" applyAlignment="1" applyProtection="1">
      <alignment horizontal="center"/>
      <protection locked="0"/>
    </xf>
    <xf numFmtId="0" fontId="18" fillId="14" borderId="23" xfId="0" applyFont="1" applyFill="1" applyBorder="1" applyAlignment="1" applyProtection="1">
      <alignment horizontal="center"/>
      <protection locked="0"/>
    </xf>
    <xf numFmtId="171" fontId="18" fillId="14" borderId="23" xfId="0" applyNumberFormat="1" applyFont="1" applyFill="1" applyBorder="1" applyAlignment="1" applyProtection="1">
      <alignment horizontal="center"/>
      <protection locked="0"/>
    </xf>
    <xf numFmtId="0" fontId="37" fillId="14" borderId="23" xfId="0" applyFont="1" applyFill="1" applyBorder="1" applyAlignment="1" applyProtection="1">
      <alignment horizontal="center"/>
      <protection locked="0"/>
    </xf>
    <xf numFmtId="44" fontId="38" fillId="13" borderId="0" xfId="0" applyNumberFormat="1" applyFont="1" applyFill="1" applyAlignment="1" applyProtection="1">
      <alignment horizontal="center"/>
      <protection hidden="1"/>
    </xf>
    <xf numFmtId="9" fontId="3" fillId="13" borderId="0" xfId="1" applyFont="1" applyFill="1" applyAlignment="1" applyProtection="1">
      <alignment horizontal="center" vertical="center"/>
      <protection locked="0"/>
    </xf>
    <xf numFmtId="9" fontId="38" fillId="13" borderId="0" xfId="0" applyNumberFormat="1" applyFont="1" applyFill="1" applyAlignment="1" applyProtection="1">
      <alignment horizontal="center" vertical="center"/>
      <protection locked="0"/>
    </xf>
    <xf numFmtId="44" fontId="28" fillId="13" borderId="0" xfId="0" applyNumberFormat="1" applyFont="1" applyFill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vertic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5" fontId="0" fillId="2" borderId="0" xfId="0" applyNumberFormat="1" applyFill="1" applyProtection="1">
      <protection hidden="1"/>
    </xf>
    <xf numFmtId="0" fontId="12" fillId="10" borderId="22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/>
      <protection hidden="1"/>
    </xf>
    <xf numFmtId="15" fontId="39" fillId="3" borderId="0" xfId="0" applyNumberFormat="1" applyFont="1" applyFill="1" applyAlignment="1" applyProtection="1">
      <alignment horizontal="center" vertical="center"/>
      <protection hidden="1"/>
    </xf>
    <xf numFmtId="0" fontId="36" fillId="10" borderId="16" xfId="0" applyFont="1" applyFill="1" applyBorder="1" applyAlignment="1" applyProtection="1">
      <alignment horizontal="center" vertical="center"/>
      <protection hidden="1"/>
    </xf>
    <xf numFmtId="0" fontId="34" fillId="3" borderId="0" xfId="0" applyFont="1" applyFill="1" applyAlignment="1" applyProtection="1">
      <alignment horizontal="center" vertical="top"/>
      <protection hidden="1"/>
    </xf>
    <xf numFmtId="8" fontId="40" fillId="3" borderId="0" xfId="0" applyNumberFormat="1" applyFont="1" applyFill="1" applyProtection="1">
      <protection hidden="1"/>
    </xf>
    <xf numFmtId="165" fontId="39" fillId="3" borderId="0" xfId="0" applyNumberFormat="1" applyFont="1" applyFill="1" applyAlignment="1" applyProtection="1">
      <alignment horizontal="center"/>
      <protection hidden="1"/>
    </xf>
    <xf numFmtId="8" fontId="41" fillId="3" borderId="0" xfId="0" applyNumberFormat="1" applyFont="1" applyFill="1" applyProtection="1">
      <protection hidden="1"/>
    </xf>
    <xf numFmtId="0" fontId="12" fillId="2" borderId="0" xfId="0" applyFont="1" applyFill="1" applyAlignment="1" applyProtection="1">
      <alignment horizontal="right" vertical="center"/>
      <protection hidden="1"/>
    </xf>
    <xf numFmtId="0" fontId="33" fillId="0" borderId="0" xfId="0" applyFont="1" applyAlignment="1" applyProtection="1">
      <alignment horizontal="right"/>
      <protection hidden="1"/>
    </xf>
    <xf numFmtId="0" fontId="12" fillId="2" borderId="0" xfId="0" applyFont="1" applyFill="1" applyAlignment="1" applyProtection="1">
      <alignment horizontal="right"/>
      <protection hidden="1"/>
    </xf>
    <xf numFmtId="0" fontId="33" fillId="2" borderId="0" xfId="0" applyFont="1" applyFill="1" applyAlignment="1" applyProtection="1">
      <alignment horizontal="right"/>
      <protection hidden="1"/>
    </xf>
    <xf numFmtId="0" fontId="34" fillId="2" borderId="0" xfId="0" applyFont="1" applyFill="1" applyAlignment="1" applyProtection="1">
      <alignment horizontal="right" vertical="center" wrapText="1"/>
      <protection hidden="1"/>
    </xf>
    <xf numFmtId="0" fontId="36" fillId="10" borderId="17" xfId="0" applyFont="1" applyFill="1" applyBorder="1" applyAlignment="1" applyProtection="1">
      <alignment horizontal="center" vertical="center"/>
      <protection hidden="1"/>
    </xf>
    <xf numFmtId="0" fontId="0" fillId="10" borderId="0" xfId="0" applyFill="1" applyProtection="1">
      <protection hidden="1"/>
    </xf>
    <xf numFmtId="0" fontId="36" fillId="10" borderId="0" xfId="0" applyFont="1" applyFill="1" applyAlignment="1" applyProtection="1">
      <alignment horizontal="left" vertical="center"/>
      <protection hidden="1"/>
    </xf>
    <xf numFmtId="165" fontId="0" fillId="0" borderId="0" xfId="0" applyNumberFormat="1" applyProtection="1">
      <protection hidden="1"/>
    </xf>
    <xf numFmtId="0" fontId="29" fillId="5" borderId="0" xfId="0" applyFont="1" applyFill="1" applyProtection="1">
      <protection hidden="1"/>
    </xf>
    <xf numFmtId="0" fontId="44" fillId="5" borderId="0" xfId="0" applyFont="1" applyFill="1" applyProtection="1">
      <protection hidden="1"/>
    </xf>
    <xf numFmtId="0" fontId="45" fillId="0" borderId="0" xfId="0" applyFont="1" applyProtection="1">
      <protection hidden="1"/>
    </xf>
    <xf numFmtId="0" fontId="2" fillId="0" borderId="13" xfId="0" applyFont="1" applyBorder="1" applyAlignment="1" applyProtection="1">
      <alignment horizontal="center"/>
      <protection hidden="1"/>
    </xf>
    <xf numFmtId="167" fontId="3" fillId="13" borderId="0" xfId="0" applyNumberFormat="1" applyFont="1" applyFill="1" applyAlignment="1" applyProtection="1">
      <alignment horizontal="right"/>
      <protection locked="0"/>
    </xf>
    <xf numFmtId="44" fontId="38" fillId="13" borderId="0" xfId="0" applyNumberFormat="1" applyFont="1" applyFill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vertical="top"/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top"/>
      <protection locked="0"/>
    </xf>
    <xf numFmtId="0" fontId="8" fillId="2" borderId="0" xfId="0" applyFont="1" applyFill="1" applyAlignment="1" applyProtection="1">
      <alignment horizontal="center" vertical="center"/>
      <protection hidden="1"/>
    </xf>
    <xf numFmtId="172" fontId="19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53" fillId="2" borderId="19" xfId="0" applyFont="1" applyFill="1" applyBorder="1" applyAlignment="1" applyProtection="1">
      <alignment horizontal="center" vertical="center"/>
      <protection hidden="1"/>
    </xf>
    <xf numFmtId="0" fontId="53" fillId="2" borderId="10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46" fillId="2" borderId="0" xfId="0" applyFont="1" applyFill="1" applyAlignment="1" applyProtection="1">
      <alignment vertical="top"/>
      <protection hidden="1"/>
    </xf>
    <xf numFmtId="0" fontId="20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54" fillId="0" borderId="49" xfId="0" applyFont="1" applyBorder="1" applyAlignment="1" applyProtection="1">
      <alignment horizontal="left" vertical="center"/>
      <protection hidden="1"/>
    </xf>
    <xf numFmtId="0" fontId="54" fillId="0" borderId="50" xfId="0" applyFont="1" applyBorder="1" applyAlignment="1" applyProtection="1">
      <alignment horizontal="left" vertical="center"/>
      <protection hidden="1"/>
    </xf>
    <xf numFmtId="0" fontId="54" fillId="0" borderId="0" xfId="0" applyFont="1" applyAlignment="1" applyProtection="1">
      <alignment horizontal="left" vertical="center"/>
      <protection hidden="1"/>
    </xf>
    <xf numFmtId="0" fontId="46" fillId="0" borderId="0" xfId="0" applyFont="1" applyAlignment="1" applyProtection="1">
      <alignment vertical="top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24" fillId="0" borderId="42" xfId="0" applyFont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horizontal="right" vertical="center"/>
      <protection hidden="1"/>
    </xf>
    <xf numFmtId="0" fontId="2" fillId="3" borderId="2" xfId="0" applyFont="1" applyFill="1" applyBorder="1" applyAlignment="1" applyProtection="1">
      <alignment horizontal="right"/>
      <protection hidden="1"/>
    </xf>
    <xf numFmtId="0" fontId="2" fillId="3" borderId="4" xfId="0" applyFont="1" applyFill="1" applyBorder="1" applyAlignment="1" applyProtection="1">
      <alignment horizontal="right" vertical="center" wrapText="1"/>
      <protection hidden="1"/>
    </xf>
    <xf numFmtId="0" fontId="2" fillId="3" borderId="4" xfId="0" applyFont="1" applyFill="1" applyBorder="1" applyAlignment="1" applyProtection="1">
      <alignment horizontal="right"/>
      <protection hidden="1"/>
    </xf>
    <xf numFmtId="0" fontId="2" fillId="3" borderId="4" xfId="0" applyFont="1" applyFill="1" applyBorder="1" applyAlignment="1" applyProtection="1">
      <alignment horizontal="right" vertical="center"/>
      <protection hidden="1"/>
    </xf>
    <xf numFmtId="0" fontId="56" fillId="3" borderId="5" xfId="0" applyFont="1" applyFill="1" applyBorder="1" applyAlignment="1" applyProtection="1">
      <alignment horizontal="right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1" fillId="0" borderId="49" xfId="0" applyFont="1" applyBorder="1" applyAlignment="1" applyProtection="1">
      <alignment horizontal="center" vertical="center"/>
      <protection hidden="1"/>
    </xf>
    <xf numFmtId="0" fontId="21" fillId="0" borderId="50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1" fillId="0" borderId="53" xfId="0" applyFont="1" applyBorder="1" applyAlignment="1" applyProtection="1">
      <alignment horizontal="center" vertical="center"/>
      <protection hidden="1"/>
    </xf>
    <xf numFmtId="0" fontId="21" fillId="0" borderId="43" xfId="0" applyFont="1" applyBorder="1" applyAlignment="1" applyProtection="1">
      <alignment horizontal="center" vertical="center"/>
      <protection hidden="1"/>
    </xf>
    <xf numFmtId="172" fontId="53" fillId="2" borderId="0" xfId="0" applyNumberFormat="1" applyFont="1" applyFill="1" applyAlignment="1" applyProtection="1">
      <alignment horizontal="right" vertical="center"/>
      <protection hidden="1"/>
    </xf>
    <xf numFmtId="0" fontId="19" fillId="2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7" fillId="2" borderId="47" xfId="0" applyFont="1" applyFill="1" applyBorder="1" applyAlignment="1" applyProtection="1">
      <alignment vertical="top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top"/>
      <protection hidden="1"/>
    </xf>
    <xf numFmtId="0" fontId="55" fillId="0" borderId="0" xfId="0" applyFont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top"/>
      <protection hidden="1"/>
    </xf>
    <xf numFmtId="0" fontId="0" fillId="0" borderId="47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vertical="top" wrapText="1"/>
      <protection hidden="1"/>
    </xf>
    <xf numFmtId="0" fontId="5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vertical="top" wrapText="1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0" fontId="16" fillId="2" borderId="0" xfId="0" applyFont="1" applyFill="1" applyAlignment="1" applyProtection="1">
      <alignment vertical="top"/>
      <protection hidden="1"/>
    </xf>
    <xf numFmtId="0" fontId="0" fillId="2" borderId="0" xfId="0" applyFill="1" applyAlignment="1" applyProtection="1">
      <alignment horizontal="right"/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 vertical="center"/>
      <protection hidden="1"/>
    </xf>
    <xf numFmtId="167" fontId="2" fillId="3" borderId="0" xfId="0" applyNumberFormat="1" applyFont="1" applyFill="1" applyAlignment="1" applyProtection="1">
      <alignment horizontal="center"/>
      <protection hidden="1"/>
    </xf>
    <xf numFmtId="170" fontId="2" fillId="3" borderId="0" xfId="0" applyNumberFormat="1" applyFont="1" applyFill="1" applyAlignment="1" applyProtection="1">
      <alignment horizontal="center"/>
      <protection hidden="1"/>
    </xf>
    <xf numFmtId="166" fontId="10" fillId="2" borderId="0" xfId="0" applyNumberFormat="1" applyFont="1" applyFill="1" applyAlignment="1" applyProtection="1">
      <alignment horizontal="center"/>
      <protection hidden="1"/>
    </xf>
    <xf numFmtId="10" fontId="4" fillId="3" borderId="0" xfId="0" applyNumberFormat="1" applyFont="1" applyFill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0" fontId="7" fillId="2" borderId="19" xfId="0" applyFont="1" applyFill="1" applyBorder="1" applyAlignment="1" applyProtection="1">
      <alignment vertical="top"/>
      <protection hidden="1"/>
    </xf>
    <xf numFmtId="0" fontId="0" fillId="0" borderId="0" xfId="0" applyAlignment="1" applyProtection="1">
      <alignment vertical="center"/>
      <protection hidden="1"/>
    </xf>
    <xf numFmtId="0" fontId="57" fillId="2" borderId="11" xfId="0" applyFont="1" applyFill="1" applyBorder="1" applyAlignment="1" applyProtection="1">
      <alignment horizontal="center"/>
      <protection hidden="1"/>
    </xf>
    <xf numFmtId="8" fontId="57" fillId="2" borderId="11" xfId="0" applyNumberFormat="1" applyFont="1" applyFill="1" applyBorder="1" applyAlignment="1" applyProtection="1">
      <alignment horizontal="center"/>
      <protection locked="0"/>
    </xf>
    <xf numFmtId="0" fontId="57" fillId="2" borderId="12" xfId="0" applyFont="1" applyFill="1" applyBorder="1" applyAlignment="1" applyProtection="1">
      <alignment horizontal="center"/>
      <protection hidden="1"/>
    </xf>
    <xf numFmtId="8" fontId="57" fillId="2" borderId="12" xfId="0" applyNumberFormat="1" applyFont="1" applyFill="1" applyBorder="1" applyAlignment="1" applyProtection="1">
      <alignment horizontal="center"/>
      <protection locked="0"/>
    </xf>
    <xf numFmtId="179" fontId="2" fillId="3" borderId="0" xfId="0" applyNumberFormat="1" applyFont="1" applyFill="1" applyAlignment="1" applyProtection="1">
      <alignment horizontal="center"/>
      <protection hidden="1"/>
    </xf>
    <xf numFmtId="8" fontId="3" fillId="2" borderId="0" xfId="0" applyNumberFormat="1" applyFont="1" applyFill="1" applyProtection="1">
      <protection locked="0"/>
    </xf>
    <xf numFmtId="44" fontId="0" fillId="2" borderId="0" xfId="0" applyNumberFormat="1" applyFill="1" applyProtection="1">
      <protection locked="0"/>
    </xf>
    <xf numFmtId="9" fontId="0" fillId="2" borderId="0" xfId="1" applyFont="1" applyFill="1" applyProtection="1">
      <protection locked="0"/>
    </xf>
    <xf numFmtId="0" fontId="36" fillId="0" borderId="0" xfId="0" applyFont="1" applyAlignment="1" applyProtection="1">
      <alignment horizontal="center" vertical="top"/>
      <protection hidden="1"/>
    </xf>
    <xf numFmtId="175" fontId="34" fillId="2" borderId="0" xfId="0" applyNumberFormat="1" applyFont="1" applyFill="1" applyAlignment="1" applyProtection="1">
      <alignment horizontal="right" vertical="center"/>
      <protection hidden="1"/>
    </xf>
    <xf numFmtId="166" fontId="0" fillId="0" borderId="0" xfId="0" applyNumberFormat="1" applyProtection="1">
      <protection hidden="1"/>
    </xf>
    <xf numFmtId="10" fontId="9" fillId="0" borderId="0" xfId="0" applyNumberFormat="1" applyFont="1" applyAlignment="1" applyProtection="1">
      <alignment horizontal="center"/>
      <protection hidden="1"/>
    </xf>
    <xf numFmtId="174" fontId="34" fillId="0" borderId="0" xfId="0" applyNumberFormat="1" applyFont="1" applyAlignment="1" applyProtection="1">
      <alignment horizontal="center" vertical="center"/>
      <protection hidden="1"/>
    </xf>
    <xf numFmtId="1" fontId="34" fillId="0" borderId="0" xfId="0" applyNumberFormat="1" applyFont="1" applyAlignment="1" applyProtection="1">
      <alignment horizontal="left" vertical="center"/>
      <protection hidden="1"/>
    </xf>
    <xf numFmtId="8" fontId="14" fillId="0" borderId="0" xfId="0" applyNumberFormat="1" applyFont="1" applyAlignment="1" applyProtection="1">
      <alignment horizontal="center"/>
      <protection hidden="1"/>
    </xf>
    <xf numFmtId="0" fontId="34" fillId="2" borderId="56" xfId="0" applyFont="1" applyFill="1" applyBorder="1"/>
    <xf numFmtId="0" fontId="60" fillId="5" borderId="0" xfId="0" applyFont="1" applyFill="1" applyProtection="1">
      <protection hidden="1"/>
    </xf>
    <xf numFmtId="0" fontId="59" fillId="2" borderId="0" xfId="0" applyFont="1" applyFill="1" applyProtection="1">
      <protection hidden="1"/>
    </xf>
    <xf numFmtId="0" fontId="16" fillId="2" borderId="0" xfId="0" applyFont="1" applyFill="1" applyProtection="1">
      <protection hidden="1"/>
    </xf>
    <xf numFmtId="0" fontId="16" fillId="2" borderId="0" xfId="0" applyFont="1" applyFill="1" applyAlignment="1" applyProtection="1">
      <alignment horizontal="left"/>
      <protection hidden="1"/>
    </xf>
    <xf numFmtId="0" fontId="15" fillId="13" borderId="17" xfId="0" applyFont="1" applyFill="1" applyBorder="1" applyAlignment="1" applyProtection="1">
      <alignment horizontal="center" vertical="center"/>
      <protection locked="0"/>
    </xf>
    <xf numFmtId="0" fontId="36" fillId="10" borderId="0" xfId="0" applyFont="1" applyFill="1" applyAlignment="1" applyProtection="1">
      <alignment horizontal="center" vertical="center"/>
      <protection hidden="1"/>
    </xf>
    <xf numFmtId="15" fontId="8" fillId="0" borderId="0" xfId="0" applyNumberFormat="1" applyFont="1" applyAlignment="1" applyProtection="1">
      <alignment vertical="center"/>
      <protection hidden="1"/>
    </xf>
    <xf numFmtId="9" fontId="8" fillId="0" borderId="0" xfId="0" applyNumberFormat="1" applyFont="1" applyAlignment="1" applyProtection="1">
      <alignment vertical="center"/>
      <protection hidden="1"/>
    </xf>
    <xf numFmtId="169" fontId="6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3" fillId="2" borderId="20" xfId="2" applyFill="1" applyBorder="1" applyAlignment="1" applyProtection="1">
      <alignment vertical="top"/>
      <protection locked="0"/>
    </xf>
    <xf numFmtId="168" fontId="3" fillId="2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Protection="1">
      <protection hidden="1"/>
    </xf>
    <xf numFmtId="44" fontId="0" fillId="2" borderId="12" xfId="0" applyNumberFormat="1" applyFill="1" applyBorder="1" applyAlignment="1" applyProtection="1">
      <alignment horizontal="center"/>
      <protection locked="0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5" fillId="2" borderId="0" xfId="0" applyFont="1" applyFill="1" applyAlignment="1" applyProtection="1">
      <alignment vertical="center"/>
      <protection hidden="1"/>
    </xf>
    <xf numFmtId="0" fontId="64" fillId="2" borderId="0" xfId="0" applyFont="1" applyFill="1" applyAlignment="1" applyProtection="1">
      <alignment vertical="center"/>
      <protection hidden="1"/>
    </xf>
    <xf numFmtId="173" fontId="35" fillId="8" borderId="0" xfId="0" applyNumberFormat="1" applyFont="1" applyFill="1" applyProtection="1">
      <protection locked="0"/>
    </xf>
    <xf numFmtId="166" fontId="34" fillId="2" borderId="0" xfId="0" applyNumberFormat="1" applyFont="1" applyFill="1" applyAlignment="1" applyProtection="1">
      <alignment horizontal="left" vertical="center"/>
      <protection locked="0"/>
    </xf>
    <xf numFmtId="175" fontId="34" fillId="2" borderId="0" xfId="0" applyNumberFormat="1" applyFont="1" applyFill="1" applyAlignment="1" applyProtection="1">
      <alignment horizontal="right" vertical="center"/>
      <protection locked="0"/>
    </xf>
    <xf numFmtId="166" fontId="0" fillId="0" borderId="0" xfId="0" applyNumberFormat="1" applyProtection="1">
      <protection locked="0"/>
    </xf>
    <xf numFmtId="10" fontId="9" fillId="0" borderId="0" xfId="0" applyNumberFormat="1" applyFont="1" applyAlignment="1" applyProtection="1">
      <alignment horizontal="center"/>
      <protection locked="0"/>
    </xf>
    <xf numFmtId="8" fontId="14" fillId="0" borderId="0" xfId="0" applyNumberFormat="1" applyFont="1" applyAlignment="1" applyProtection="1">
      <alignment horizont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165" fontId="0" fillId="2" borderId="11" xfId="0" applyNumberFormat="1" applyFill="1" applyBorder="1" applyAlignment="1" applyProtection="1">
      <alignment horizontal="center"/>
      <protection locked="0"/>
    </xf>
    <xf numFmtId="0" fontId="42" fillId="2" borderId="0" xfId="0" applyFont="1" applyFill="1" applyAlignment="1" applyProtection="1">
      <alignment horizontal="right"/>
      <protection hidden="1"/>
    </xf>
    <xf numFmtId="0" fontId="11" fillId="2" borderId="0" xfId="0" applyFont="1" applyFill="1" applyAlignment="1" applyProtection="1">
      <alignment horizontal="right"/>
      <protection hidden="1"/>
    </xf>
    <xf numFmtId="0" fontId="36" fillId="10" borderId="14" xfId="0" applyFont="1" applyFill="1" applyBorder="1" applyAlignment="1" applyProtection="1">
      <alignment horizontal="center" vertical="center"/>
      <protection hidden="1"/>
    </xf>
    <xf numFmtId="15" fontId="38" fillId="2" borderId="0" xfId="0" applyNumberFormat="1" applyFont="1" applyFill="1" applyProtection="1">
      <protection hidden="1"/>
    </xf>
    <xf numFmtId="15" fontId="3" fillId="0" borderId="0" xfId="0" applyNumberFormat="1" applyFont="1" applyAlignment="1" applyProtection="1">
      <alignment horizontal="center" vertical="center"/>
      <protection hidden="1"/>
    </xf>
    <xf numFmtId="169" fontId="3" fillId="2" borderId="0" xfId="1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8" fontId="61" fillId="3" borderId="0" xfId="0" applyNumberFormat="1" applyFont="1" applyFill="1" applyAlignment="1" applyProtection="1">
      <alignment horizontal="center" vertical="center"/>
      <protection hidden="1"/>
    </xf>
    <xf numFmtId="0" fontId="61" fillId="3" borderId="0" xfId="0" applyFont="1" applyFill="1" applyAlignment="1" applyProtection="1">
      <alignment horizontal="center" vertical="center"/>
      <protection hidden="1"/>
    </xf>
    <xf numFmtId="0" fontId="20" fillId="7" borderId="14" xfId="0" applyFont="1" applyFill="1" applyBorder="1" applyAlignment="1" applyProtection="1">
      <alignment horizontal="center" vertical="center"/>
      <protection locked="0"/>
    </xf>
    <xf numFmtId="0" fontId="20" fillId="7" borderId="15" xfId="0" applyFont="1" applyFill="1" applyBorder="1" applyAlignment="1" applyProtection="1">
      <alignment horizontal="center" vertical="center"/>
      <protection locked="0"/>
    </xf>
    <xf numFmtId="0" fontId="20" fillId="7" borderId="16" xfId="0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center" vertical="top"/>
      <protection hidden="1"/>
    </xf>
    <xf numFmtId="9" fontId="8" fillId="7" borderId="14" xfId="0" applyNumberFormat="1" applyFont="1" applyFill="1" applyBorder="1" applyAlignment="1" applyProtection="1">
      <alignment horizontal="center" vertical="center"/>
      <protection hidden="1"/>
    </xf>
    <xf numFmtId="9" fontId="8" fillId="7" borderId="15" xfId="0" applyNumberFormat="1" applyFont="1" applyFill="1" applyBorder="1" applyAlignment="1" applyProtection="1">
      <alignment horizontal="center" vertical="center"/>
      <protection hidden="1"/>
    </xf>
    <xf numFmtId="9" fontId="8" fillId="7" borderId="16" xfId="0" applyNumberFormat="1" applyFont="1" applyFill="1" applyBorder="1" applyAlignment="1" applyProtection="1">
      <alignment horizontal="center" vertical="center"/>
      <protection hidden="1"/>
    </xf>
    <xf numFmtId="15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5" fontId="6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176" fontId="12" fillId="2" borderId="0" xfId="0" applyNumberFormat="1" applyFont="1" applyFill="1" applyAlignment="1" applyProtection="1">
      <alignment horizontal="center" vertical="top"/>
      <protection hidden="1"/>
    </xf>
    <xf numFmtId="176" fontId="12" fillId="2" borderId="8" xfId="0" applyNumberFormat="1" applyFont="1" applyFill="1" applyBorder="1" applyAlignment="1" applyProtection="1">
      <alignment horizontal="center" vertical="top"/>
      <protection hidden="1"/>
    </xf>
    <xf numFmtId="0" fontId="36" fillId="0" borderId="0" xfId="0" applyFont="1" applyAlignment="1" applyProtection="1">
      <alignment horizontal="left" vertical="top"/>
      <protection hidden="1"/>
    </xf>
    <xf numFmtId="168" fontId="34" fillId="0" borderId="0" xfId="0" applyNumberFormat="1" applyFont="1" applyAlignment="1" applyProtection="1">
      <alignment horizontal="center" vertical="top"/>
      <protection hidden="1"/>
    </xf>
    <xf numFmtId="176" fontId="8" fillId="7" borderId="14" xfId="0" applyNumberFormat="1" applyFont="1" applyFill="1" applyBorder="1" applyAlignment="1" applyProtection="1">
      <alignment horizontal="right" vertical="top"/>
      <protection hidden="1"/>
    </xf>
    <xf numFmtId="176" fontId="8" fillId="7" borderId="15" xfId="0" applyNumberFormat="1" applyFont="1" applyFill="1" applyBorder="1" applyAlignment="1" applyProtection="1">
      <alignment horizontal="right" vertical="top"/>
      <protection hidden="1"/>
    </xf>
    <xf numFmtId="176" fontId="8" fillId="7" borderId="16" xfId="0" applyNumberFormat="1" applyFont="1" applyFill="1" applyBorder="1" applyAlignment="1" applyProtection="1">
      <alignment horizontal="right" vertical="top"/>
      <protection hidden="1"/>
    </xf>
    <xf numFmtId="15" fontId="8" fillId="7" borderId="14" xfId="0" applyNumberFormat="1" applyFont="1" applyFill="1" applyBorder="1" applyAlignment="1" applyProtection="1">
      <alignment horizontal="center" vertical="center"/>
      <protection hidden="1"/>
    </xf>
    <xf numFmtId="15" fontId="8" fillId="7" borderId="15" xfId="0" applyNumberFormat="1" applyFont="1" applyFill="1" applyBorder="1" applyAlignment="1" applyProtection="1">
      <alignment horizontal="center" vertical="center"/>
      <protection hidden="1"/>
    </xf>
    <xf numFmtId="15" fontId="8" fillId="7" borderId="16" xfId="0" applyNumberFormat="1" applyFont="1" applyFill="1" applyBorder="1" applyAlignment="1" applyProtection="1">
      <alignment horizontal="center" vertical="center"/>
      <protection hidden="1"/>
    </xf>
    <xf numFmtId="172" fontId="53" fillId="2" borderId="0" xfId="0" applyNumberFormat="1" applyFont="1" applyFill="1" applyAlignment="1" applyProtection="1">
      <alignment horizontal="right" vertical="center"/>
      <protection hidden="1"/>
    </xf>
    <xf numFmtId="0" fontId="24" fillId="2" borderId="54" xfId="0" applyFont="1" applyFill="1" applyBorder="1" applyAlignment="1" applyProtection="1">
      <alignment horizontal="center" vertical="center"/>
      <protection hidden="1"/>
    </xf>
    <xf numFmtId="0" fontId="24" fillId="2" borderId="55" xfId="0" applyFont="1" applyFill="1" applyBorder="1" applyAlignment="1" applyProtection="1">
      <alignment horizontal="center" vertical="center"/>
      <protection hidden="1"/>
    </xf>
    <xf numFmtId="0" fontId="62" fillId="7" borderId="2" xfId="0" applyFont="1" applyFill="1" applyBorder="1" applyAlignment="1" applyProtection="1">
      <alignment horizontal="center" vertical="center" wrapText="1"/>
      <protection hidden="1"/>
    </xf>
    <xf numFmtId="0" fontId="62" fillId="7" borderId="7" xfId="0" applyFont="1" applyFill="1" applyBorder="1" applyAlignment="1" applyProtection="1">
      <alignment horizontal="center" vertical="center" wrapText="1"/>
      <protection hidden="1"/>
    </xf>
    <xf numFmtId="0" fontId="62" fillId="7" borderId="3" xfId="0" applyFont="1" applyFill="1" applyBorder="1" applyAlignment="1" applyProtection="1">
      <alignment horizontal="center" vertical="center" wrapText="1"/>
      <protection hidden="1"/>
    </xf>
    <xf numFmtId="0" fontId="62" fillId="7" borderId="4" xfId="0" applyFont="1" applyFill="1" applyBorder="1" applyAlignment="1" applyProtection="1">
      <alignment horizontal="center" vertical="center" wrapText="1"/>
      <protection hidden="1"/>
    </xf>
    <xf numFmtId="0" fontId="62" fillId="7" borderId="0" xfId="0" applyFont="1" applyFill="1" applyAlignment="1" applyProtection="1">
      <alignment horizontal="center" vertical="center" wrapText="1"/>
      <protection hidden="1"/>
    </xf>
    <xf numFmtId="0" fontId="62" fillId="7" borderId="1" xfId="0" applyFont="1" applyFill="1" applyBorder="1" applyAlignment="1" applyProtection="1">
      <alignment horizontal="center" vertical="center" wrapText="1"/>
      <protection hidden="1"/>
    </xf>
    <xf numFmtId="0" fontId="62" fillId="7" borderId="5" xfId="0" applyFont="1" applyFill="1" applyBorder="1" applyAlignment="1" applyProtection="1">
      <alignment horizontal="center" vertical="center" wrapText="1"/>
      <protection hidden="1"/>
    </xf>
    <xf numFmtId="0" fontId="62" fillId="7" borderId="8" xfId="0" applyFont="1" applyFill="1" applyBorder="1" applyAlignment="1" applyProtection="1">
      <alignment horizontal="center" vertical="center" wrapText="1"/>
      <protection hidden="1"/>
    </xf>
    <xf numFmtId="0" fontId="62" fillId="7" borderId="6" xfId="0" applyFont="1" applyFill="1" applyBorder="1" applyAlignment="1" applyProtection="1">
      <alignment horizontal="center" vertical="center" wrapText="1"/>
      <protection hidden="1"/>
    </xf>
    <xf numFmtId="1" fontId="6" fillId="7" borderId="14" xfId="0" applyNumberFormat="1" applyFont="1" applyFill="1" applyBorder="1" applyAlignment="1" applyProtection="1">
      <alignment horizontal="center" vertical="center"/>
      <protection hidden="1"/>
    </xf>
    <xf numFmtId="1" fontId="6" fillId="7" borderId="15" xfId="0" applyNumberFormat="1" applyFont="1" applyFill="1" applyBorder="1" applyAlignment="1" applyProtection="1">
      <alignment horizontal="center" vertical="center"/>
      <protection hidden="1"/>
    </xf>
    <xf numFmtId="1" fontId="6" fillId="7" borderId="16" xfId="0" applyNumberFormat="1" applyFont="1" applyFill="1" applyBorder="1" applyAlignment="1" applyProtection="1">
      <alignment horizontal="center" vertical="center"/>
      <protection hidden="1"/>
    </xf>
    <xf numFmtId="0" fontId="6" fillId="7" borderId="14" xfId="0" applyFont="1" applyFill="1" applyBorder="1" applyAlignment="1" applyProtection="1">
      <alignment horizontal="left" vertical="center"/>
      <protection hidden="1"/>
    </xf>
    <xf numFmtId="0" fontId="6" fillId="7" borderId="15" xfId="0" applyFont="1" applyFill="1" applyBorder="1" applyAlignment="1" applyProtection="1">
      <alignment horizontal="left" vertical="center"/>
      <protection hidden="1"/>
    </xf>
    <xf numFmtId="0" fontId="6" fillId="7" borderId="16" xfId="0" applyFont="1" applyFill="1" applyBorder="1" applyAlignment="1" applyProtection="1">
      <alignment horizontal="left" vertical="center"/>
      <protection hidden="1"/>
    </xf>
    <xf numFmtId="0" fontId="6" fillId="7" borderId="14" xfId="0" applyFont="1" applyFill="1" applyBorder="1" applyAlignment="1" applyProtection="1">
      <alignment horizontal="center" vertical="center"/>
      <protection hidden="1"/>
    </xf>
    <xf numFmtId="0" fontId="6" fillId="7" borderId="15" xfId="0" applyFont="1" applyFill="1" applyBorder="1" applyAlignment="1" applyProtection="1">
      <alignment horizontal="center" vertical="center"/>
      <protection hidden="1"/>
    </xf>
    <xf numFmtId="0" fontId="6" fillId="7" borderId="16" xfId="0" applyFont="1" applyFill="1" applyBorder="1" applyAlignment="1" applyProtection="1">
      <alignment horizontal="center" vertical="center"/>
      <protection hidden="1"/>
    </xf>
    <xf numFmtId="0" fontId="53" fillId="2" borderId="9" xfId="0" applyFont="1" applyFill="1" applyBorder="1" applyAlignment="1" applyProtection="1">
      <alignment horizontal="center" vertical="center"/>
      <protection hidden="1"/>
    </xf>
    <xf numFmtId="0" fontId="53" fillId="2" borderId="19" xfId="0" applyFont="1" applyFill="1" applyBorder="1" applyAlignment="1" applyProtection="1">
      <alignment horizontal="center" vertical="center"/>
      <protection hidden="1"/>
    </xf>
    <xf numFmtId="0" fontId="53" fillId="2" borderId="10" xfId="0" applyFont="1" applyFill="1" applyBorder="1" applyAlignment="1" applyProtection="1">
      <alignment horizontal="center" vertical="center"/>
      <protection hidden="1"/>
    </xf>
    <xf numFmtId="0" fontId="21" fillId="3" borderId="0" xfId="0" applyFont="1" applyFill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left" vertical="center"/>
      <protection hidden="1"/>
    </xf>
    <xf numFmtId="0" fontId="20" fillId="7" borderId="48" xfId="0" applyFont="1" applyFill="1" applyBorder="1" applyAlignment="1" applyProtection="1">
      <alignment horizontal="center" vertical="center"/>
      <protection hidden="1"/>
    </xf>
    <xf numFmtId="0" fontId="20" fillId="7" borderId="15" xfId="0" applyFont="1" applyFill="1" applyBorder="1" applyAlignment="1" applyProtection="1">
      <alignment horizontal="center" vertical="center"/>
      <protection hidden="1"/>
    </xf>
    <xf numFmtId="0" fontId="20" fillId="7" borderId="16" xfId="0" applyFont="1" applyFill="1" applyBorder="1" applyAlignment="1" applyProtection="1">
      <alignment horizontal="center" vertical="center"/>
      <protection hidden="1"/>
    </xf>
    <xf numFmtId="9" fontId="12" fillId="2" borderId="0" xfId="0" applyNumberFormat="1" applyFont="1" applyFill="1" applyAlignment="1" applyProtection="1">
      <alignment horizontal="right" vertical="top"/>
      <protection hidden="1"/>
    </xf>
    <xf numFmtId="167" fontId="12" fillId="0" borderId="0" xfId="0" applyNumberFormat="1" applyFont="1" applyAlignment="1" applyProtection="1">
      <alignment horizontal="center" vertical="top"/>
      <protection hidden="1"/>
    </xf>
    <xf numFmtId="169" fontId="12" fillId="2" borderId="0" xfId="0" applyNumberFormat="1" applyFont="1" applyFill="1" applyAlignment="1" applyProtection="1">
      <alignment horizontal="left" vertical="top"/>
      <protection hidden="1"/>
    </xf>
    <xf numFmtId="177" fontId="20" fillId="7" borderId="14" xfId="0" applyNumberFormat="1" applyFont="1" applyFill="1" applyBorder="1" applyAlignment="1" applyProtection="1">
      <alignment horizontal="center" vertical="center"/>
      <protection hidden="1"/>
    </xf>
    <xf numFmtId="177" fontId="20" fillId="7" borderId="15" xfId="0" applyNumberFormat="1" applyFont="1" applyFill="1" applyBorder="1" applyAlignment="1" applyProtection="1">
      <alignment horizontal="center" vertical="center"/>
      <protection hidden="1"/>
    </xf>
    <xf numFmtId="177" fontId="20" fillId="7" borderId="16" xfId="0" applyNumberFormat="1" applyFont="1" applyFill="1" applyBorder="1" applyAlignment="1" applyProtection="1">
      <alignment horizontal="center" vertical="center"/>
      <protection hidden="1"/>
    </xf>
    <xf numFmtId="176" fontId="8" fillId="7" borderId="14" xfId="0" applyNumberFormat="1" applyFont="1" applyFill="1" applyBorder="1" applyAlignment="1" applyProtection="1">
      <alignment horizontal="center" vertical="top"/>
      <protection hidden="1"/>
    </xf>
    <xf numFmtId="176" fontId="8" fillId="7" borderId="15" xfId="0" applyNumberFormat="1" applyFont="1" applyFill="1" applyBorder="1" applyAlignment="1" applyProtection="1">
      <alignment horizontal="center" vertical="top"/>
      <protection hidden="1"/>
    </xf>
    <xf numFmtId="176" fontId="8" fillId="7" borderId="16" xfId="0" applyNumberFormat="1" applyFont="1" applyFill="1" applyBorder="1" applyAlignment="1" applyProtection="1">
      <alignment horizontal="center" vertical="top"/>
      <protection hidden="1"/>
    </xf>
    <xf numFmtId="10" fontId="12" fillId="2" borderId="0" xfId="0" applyNumberFormat="1" applyFont="1" applyFill="1" applyAlignment="1" applyProtection="1">
      <alignment horizontal="left" vertical="top"/>
      <protection hidden="1"/>
    </xf>
    <xf numFmtId="0" fontId="36" fillId="0" borderId="0" xfId="0" applyFont="1" applyAlignment="1" applyProtection="1">
      <alignment horizontal="right" vertical="top"/>
      <protection hidden="1"/>
    </xf>
    <xf numFmtId="0" fontId="6" fillId="2" borderId="0" xfId="0" applyFont="1" applyFill="1" applyAlignment="1" applyProtection="1">
      <alignment horizontal="center" vertical="top" wrapText="1"/>
      <protection locked="0"/>
    </xf>
    <xf numFmtId="0" fontId="3" fillId="2" borderId="0" xfId="0" applyFont="1" applyFill="1" applyAlignment="1" applyProtection="1">
      <alignment horizontal="left" vertical="center"/>
      <protection hidden="1"/>
    </xf>
    <xf numFmtId="0" fontId="20" fillId="7" borderId="51" xfId="0" applyFont="1" applyFill="1" applyBorder="1" applyAlignment="1" applyProtection="1">
      <alignment horizontal="center" vertical="center"/>
      <protection hidden="1"/>
    </xf>
    <xf numFmtId="0" fontId="20" fillId="7" borderId="52" xfId="0" applyFont="1" applyFill="1" applyBorder="1" applyAlignment="1" applyProtection="1">
      <alignment horizontal="center" vertical="center"/>
      <protection hidden="1"/>
    </xf>
    <xf numFmtId="0" fontId="21" fillId="3" borderId="14" xfId="0" applyFont="1" applyFill="1" applyBorder="1" applyAlignment="1" applyProtection="1">
      <alignment horizontal="center" vertical="center"/>
      <protection hidden="1"/>
    </xf>
    <xf numFmtId="0" fontId="21" fillId="3" borderId="15" xfId="0" applyFont="1" applyFill="1" applyBorder="1" applyAlignment="1" applyProtection="1">
      <alignment horizontal="center" vertical="center"/>
      <protection hidden="1"/>
    </xf>
    <xf numFmtId="0" fontId="21" fillId="3" borderId="16" xfId="0" applyFont="1" applyFill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left" vertical="center"/>
      <protection hidden="1"/>
    </xf>
    <xf numFmtId="0" fontId="24" fillId="2" borderId="42" xfId="0" applyFont="1" applyFill="1" applyBorder="1" applyAlignment="1" applyProtection="1">
      <alignment horizontal="center" vertical="center"/>
      <protection hidden="1"/>
    </xf>
    <xf numFmtId="0" fontId="24" fillId="2" borderId="0" xfId="0" applyFont="1" applyFill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9" fontId="20" fillId="7" borderId="14" xfId="0" applyNumberFormat="1" applyFont="1" applyFill="1" applyBorder="1" applyAlignment="1" applyProtection="1">
      <alignment horizontal="center" vertical="center"/>
      <protection hidden="1"/>
    </xf>
    <xf numFmtId="9" fontId="20" fillId="7" borderId="15" xfId="0" applyNumberFormat="1" applyFont="1" applyFill="1" applyBorder="1" applyAlignment="1" applyProtection="1">
      <alignment horizontal="center" vertical="center"/>
      <protection hidden="1"/>
    </xf>
    <xf numFmtId="9" fontId="20" fillId="7" borderId="16" xfId="0" applyNumberFormat="1" applyFont="1" applyFill="1" applyBorder="1" applyAlignment="1" applyProtection="1">
      <alignment horizontal="center" vertical="center"/>
      <protection hidden="1"/>
    </xf>
    <xf numFmtId="170" fontId="12" fillId="2" borderId="7" xfId="0" applyNumberFormat="1" applyFont="1" applyFill="1" applyBorder="1" applyAlignment="1" applyProtection="1">
      <alignment horizontal="left" vertical="top"/>
      <protection hidden="1"/>
    </xf>
    <xf numFmtId="14" fontId="51" fillId="0" borderId="8" xfId="0" applyNumberFormat="1" applyFont="1" applyBorder="1" applyAlignment="1" applyProtection="1">
      <alignment horizontal="center" vertical="center"/>
      <protection hidden="1"/>
    </xf>
    <xf numFmtId="0" fontId="21" fillId="3" borderId="11" xfId="0" applyFont="1" applyFill="1" applyBorder="1" applyAlignment="1" applyProtection="1">
      <alignment horizontal="center" vertical="center"/>
      <protection hidden="1"/>
    </xf>
    <xf numFmtId="0" fontId="51" fillId="0" borderId="0" xfId="0" applyFont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right" vertical="top"/>
      <protection hidden="1"/>
    </xf>
    <xf numFmtId="0" fontId="8" fillId="7" borderId="14" xfId="0" applyFont="1" applyFill="1" applyBorder="1" applyAlignment="1" applyProtection="1">
      <alignment horizontal="center" vertical="center"/>
      <protection hidden="1"/>
    </xf>
    <xf numFmtId="0" fontId="8" fillId="7" borderId="15" xfId="0" applyFont="1" applyFill="1" applyBorder="1" applyAlignment="1" applyProtection="1">
      <alignment horizontal="center" vertical="center"/>
      <protection hidden="1"/>
    </xf>
    <xf numFmtId="0" fontId="8" fillId="7" borderId="16" xfId="0" applyFont="1" applyFill="1" applyBorder="1" applyAlignment="1" applyProtection="1">
      <alignment horizontal="center" vertical="center"/>
      <protection hidden="1"/>
    </xf>
    <xf numFmtId="171" fontId="12" fillId="2" borderId="0" xfId="0" applyNumberFormat="1" applyFont="1" applyFill="1" applyAlignment="1" applyProtection="1">
      <alignment horizontal="right" vertical="top"/>
      <protection hidden="1"/>
    </xf>
    <xf numFmtId="0" fontId="52" fillId="0" borderId="0" xfId="0" applyFont="1" applyAlignment="1" applyProtection="1">
      <alignment horizontal="left" vertical="top"/>
      <protection hidden="1"/>
    </xf>
    <xf numFmtId="15" fontId="8" fillId="13" borderId="14" xfId="0" applyNumberFormat="1" applyFont="1" applyFill="1" applyBorder="1" applyAlignment="1" applyProtection="1">
      <alignment horizontal="center" vertical="center"/>
      <protection locked="0"/>
    </xf>
    <xf numFmtId="15" fontId="8" fillId="13" borderId="15" xfId="0" applyNumberFormat="1" applyFont="1" applyFill="1" applyBorder="1" applyAlignment="1" applyProtection="1">
      <alignment horizontal="center" vertical="center"/>
      <protection locked="0"/>
    </xf>
    <xf numFmtId="15" fontId="8" fillId="13" borderId="16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wrapText="1"/>
      <protection hidden="1"/>
    </xf>
    <xf numFmtId="0" fontId="29" fillId="5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/>
      <protection hidden="1"/>
    </xf>
    <xf numFmtId="14" fontId="12" fillId="13" borderId="0" xfId="0" applyNumberFormat="1" applyFont="1" applyFill="1" applyAlignment="1" applyProtection="1">
      <alignment horizontal="center" vertical="center"/>
      <protection locked="0"/>
    </xf>
    <xf numFmtId="0" fontId="38" fillId="2" borderId="14" xfId="0" applyFont="1" applyFill="1" applyBorder="1" applyAlignment="1" applyProtection="1">
      <alignment horizontal="center" vertical="center"/>
      <protection hidden="1"/>
    </xf>
    <xf numFmtId="0" fontId="38" fillId="2" borderId="16" xfId="0" applyFont="1" applyFill="1" applyBorder="1" applyAlignment="1" applyProtection="1">
      <alignment horizontal="center" vertical="center"/>
      <protection hidden="1"/>
    </xf>
    <xf numFmtId="172" fontId="30" fillId="0" borderId="0" xfId="0" applyNumberFormat="1" applyFont="1" applyAlignment="1" applyProtection="1">
      <alignment horizontal="left"/>
      <protection hidden="1"/>
    </xf>
    <xf numFmtId="172" fontId="30" fillId="5" borderId="39" xfId="0" applyNumberFormat="1" applyFont="1" applyFill="1" applyBorder="1" applyAlignment="1" applyProtection="1">
      <alignment horizontal="center" vertical="center"/>
      <protection hidden="1"/>
    </xf>
    <xf numFmtId="172" fontId="30" fillId="5" borderId="40" xfId="0" applyNumberFormat="1" applyFont="1" applyFill="1" applyBorder="1" applyAlignment="1" applyProtection="1">
      <alignment horizontal="center" vertical="center"/>
      <protection hidden="1"/>
    </xf>
    <xf numFmtId="172" fontId="30" fillId="5" borderId="41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/>
      <protection locked="0"/>
    </xf>
    <xf numFmtId="0" fontId="0" fillId="13" borderId="0" xfId="0" applyFill="1" applyAlignment="1" applyProtection="1">
      <alignment horizontal="left"/>
      <protection locked="0"/>
    </xf>
    <xf numFmtId="0" fontId="58" fillId="3" borderId="0" xfId="0" applyFont="1" applyFill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center" vertical="top"/>
      <protection locked="0"/>
    </xf>
    <xf numFmtId="0" fontId="43" fillId="2" borderId="20" xfId="2" applyFill="1" applyBorder="1" applyAlignment="1" applyProtection="1">
      <alignment horizontal="center" vertical="top"/>
      <protection locked="0"/>
    </xf>
    <xf numFmtId="0" fontId="42" fillId="0" borderId="0" xfId="0" applyFont="1" applyAlignment="1" applyProtection="1">
      <alignment horizontal="left" vertical="center" wrapText="1"/>
      <protection hidden="1"/>
    </xf>
    <xf numFmtId="1" fontId="7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left" vertical="top" wrapText="1"/>
      <protection locked="0"/>
    </xf>
    <xf numFmtId="0" fontId="6" fillId="6" borderId="30" xfId="0" applyFont="1" applyFill="1" applyBorder="1" applyAlignment="1" applyProtection="1">
      <alignment horizontal="center" vertical="center"/>
      <protection locked="0"/>
    </xf>
    <xf numFmtId="0" fontId="6" fillId="6" borderId="28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 vertical="center" wrapText="1"/>
      <protection hidden="1"/>
    </xf>
    <xf numFmtId="0" fontId="43" fillId="2" borderId="19" xfId="2" applyFill="1" applyBorder="1" applyAlignment="1" applyProtection="1">
      <alignment horizontal="center" vertical="center"/>
      <protection locked="0"/>
    </xf>
    <xf numFmtId="0" fontId="43" fillId="2" borderId="19" xfId="2" applyFill="1" applyBorder="1" applyAlignment="1" applyProtection="1">
      <alignment horizontal="center" vertical="top"/>
      <protection locked="0"/>
    </xf>
    <xf numFmtId="14" fontId="24" fillId="2" borderId="19" xfId="0" applyNumberFormat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left" vertical="center" wrapText="1"/>
      <protection hidden="1"/>
    </xf>
    <xf numFmtId="0" fontId="7" fillId="2" borderId="2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 applyProtection="1">
      <alignment horizontal="center" vertical="top"/>
      <protection locked="0"/>
    </xf>
    <xf numFmtId="0" fontId="24" fillId="2" borderId="34" xfId="0" applyFont="1" applyFill="1" applyBorder="1" applyAlignment="1" applyProtection="1">
      <alignment horizontal="right" vertical="center"/>
      <protection hidden="1"/>
    </xf>
    <xf numFmtId="0" fontId="21" fillId="3" borderId="9" xfId="0" applyFont="1" applyFill="1" applyBorder="1" applyAlignment="1" applyProtection="1">
      <alignment horizontal="center" vertical="center"/>
      <protection hidden="1"/>
    </xf>
    <xf numFmtId="0" fontId="21" fillId="3" borderId="19" xfId="0" applyFont="1" applyFill="1" applyBorder="1" applyAlignment="1" applyProtection="1">
      <alignment horizontal="center" vertical="center"/>
      <protection hidden="1"/>
    </xf>
    <xf numFmtId="0" fontId="21" fillId="3" borderId="10" xfId="0" applyFont="1" applyFill="1" applyBorder="1" applyAlignment="1" applyProtection="1">
      <alignment horizontal="center" vertical="center"/>
      <protection hidden="1"/>
    </xf>
    <xf numFmtId="1" fontId="6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hidden="1"/>
    </xf>
    <xf numFmtId="0" fontId="31" fillId="0" borderId="0" xfId="0" applyFont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horizontal="left" vertical="top"/>
      <protection locked="0"/>
    </xf>
    <xf numFmtId="0" fontId="7" fillId="2" borderId="20" xfId="0" applyFont="1" applyFill="1" applyBorder="1" applyAlignment="1" applyProtection="1">
      <alignment vertical="top"/>
      <protection locked="0"/>
    </xf>
    <xf numFmtId="0" fontId="24" fillId="2" borderId="0" xfId="0" applyFont="1" applyFill="1" applyAlignment="1" applyProtection="1">
      <alignment horizontal="right" vertical="center"/>
      <protection hidden="1"/>
    </xf>
    <xf numFmtId="14" fontId="24" fillId="2" borderId="21" xfId="0" applyNumberFormat="1" applyFont="1" applyFill="1" applyBorder="1" applyAlignment="1" applyProtection="1">
      <alignment horizontal="center" vertical="center"/>
      <protection hidden="1"/>
    </xf>
    <xf numFmtId="0" fontId="24" fillId="2" borderId="34" xfId="0" applyFont="1" applyFill="1" applyBorder="1" applyAlignment="1" applyProtection="1">
      <alignment horizontal="center" vertical="center"/>
      <protection hidden="1"/>
    </xf>
    <xf numFmtId="0" fontId="24" fillId="2" borderId="35" xfId="0" applyFont="1" applyFill="1" applyBorder="1" applyAlignment="1" applyProtection="1">
      <alignment horizontal="right" vertical="center"/>
      <protection hidden="1"/>
    </xf>
    <xf numFmtId="0" fontId="6" fillId="6" borderId="32" xfId="0" applyFont="1" applyFill="1" applyBorder="1" applyAlignment="1" applyProtection="1">
      <alignment horizontal="center" vertical="center"/>
      <protection locked="0"/>
    </xf>
    <xf numFmtId="0" fontId="6" fillId="6" borderId="33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horizontal="right" vertical="center" wrapText="1"/>
      <protection hidden="1"/>
    </xf>
    <xf numFmtId="0" fontId="7" fillId="2" borderId="19" xfId="0" applyFont="1" applyFill="1" applyBorder="1" applyAlignment="1" applyProtection="1">
      <alignment horizontal="left" vertical="top"/>
      <protection locked="0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65" fillId="2" borderId="20" xfId="0" applyFont="1" applyFill="1" applyBorder="1" applyAlignment="1" applyProtection="1">
      <alignment horizontal="left" vertical="center"/>
      <protection hidden="1"/>
    </xf>
    <xf numFmtId="0" fontId="65" fillId="2" borderId="0" xfId="0" applyFont="1" applyFill="1" applyAlignment="1" applyProtection="1">
      <alignment horizontal="left" vertical="center"/>
      <protection hidden="1"/>
    </xf>
    <xf numFmtId="0" fontId="65" fillId="2" borderId="35" xfId="0" applyFont="1" applyFill="1" applyBorder="1" applyAlignment="1" applyProtection="1">
      <alignment horizontal="left" vertical="center"/>
      <protection hidden="1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left" vertical="top" wrapText="1"/>
      <protection locked="0"/>
    </xf>
    <xf numFmtId="0" fontId="63" fillId="2" borderId="20" xfId="2" applyFont="1" applyFill="1" applyBorder="1" applyAlignment="1" applyProtection="1">
      <alignment horizontal="left" vertical="center"/>
      <protection locked="0"/>
    </xf>
    <xf numFmtId="14" fontId="24" fillId="2" borderId="19" xfId="0" applyNumberFormat="1" applyFont="1" applyFill="1" applyBorder="1" applyAlignment="1" applyProtection="1">
      <alignment horizontal="right" vertical="center"/>
      <protection hidden="1"/>
    </xf>
    <xf numFmtId="0" fontId="24" fillId="2" borderId="27" xfId="0" applyFont="1" applyFill="1" applyBorder="1" applyAlignment="1" applyProtection="1">
      <alignment horizontal="right" vertical="center"/>
      <protection hidden="1"/>
    </xf>
    <xf numFmtId="0" fontId="24" fillId="2" borderId="29" xfId="0" applyFont="1" applyFill="1" applyBorder="1" applyAlignment="1" applyProtection="1">
      <alignment horizontal="right" vertical="center"/>
      <protection hidden="1"/>
    </xf>
    <xf numFmtId="0" fontId="7" fillId="2" borderId="20" xfId="0" applyFont="1" applyFill="1" applyBorder="1" applyAlignment="1" applyProtection="1">
      <alignment horizontal="center" vertical="top" wrapText="1"/>
      <protection locked="0"/>
    </xf>
    <xf numFmtId="0" fontId="65" fillId="2" borderId="21" xfId="0" applyFont="1" applyFill="1" applyBorder="1" applyAlignment="1" applyProtection="1">
      <alignment horizontal="left" vertical="center"/>
      <protection hidden="1"/>
    </xf>
    <xf numFmtId="0" fontId="24" fillId="2" borderId="20" xfId="0" applyFont="1" applyFill="1" applyBorder="1" applyAlignment="1" applyProtection="1">
      <alignment horizontal="left" vertical="center"/>
      <protection hidden="1"/>
    </xf>
    <xf numFmtId="0" fontId="24" fillId="2" borderId="0" xfId="0" applyFont="1" applyFill="1" applyAlignment="1" applyProtection="1">
      <alignment horizontal="left" vertical="center"/>
      <protection hidden="1"/>
    </xf>
    <xf numFmtId="0" fontId="24" fillId="2" borderId="35" xfId="0" applyFont="1" applyFill="1" applyBorder="1" applyAlignment="1" applyProtection="1">
      <alignment horizontal="left" vertical="center"/>
      <protection hidden="1"/>
    </xf>
    <xf numFmtId="0" fontId="24" fillId="2" borderId="20" xfId="0" applyFont="1" applyFill="1" applyBorder="1" applyAlignment="1" applyProtection="1">
      <alignment horizontal="right" vertical="center"/>
      <protection hidden="1"/>
    </xf>
    <xf numFmtId="0" fontId="24" fillId="2" borderId="36" xfId="0" applyFont="1" applyFill="1" applyBorder="1" applyAlignment="1" applyProtection="1">
      <alignment horizontal="right" vertical="center"/>
      <protection hidden="1"/>
    </xf>
    <xf numFmtId="0" fontId="24" fillId="2" borderId="19" xfId="0" applyFont="1" applyFill="1" applyBorder="1" applyAlignment="1" applyProtection="1">
      <alignment horizontal="right" vertical="center"/>
      <protection hidden="1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0" fontId="24" fillId="2" borderId="36" xfId="0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top"/>
      <protection locked="0"/>
    </xf>
    <xf numFmtId="0" fontId="24" fillId="2" borderId="21" xfId="0" applyFont="1" applyFill="1" applyBorder="1" applyAlignment="1" applyProtection="1">
      <alignment horizontal="left" vertical="center"/>
      <protection hidden="1"/>
    </xf>
    <xf numFmtId="0" fontId="24" fillId="2" borderId="37" xfId="0" applyFont="1" applyFill="1" applyBorder="1" applyAlignment="1" applyProtection="1">
      <alignment horizontal="left" vertical="center"/>
      <protection hidden="1"/>
    </xf>
    <xf numFmtId="0" fontId="24" fillId="2" borderId="38" xfId="0" applyFont="1" applyFill="1" applyBorder="1" applyAlignment="1" applyProtection="1">
      <alignment horizontal="right" vertical="center"/>
      <protection hidden="1"/>
    </xf>
    <xf numFmtId="0" fontId="24" fillId="2" borderId="21" xfId="0" applyFont="1" applyFill="1" applyBorder="1" applyAlignment="1" applyProtection="1">
      <alignment horizontal="center" vertical="center"/>
      <protection hidden="1"/>
    </xf>
    <xf numFmtId="0" fontId="20" fillId="13" borderId="9" xfId="0" applyFont="1" applyFill="1" applyBorder="1" applyAlignment="1" applyProtection="1">
      <alignment horizontal="center" vertical="center"/>
      <protection locked="0"/>
    </xf>
    <xf numFmtId="0" fontId="20" fillId="13" borderId="19" xfId="0" applyFont="1" applyFill="1" applyBorder="1" applyAlignment="1" applyProtection="1">
      <alignment horizontal="center" vertical="center"/>
      <protection locked="0"/>
    </xf>
    <xf numFmtId="0" fontId="20" fillId="13" borderId="10" xfId="0" applyFont="1" applyFill="1" applyBorder="1" applyAlignment="1" applyProtection="1">
      <alignment horizontal="center" vertical="center"/>
      <protection locked="0"/>
    </xf>
    <xf numFmtId="0" fontId="46" fillId="0" borderId="21" xfId="0" applyFont="1" applyBorder="1" applyAlignment="1" applyProtection="1">
      <alignment vertical="top"/>
      <protection hidden="1"/>
    </xf>
    <xf numFmtId="0" fontId="46" fillId="0" borderId="0" xfId="0" applyFont="1" applyAlignment="1" applyProtection="1">
      <alignment vertical="top"/>
      <protection hidden="1"/>
    </xf>
    <xf numFmtId="0" fontId="20" fillId="13" borderId="44" xfId="0" applyFont="1" applyFill="1" applyBorder="1" applyAlignment="1" applyProtection="1">
      <alignment horizontal="center" vertical="center"/>
      <protection locked="0"/>
    </xf>
    <xf numFmtId="0" fontId="20" fillId="13" borderId="45" xfId="0" applyFont="1" applyFill="1" applyBorder="1" applyAlignment="1" applyProtection="1">
      <alignment horizontal="center" vertical="center"/>
      <protection locked="0"/>
    </xf>
    <xf numFmtId="0" fontId="20" fillId="13" borderId="46" xfId="0" applyFont="1" applyFill="1" applyBorder="1" applyAlignment="1" applyProtection="1">
      <alignment horizontal="center" vertical="center"/>
      <protection locked="0"/>
    </xf>
    <xf numFmtId="178" fontId="7" fillId="2" borderId="19" xfId="0" applyNumberFormat="1" applyFont="1" applyFill="1" applyBorder="1" applyAlignment="1" applyProtection="1">
      <alignment horizontal="left" vertical="top"/>
      <protection locked="0"/>
    </xf>
  </cellXfs>
  <cellStyles count="4">
    <cellStyle name="Hipervínculo" xfId="2" builtinId="8"/>
    <cellStyle name="Moneda" xfId="3" builtinId="4"/>
    <cellStyle name="Normal" xfId="0" builtinId="0"/>
    <cellStyle name="Porcentaje" xfId="1" builtinId="5"/>
  </cellStyles>
  <dxfs count="439"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  <protection locked="1" hidden="1"/>
    </dxf>
    <dxf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20" formatCode="dd\-mmm\-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fill>
        <patternFill patternType="solid">
          <fgColor indexed="64"/>
          <bgColor theme="0" tint="-4.9989318521683403E-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251311</xdr:colOff>
      <xdr:row>3</xdr:row>
      <xdr:rowOff>151117</xdr:rowOff>
    </xdr:from>
    <xdr:to>
      <xdr:col>3</xdr:col>
      <xdr:colOff>1417138</xdr:colOff>
      <xdr:row>3</xdr:row>
      <xdr:rowOff>1176887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1" t="16350" r="14368" b="12009"/>
        <a:stretch/>
      </xdr:blipFill>
      <xdr:spPr>
        <a:xfrm>
          <a:off x="4799499" y="1853711"/>
          <a:ext cx="1165827" cy="1025770"/>
        </a:xfrm>
        <a:prstGeom prst="rect">
          <a:avLst/>
        </a:prstGeom>
      </xdr:spPr>
    </xdr:pic>
    <xdr:clientData/>
  </xdr:twoCellAnchor>
  <xdr:twoCellAnchor editAs="oneCell">
    <xdr:from>
      <xdr:col>3</xdr:col>
      <xdr:colOff>288798</xdr:colOff>
      <xdr:row>2</xdr:row>
      <xdr:rowOff>95803</xdr:rowOff>
    </xdr:from>
    <xdr:to>
      <xdr:col>3</xdr:col>
      <xdr:colOff>1432627</xdr:colOff>
      <xdr:row>2</xdr:row>
      <xdr:rowOff>1103681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1" t="19063" r="12220" b="15522"/>
        <a:stretch/>
      </xdr:blipFill>
      <xdr:spPr>
        <a:xfrm>
          <a:off x="4836986" y="524428"/>
          <a:ext cx="1143829" cy="1007878"/>
        </a:xfrm>
        <a:prstGeom prst="rect">
          <a:avLst/>
        </a:prstGeom>
      </xdr:spPr>
    </xdr:pic>
    <xdr:clientData/>
  </xdr:twoCellAnchor>
  <xdr:twoCellAnchor editAs="oneCell">
    <xdr:from>
      <xdr:col>3</xdr:col>
      <xdr:colOff>273844</xdr:colOff>
      <xdr:row>4</xdr:row>
      <xdr:rowOff>166687</xdr:rowOff>
    </xdr:from>
    <xdr:to>
      <xdr:col>3</xdr:col>
      <xdr:colOff>1405045</xdr:colOff>
      <xdr:row>4</xdr:row>
      <xdr:rowOff>1251667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2032" y="3059906"/>
          <a:ext cx="1131201" cy="1084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-4488494</xdr:rowOff>
        </xdr:from>
        <xdr:to>
          <xdr:col>0</xdr:col>
          <xdr:colOff>0</xdr:colOff>
          <xdr:row>0</xdr:row>
          <xdr:rowOff>-4488494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0" y="-4488494"/>
              <a:ext cx="0" cy="0"/>
              <a:chOff x="0" y="-4488494"/>
              <a:chExt cx="0" cy="0"/>
            </a:xfrm>
          </xdr:grpSpPr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74084</xdr:rowOff>
        </xdr:from>
        <xdr:to>
          <xdr:col>1</xdr:col>
          <xdr:colOff>974410</xdr:colOff>
          <xdr:row>4</xdr:row>
          <xdr:rowOff>148167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S" spid="_x0000_s498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74084"/>
              <a:ext cx="1429493" cy="113241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18137</xdr:colOff>
          <xdr:row>110</xdr:row>
          <xdr:rowOff>112860</xdr:rowOff>
        </xdr:from>
        <xdr:to>
          <xdr:col>4</xdr:col>
          <xdr:colOff>227948</xdr:colOff>
          <xdr:row>120</xdr:row>
          <xdr:rowOff>101644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pSpPr/>
          </xdr:nvGrpSpPr>
          <xdr:grpSpPr>
            <a:xfrm>
              <a:off x="318240" y="10368545"/>
              <a:ext cx="1240598" cy="2076455"/>
              <a:chOff x="410556" y="26396359"/>
              <a:chExt cx="924880" cy="2109173"/>
            </a:xfrm>
          </xdr:grpSpPr>
          <xdr:sp macro="" textlink="">
            <xdr:nvSpPr>
              <xdr:cNvPr id="3103" name="Check Box 31" hidden="1">
                <a:extLst>
                  <a:ext uri="{63B3BB69-23CF-44E3-9099-C40C66FF867C}">
                    <a14:compatExt spid="_x0000_s3103"/>
                  </a:ext>
                  <a:ext uri="{FF2B5EF4-FFF2-40B4-BE49-F238E27FC236}">
                    <a16:creationId xmlns:a16="http://schemas.microsoft.com/office/drawing/2014/main" id="{00000000-0008-0000-0300-00001F0C0000}"/>
                  </a:ext>
                </a:extLst>
              </xdr:cNvPr>
              <xdr:cNvSpPr/>
            </xdr:nvSpPr>
            <xdr:spPr bwMode="auto">
              <a:xfrm>
                <a:off x="410556" y="26396359"/>
                <a:ext cx="375733" cy="2902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4" name="Check Box 32" hidden="1">
                <a:extLst>
                  <a:ext uri="{63B3BB69-23CF-44E3-9099-C40C66FF867C}">
                    <a14:compatExt spid="_x0000_s3104"/>
                  </a:ext>
                  <a:ext uri="{FF2B5EF4-FFF2-40B4-BE49-F238E27FC236}">
                    <a16:creationId xmlns:a16="http://schemas.microsoft.com/office/drawing/2014/main" id="{00000000-0008-0000-0300-0000200C0000}"/>
                  </a:ext>
                </a:extLst>
              </xdr:cNvPr>
              <xdr:cNvSpPr/>
            </xdr:nvSpPr>
            <xdr:spPr bwMode="auto">
              <a:xfrm>
                <a:off x="420190" y="26860806"/>
                <a:ext cx="433538" cy="3482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6" name="Check Box 34" hidden="1">
                <a:extLst>
                  <a:ext uri="{63B3BB69-23CF-44E3-9099-C40C66FF867C}">
                    <a14:compatExt spid="_x0000_s3106"/>
                  </a:ext>
                  <a:ext uri="{FF2B5EF4-FFF2-40B4-BE49-F238E27FC236}">
                    <a16:creationId xmlns:a16="http://schemas.microsoft.com/office/drawing/2014/main" id="{00000000-0008-0000-0300-0000220C0000}"/>
                  </a:ext>
                </a:extLst>
              </xdr:cNvPr>
              <xdr:cNvSpPr/>
            </xdr:nvSpPr>
            <xdr:spPr bwMode="auto">
              <a:xfrm>
                <a:off x="420190" y="27692858"/>
                <a:ext cx="915246" cy="36765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1" name="Check Box 39" hidden="1">
                <a:extLst>
                  <a:ext uri="{63B3BB69-23CF-44E3-9099-C40C66FF867C}">
                    <a14:compatExt spid="_x0000_s3111"/>
                  </a:ext>
                  <a:ext uri="{FF2B5EF4-FFF2-40B4-BE49-F238E27FC236}">
                    <a16:creationId xmlns:a16="http://schemas.microsoft.com/office/drawing/2014/main" id="{00000000-0008-0000-0300-0000270C0000}"/>
                  </a:ext>
                </a:extLst>
              </xdr:cNvPr>
              <xdr:cNvSpPr/>
            </xdr:nvSpPr>
            <xdr:spPr bwMode="auto">
              <a:xfrm>
                <a:off x="420190" y="28128207"/>
                <a:ext cx="915246" cy="3773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2" name="Check Box 40" hidden="1">
                <a:extLst>
                  <a:ext uri="{63B3BB69-23CF-44E3-9099-C40C66FF867C}">
                    <a14:compatExt spid="_x0000_s3112"/>
                  </a:ext>
                  <a:ext uri="{FF2B5EF4-FFF2-40B4-BE49-F238E27FC236}">
                    <a16:creationId xmlns:a16="http://schemas.microsoft.com/office/drawing/2014/main" id="{00000000-0008-0000-0300-0000280C0000}"/>
                  </a:ext>
                </a:extLst>
              </xdr:cNvPr>
              <xdr:cNvSpPr/>
            </xdr:nvSpPr>
            <xdr:spPr bwMode="auto">
              <a:xfrm>
                <a:off x="429824" y="27286512"/>
                <a:ext cx="433538" cy="3483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-4488494</xdr:rowOff>
        </xdr:from>
        <xdr:to>
          <xdr:col>0</xdr:col>
          <xdr:colOff>0</xdr:colOff>
          <xdr:row>0</xdr:row>
          <xdr:rowOff>-4488494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pSpPr/>
          </xdr:nvGrpSpPr>
          <xdr:grpSpPr>
            <a:xfrm>
              <a:off x="0" y="-4488494"/>
              <a:ext cx="0" cy="0"/>
              <a:chOff x="0" y="-4488494"/>
              <a:chExt cx="0" cy="0"/>
            </a:xfrm>
          </xdr:grpSpPr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88</xdr:row>
          <xdr:rowOff>38100</xdr:rowOff>
        </xdr:from>
        <xdr:to>
          <xdr:col>3</xdr:col>
          <xdr:colOff>9525</xdr:colOff>
          <xdr:row>92</xdr:row>
          <xdr:rowOff>266700</xdr:rowOff>
        </xdr:to>
        <xdr:grpSp>
          <xdr:nvGrpSpPr>
            <xdr:cNvPr id="3143" name="Grupo 2">
              <a:extLst>
                <a:ext uri="{FF2B5EF4-FFF2-40B4-BE49-F238E27FC236}">
                  <a16:creationId xmlns:a16="http://schemas.microsoft.com/office/drawing/2014/main" id="{00000000-0008-0000-0300-0000470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19153" y="5218134"/>
              <a:ext cx="786399" cy="1129952"/>
              <a:chOff x="4063" y="182238"/>
              <a:chExt cx="4686" cy="14286"/>
            </a:xfrm>
          </xdr:grpSpPr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amacair/Downloads/Presupuesto%20Marketing%20CC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uesto Mensual"/>
      <sheetName val="DATO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F7201-800E-4D57-AC2C-053D4C4C718F}" name="Tabla1" displayName="Tabla1" ref="I6:I9" totalsRowShown="0" headerRowDxfId="438" dataDxfId="437">
  <autoFilter ref="I6:I9" xr:uid="{C0FF7201-800E-4D57-AC2C-053D4C4C718F}"/>
  <tableColumns count="1">
    <tableColumn id="1" xr3:uid="{3C0276A3-E759-4630-8CCD-29F672386231}" name="DESARROLLO" dataDxfId="4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EFC197-AC92-45BD-AA48-0E3B5CB0432B}" name="Tabla10" displayName="Tabla10" ref="R14:R18" totalsRowShown="0" headerRowDxfId="411" dataDxfId="410">
  <autoFilter ref="R14:R18" xr:uid="{00EFC197-AC92-45BD-AA48-0E3B5CB0432B}"/>
  <tableColumns count="1">
    <tableColumn id="1" xr3:uid="{1E5CD6D8-F7A1-4F03-8165-4B2718606AA4}" name="VIVE EN CASA " dataDxfId="40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A66A48-CB03-46A0-9385-B717C9D1B3B5}" name="Tabla11" displayName="Tabla11" ref="F6:F26" totalsRowShown="0" headerRowDxfId="408" dataDxfId="407">
  <autoFilter ref="F6:F26" xr:uid="{3BA66A48-CB03-46A0-9385-B717C9D1B3B5}"/>
  <tableColumns count="1">
    <tableColumn id="1" xr3:uid="{749A1412-A2D6-490F-8CEC-44AEF59FA80A}" name="AÑOS" dataDxfId="4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AA928D-395C-4378-849F-2652A7D95B54}" name="Tabla12" displayName="Tabla12" ref="R20:R24" totalsRowShown="0" headerRowDxfId="405" dataDxfId="404">
  <autoFilter ref="R20:R24" xr:uid="{0AAA928D-395C-4378-849F-2652A7D95B54}"/>
  <tableColumns count="1">
    <tableColumn id="1" xr3:uid="{DF872102-2ACF-464D-A8B3-E4FBD0857207}" name="VIVE EN CASA " dataDxfId="40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65943E-4349-408B-B7D5-F65B7A20627B}" name="Tabla14" displayName="Tabla14" ref="R27:R30" totalsRowShown="0" headerRowDxfId="402" dataDxfId="401">
  <autoFilter ref="R27:R30" xr:uid="{2B65943E-4349-408B-B7D5-F65B7A20627B}"/>
  <tableColumns count="1">
    <tableColumn id="1" xr3:uid="{D15FC266-75A3-4101-98F9-9C45BD592D20}" name="TIPO DE CONTRATO" dataDxfId="4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5E7087-6ECE-4542-8C60-BD38370C6691}" name="Tabla13" displayName="Tabla13" ref="R32:R35" totalsRowShown="0" headerRowDxfId="399" dataDxfId="398">
  <autoFilter ref="R32:R35" xr:uid="{0D5E7087-6ECE-4542-8C60-BD38370C6691}"/>
  <tableColumns count="1">
    <tableColumn id="1" xr3:uid="{49E49CE5-0FA3-4C92-ACB5-A0430B52FF9E}" name="ENGANCHE DIFERIDO: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4C50C0-DCD8-4C4D-ABD2-81F44BF59846}" name="Tabla15" displayName="Tabla15" ref="U6:U16" totalsRowShown="0" headerRowDxfId="396" dataDxfId="394" headerRowBorderDxfId="395" tableBorderDxfId="393" totalsRowBorderDxfId="392">
  <autoFilter ref="U6:U16" xr:uid="{104C50C0-DCD8-4C4D-ABD2-81F44BF59846}"/>
  <tableColumns count="1">
    <tableColumn id="1" xr3:uid="{31B8535D-0D24-48DD-81A5-D40B8AC38A3E}" name="DESIERTO 1" dataDxfId="3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72F5263-8639-442D-B907-85DD7CE2F216}" name="Tabla19" displayName="Tabla19" ref="V6:V16" totalsRowShown="0" headerRowDxfId="390" dataDxfId="388" headerRowBorderDxfId="389" tableBorderDxfId="387" totalsRowBorderDxfId="386">
  <autoFilter ref="V6:V16" xr:uid="{672F5263-8639-442D-B907-85DD7CE2F216}"/>
  <tableColumns count="1">
    <tableColumn id="1" xr3:uid="{C4441D38-322C-491F-B9A3-6F80EA12FDA2}" name="DESIERTO 2" dataDxfId="3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580257F-7D4F-4BF4-9F71-B709CE362C30}" name="Tabla20" displayName="Tabla20" ref="W6:W16" totalsRowShown="0" headerRowDxfId="384" dataDxfId="382" headerRowBorderDxfId="383" tableBorderDxfId="381" totalsRowBorderDxfId="380">
  <autoFilter ref="W6:W16" xr:uid="{4580257F-7D4F-4BF4-9F71-B709CE362C30}"/>
  <tableColumns count="1">
    <tableColumn id="1" xr3:uid="{AAEB6100-4A8E-490F-81D8-FC27A42F678D}" name="DESIERTO 3" dataDxfId="37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06D0F9-2934-4F93-BEA6-64593C23A2A1}" name="Tabla21" displayName="Tabla21" ref="X6:X16" totalsRowShown="0" headerRowDxfId="378" dataDxfId="376" headerRowBorderDxfId="377" tableBorderDxfId="375" totalsRowBorderDxfId="374">
  <autoFilter ref="X6:X16" xr:uid="{BA06D0F9-2934-4F93-BEA6-64593C23A2A1}"/>
  <tableColumns count="1">
    <tableColumn id="1" xr3:uid="{C849F12F-9C0C-41F6-A300-BF9F274A4C27}" name="DESIERTO 4" dataDxfId="3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BD010-D8AD-44FD-804B-3AD790CD5F4A}" name="Tabla22" displayName="Tabla22" ref="Y6:Y16" totalsRowShown="0" headerRowDxfId="372" dataDxfId="370" headerRowBorderDxfId="371" tableBorderDxfId="369" totalsRowBorderDxfId="368">
  <autoFilter ref="Y6:Y16" xr:uid="{EABBD010-D8AD-44FD-804B-3AD790CD5F4A}"/>
  <tableColumns count="1">
    <tableColumn id="1" xr3:uid="{5AA798D5-A8E6-4F64-AC35-E1DC0F6A81D3}" name="TAIGA 1" dataDxfId="3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F07A6-41DC-415A-9858-871126BE4DE6}" name="Tabla2" displayName="Tabla2" ref="J6:J29" totalsRowShown="0" headerRowDxfId="435" dataDxfId="434">
  <autoFilter ref="J6:J29" xr:uid="{63CF07A6-41DC-415A-9858-871126BE4DE6}"/>
  <tableColumns count="1">
    <tableColumn id="1" xr3:uid="{AE6979EC-982F-4E37-8C29-C89CFE6AA10C}" name="PBC" dataDxfId="43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967E1B-3682-42EF-8841-44A76327D4B5}" name="Tabla23" displayName="Tabla23" ref="Z6:Z16" totalsRowShown="0" headerRowDxfId="366" dataDxfId="364" headerRowBorderDxfId="365" tableBorderDxfId="363" totalsRowBorderDxfId="362">
  <autoFilter ref="Z6:Z16" xr:uid="{A0967E1B-3682-42EF-8841-44A76327D4B5}"/>
  <tableColumns count="1">
    <tableColumn id="1" xr3:uid="{326FE947-7426-44D4-A128-2B8D0BB90CAC}" name="TAIGA 2" dataDxfId="36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D8014E8-D445-418D-8BB3-0C2034ABF29C}" name="Tabla24" displayName="Tabla24" ref="AA6:AA16" totalsRowShown="0" headerRowDxfId="360" dataDxfId="358" headerRowBorderDxfId="359" tableBorderDxfId="357" totalsRowBorderDxfId="356">
  <autoFilter ref="AA6:AA16" xr:uid="{4D8014E8-D445-418D-8BB3-0C2034ABF29C}"/>
  <tableColumns count="1">
    <tableColumn id="1" xr3:uid="{3DFA1ED1-B829-4118-92D8-4B966906325A}" name="TAIGA 3" dataDxfId="35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31A270-ADEC-414A-AE1D-0B68DFDE9A88}" name="Tabla25" displayName="Tabla25" ref="AB6:AB16" totalsRowShown="0" headerRowDxfId="354" dataDxfId="352" headerRowBorderDxfId="353" tableBorderDxfId="351" totalsRowBorderDxfId="350">
  <autoFilter ref="AB6:AB16" xr:uid="{2131A270-ADEC-414A-AE1D-0B68DFDE9A88}"/>
  <tableColumns count="1">
    <tableColumn id="1" xr3:uid="{A6BFF586-DE74-4535-B621-0644801154D0}" name="PARAMO 1" dataDxfId="3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2B456E-2846-44C2-A4D8-03D4589CB3D7}" name="Tabla26" displayName="Tabla26" ref="AC6:AC16" totalsRowShown="0" headerRowDxfId="348" dataDxfId="346" headerRowBorderDxfId="347" tableBorderDxfId="345" totalsRowBorderDxfId="344">
  <autoFilter ref="AC6:AC16" xr:uid="{DB2B456E-2846-44C2-A4D8-03D4589CB3D7}"/>
  <tableColumns count="1">
    <tableColumn id="1" xr3:uid="{C3340702-CB88-460F-830F-53BEB5C75A4D}" name="PARAMO 2" dataDxfId="34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E793AB-E5E2-4AE9-8983-40F535B2AC50}" name="Tabla27" displayName="Tabla27" ref="AD6:AD16" totalsRowShown="0" headerRowDxfId="342" dataDxfId="340" headerRowBorderDxfId="341" tableBorderDxfId="339" totalsRowBorderDxfId="338">
  <autoFilter ref="AD6:AD16" xr:uid="{A5E793AB-E5E2-4AE9-8983-40F535B2AC50}"/>
  <tableColumns count="1">
    <tableColumn id="1" xr3:uid="{B772E297-FDC3-4872-9E4E-9EE5B4CBC07D}" name="PARAMO 3" dataDxfId="33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9275E8D-D0F9-489A-801B-932DA60ED07C}" name="Tabla28" displayName="Tabla28" ref="AE6:AE21" totalsRowShown="0" headerRowDxfId="336" dataDxfId="334" headerRowBorderDxfId="335" tableBorderDxfId="333" totalsRowBorderDxfId="332">
  <autoFilter ref="AE6:AE21" xr:uid="{59275E8D-D0F9-489A-801B-932DA60ED07C}"/>
  <tableColumns count="1">
    <tableColumn id="1" xr3:uid="{B19B0891-1847-473B-8ABC-794804ADB06F}" name="SELVA 1" dataDxfId="33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13EFA94-2B4F-4DEA-A0CA-A2A8FE02B1DE}" name="Tabla29" displayName="Tabla29" ref="AF6:AF21" totalsRowShown="0" headerRowDxfId="330" dataDxfId="328" headerRowBorderDxfId="329" tableBorderDxfId="327" totalsRowBorderDxfId="326">
  <autoFilter ref="AF6:AF21" xr:uid="{E13EFA94-2B4F-4DEA-A0CA-A2A8FE02B1DE}"/>
  <tableColumns count="1">
    <tableColumn id="1" xr3:uid="{1BB457D9-865B-4954-8F1A-462D41A38778}" name="SELVA 2" dataDxfId="3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05DDCCD-CF27-4BAD-9DF6-EC1B23F8ECD3}" name="Tabla30" displayName="Tabla30" ref="AG6:AG21" totalsRowShown="0" headerRowDxfId="324" dataDxfId="322" headerRowBorderDxfId="323" tableBorderDxfId="321" totalsRowBorderDxfId="320">
  <autoFilter ref="AG6:AG21" xr:uid="{205DDCCD-CF27-4BAD-9DF6-EC1B23F8ECD3}"/>
  <tableColumns count="1">
    <tableColumn id="1" xr3:uid="{BE5D3D7F-E6B2-4DE0-AF28-A2674CC895EB}" name="SELVA 3" dataDxfId="31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63E734-1478-4236-9537-B8EE8BF2D35A}" name="Tabla31" displayName="Tabla31" ref="AH6:AH21" totalsRowShown="0" headerRowDxfId="318" dataDxfId="316" headerRowBorderDxfId="317" tableBorderDxfId="315" totalsRowBorderDxfId="314">
  <autoFilter ref="AH6:AH21" xr:uid="{8263E734-1478-4236-9537-B8EE8BF2D35A}"/>
  <tableColumns count="1">
    <tableColumn id="1" xr3:uid="{F5D5556E-2503-4F9E-84A8-3C53DDDFD680}" name="SELVA 4" dataDxfId="31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76F6C30-665B-42DE-B2FB-AD3BFB7DD45C}" name="Tabla32" displayName="Tabla32" ref="AI6:AI21" totalsRowShown="0" headerRowDxfId="312" dataDxfId="310" headerRowBorderDxfId="311" tableBorderDxfId="309" totalsRowBorderDxfId="308">
  <autoFilter ref="AI6:AI21" xr:uid="{976F6C30-665B-42DE-B2FB-AD3BFB7DD45C}"/>
  <tableColumns count="1">
    <tableColumn id="1" xr3:uid="{D175DFD6-782D-4BBD-81AF-7ACFF258136C}" name="BOSQUE 1" dataDxfId="3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34B3AD-155D-4360-BCA3-6891B49E4F00}" name="Tabla3" displayName="Tabla3" ref="K6:K9" totalsRowShown="0" headerRowDxfId="432" dataDxfId="431">
  <autoFilter ref="K6:K9" xr:uid="{2A34B3AD-155D-4360-BCA3-6891B49E4F00}"/>
  <tableColumns count="1">
    <tableColumn id="1" xr3:uid="{745686E1-1E23-4E48-978A-E4BB6572EC13}" name="LPBC" dataDxfId="43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B8EECC-7120-47D3-BD86-5A44EC581FA9}" name="Tabla33" displayName="Tabla33" ref="AJ6:AJ21" totalsRowShown="0" headerRowDxfId="306" dataDxfId="304" headerRowBorderDxfId="305" tableBorderDxfId="303" totalsRowBorderDxfId="302">
  <autoFilter ref="AJ6:AJ21" xr:uid="{F6B8EECC-7120-47D3-BD86-5A44EC581FA9}"/>
  <tableColumns count="1">
    <tableColumn id="1" xr3:uid="{C4284041-FFC4-4732-BE44-EB0D385F7358}" name="BOSQUE 2" dataDxfId="3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EA70E3F-0975-4F9A-A987-1A20B3A14F88}" name="Tabla34" displayName="Tabla34" ref="AK6:AK21" totalsRowShown="0" headerRowDxfId="300" dataDxfId="298" headerRowBorderDxfId="299" tableBorderDxfId="297" totalsRowBorderDxfId="296">
  <autoFilter ref="AK6:AK21" xr:uid="{4EA70E3F-0975-4F9A-A987-1A20B3A14F88}"/>
  <tableColumns count="1">
    <tableColumn id="1" xr3:uid="{9DC004B1-C91D-4DDD-B788-2905BF70A00D}" name="BOSQUE 3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A060DF7-3ECD-4997-AE46-A85A1DC8593D}" name="Tabla35" displayName="Tabla35" ref="AL6:AL21" totalsRowShown="0" headerRowDxfId="294" dataDxfId="292" headerRowBorderDxfId="293" tableBorderDxfId="291" totalsRowBorderDxfId="290">
  <autoFilter ref="AL6:AL21" xr:uid="{5A060DF7-3ECD-4997-AE46-A85A1DC8593D}"/>
  <tableColumns count="1">
    <tableColumn id="1" xr3:uid="{326BD2E1-BFF7-4CE4-93A4-6A62EAE4977B}" name="BOSQUE 4" dataDxfId="289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17CB68E-CC7E-42E7-8776-5AA352C00E4B}" name="Tabla36" displayName="Tabla36" ref="AM6:AM26" totalsRowShown="0" headerRowDxfId="288" dataDxfId="286" headerRowBorderDxfId="287" tableBorderDxfId="285" totalsRowBorderDxfId="284">
  <autoFilter ref="AM6:AM26" xr:uid="{517CB68E-CC7E-42E7-8776-5AA352C00E4B}"/>
  <tableColumns count="1">
    <tableColumn id="1" xr3:uid="{7C446C1A-37EB-4331-91BC-D9E5931B0CD9}" name="LAGO 1" dataDxfId="28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84F8D7E-C76A-4457-BBD2-4181384BCD0B}" name="Tabla37" displayName="Tabla37" ref="AN6:AN26" totalsRowShown="0" headerRowDxfId="282" dataDxfId="280" headerRowBorderDxfId="281" tableBorderDxfId="279" totalsRowBorderDxfId="278">
  <autoFilter ref="AN6:AN26" xr:uid="{A84F8D7E-C76A-4457-BBD2-4181384BCD0B}"/>
  <tableColumns count="1">
    <tableColumn id="1" xr3:uid="{0FF11390-B0C1-41AD-AB62-95D0B67D64BE}" name="MANGLAR 1" dataDxfId="27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5EF5BDE-FC62-49AC-BFF3-E33302C03E9F}" name="Tabla38" displayName="Tabla38" ref="AO6:AO26" totalsRowShown="0" headerRowDxfId="276" dataDxfId="274" headerRowBorderDxfId="275" tableBorderDxfId="273" totalsRowBorderDxfId="272">
  <autoFilter ref="AO6:AO26" xr:uid="{55EF5BDE-FC62-49AC-BFF3-E33302C03E9F}"/>
  <tableColumns count="1">
    <tableColumn id="1" xr3:uid="{8F3EA360-7F76-433B-A365-B200FFF0D4AE}" name="MANGLAR 2" dataDxfId="271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FAB7FBE-9CAC-49C6-8051-08617CABA289}" name="Tabla39" displayName="Tabla39" ref="AP6:AP26" totalsRowShown="0" headerRowDxfId="270" dataDxfId="268" headerRowBorderDxfId="269" tableBorderDxfId="267" totalsRowBorderDxfId="266">
  <autoFilter ref="AP6:AP26" xr:uid="{4FAB7FBE-9CAC-49C6-8051-08617CABA289}"/>
  <tableColumns count="1">
    <tableColumn id="1" xr3:uid="{7A979C2E-AC3F-484A-905A-1048549C2659}" name="LAGO 2" dataDxfId="265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28366C4-CDD7-4F6F-AD6E-8953C46C515B}" name="Tabla40" displayName="Tabla40" ref="AQ6:AQ21" totalsRowShown="0" headerRowDxfId="264" dataDxfId="262" headerRowBorderDxfId="263" tableBorderDxfId="261" totalsRowBorderDxfId="260">
  <autoFilter ref="AQ6:AQ21" xr:uid="{F28366C4-CDD7-4F6F-AD6E-8953C46C515B}"/>
  <tableColumns count="1">
    <tableColumn id="1" xr3:uid="{E1D90B53-4A58-4AE1-A62F-7F1F01D90461}" name="LOMAS ETAPA 1" dataDxfId="259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BB1EAB7-C422-476A-9BDA-E7B43CBEEA87}" name="Tabla41" displayName="Tabla41" ref="AR6:AR21" totalsRowShown="0" headerRowDxfId="258" dataDxfId="256" headerRowBorderDxfId="257" tableBorderDxfId="255" totalsRowBorderDxfId="254">
  <autoFilter ref="AR6:AR21" xr:uid="{EBB1EAB7-C422-476A-9BDA-E7B43CBEEA87}"/>
  <tableColumns count="1">
    <tableColumn id="1" xr3:uid="{670EDE72-1FB1-43F0-B430-193EFCA93781}" name="LOMAS ETAPA 2" dataDxfId="25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909A708-5708-4C0E-B0CB-52F606A73DEC}" name="Tabla42" displayName="Tabla42" ref="AS6:AS21" totalsRowShown="0" headerRowDxfId="252" dataDxfId="250" headerRowBorderDxfId="251" tableBorderDxfId="249" totalsRowBorderDxfId="248">
  <autoFilter ref="AS6:AS21" xr:uid="{C909A708-5708-4C0E-B0CB-52F606A73DEC}"/>
  <tableColumns count="1">
    <tableColumn id="1" xr3:uid="{97D8B8D4-0FE4-4D5C-BA5B-887F2388C65C}" name="LOMAS ETAPA 3" dataDxfId="2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C006E5-2A00-45D3-826C-78A134870A01}" name="Tabla5" displayName="Tabla5" ref="L6:L13" totalsRowShown="0" headerRowDxfId="429" dataDxfId="428">
  <autoFilter ref="L6:L13" xr:uid="{50C006E5-2A00-45D3-826C-78A134870A01}"/>
  <tableColumns count="1">
    <tableColumn id="1" xr3:uid="{357DED15-1FC3-466B-8C68-62FBF64F275C}" name="PBB" dataDxfId="42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1CDF7C0-CCCE-456B-8799-F828D2C4F145}" name="Tabla43" displayName="Tabla43" ref="AT6:AT26" totalsRowShown="0" headerRowDxfId="246" dataDxfId="244" headerRowBorderDxfId="245" tableBorderDxfId="243" totalsRowBorderDxfId="242">
  <autoFilter ref="AT6:AT26" xr:uid="{21CDF7C0-CCCE-456B-8799-F828D2C4F145}"/>
  <tableColumns count="1">
    <tableColumn id="1" xr3:uid="{707A1079-3B4E-49F6-A6C1-CBD5A5216404}" name="AMATISTA 1" dataDxfId="24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020260A-949D-4890-A463-032B9F13DA51}" name="Tabla44" displayName="Tabla44" ref="AU6:AU26" totalsRowShown="0" headerRowDxfId="240" dataDxfId="238" headerRowBorderDxfId="239" tableBorderDxfId="237" totalsRowBorderDxfId="236">
  <autoFilter ref="AU6:AU26" xr:uid="{6020260A-949D-4890-A463-032B9F13DA51}"/>
  <tableColumns count="1">
    <tableColumn id="1" xr3:uid="{D62F9553-54F9-4E72-8F8D-7F15FB38E452}" name="AMATISTA 2" dataDxfId="23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25A322C-B74C-49C7-B380-ABA7473FF862}" name="Tabla45" displayName="Tabla45" ref="AV6:AV26" totalsRowShown="0" headerRowDxfId="234" dataDxfId="232" headerRowBorderDxfId="233" tableBorderDxfId="231" totalsRowBorderDxfId="230">
  <autoFilter ref="AV6:AV26" xr:uid="{A25A322C-B74C-49C7-B380-ABA7473FF862}"/>
  <tableColumns count="1">
    <tableColumn id="1" xr3:uid="{99A53E7B-3934-4176-8ECA-DF69BA35A6D7}" name="ZAFIRO 1" dataDxfId="229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4884920-A53E-458E-8014-F64409832A1E}" name="Tabla46" displayName="Tabla46" ref="AW6:AW26" totalsRowShown="0" headerRowDxfId="228" dataDxfId="226" headerRowBorderDxfId="227" tableBorderDxfId="225" totalsRowBorderDxfId="224">
  <autoFilter ref="AW6:AW26" xr:uid="{14884920-A53E-458E-8014-F64409832A1E}"/>
  <tableColumns count="1">
    <tableColumn id="1" xr3:uid="{9A9C4033-935B-4A18-BFE4-D3CD12CDA3D2}" name="ZAFIRO 2" dataDxfId="22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CEE5B19-4A7D-4849-A9AA-9116CF66CE34}" name="Tabla47" displayName="Tabla47" ref="AX6:AX26" totalsRowShown="0" headerRowDxfId="222" dataDxfId="220" headerRowBorderDxfId="221" tableBorderDxfId="219" totalsRowBorderDxfId="218">
  <autoFilter ref="AX6:AX26" xr:uid="{2CEE5B19-4A7D-4849-A9AA-9116CF66CE34}"/>
  <tableColumns count="1">
    <tableColumn id="1" xr3:uid="{AE86596D-C680-4230-B427-4072D78933DA}" name="MALAQUITA 1" dataDxfId="21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EF61104-2A0E-4E93-8DC5-D62CF7DB81FF}" name="Tabla48" displayName="Tabla48" ref="AY6:AY26" totalsRowShown="0" headerRowDxfId="216" dataDxfId="214" headerRowBorderDxfId="215" tableBorderDxfId="213" totalsRowBorderDxfId="212">
  <autoFilter ref="AY6:AY26" xr:uid="{3EF61104-2A0E-4E93-8DC5-D62CF7DB81FF}"/>
  <tableColumns count="1">
    <tableColumn id="1" xr3:uid="{11840F7B-5E80-45B6-9203-3DE3AB57F64A}" name="MALAQUITA 2" dataDxfId="211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3A79A40-028D-4EDD-A6FA-AD8F647699ED}" name="Tabla4850" displayName="Tabla4850" ref="AZ6:AZ26" totalsRowShown="0" headerRowDxfId="210" dataDxfId="208" headerRowBorderDxfId="209" tableBorderDxfId="207" totalsRowBorderDxfId="206">
  <autoFilter ref="AZ6:AZ26" xr:uid="{53A79A40-028D-4EDD-A6FA-AD8F647699ED}"/>
  <tableColumns count="1">
    <tableColumn id="1" xr3:uid="{913FC865-9572-41D4-8611-F8B90B3F83E4}" name="ARRECIFE 3" dataDxfId="205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a1141634817" displayName="Tabla1141634817" ref="B55:J104" totalsRowCount="1" headerRowDxfId="204" dataDxfId="203" totalsRowDxfId="202">
  <autoFilter ref="B55:J103" xr:uid="{00000000-0009-0000-0100-000010000000}"/>
  <tableColumns count="9">
    <tableColumn id="1" xr3:uid="{00000000-0010-0000-0000-000001000000}" name="PERIODO" totalsRowFunction="custom" dataDxfId="201" totalsRowDxfId="200">
      <calculatedColumnFormula>IF(B55&lt;$D$49,B55+1,"")</calculatedColumnFormula>
      <totalsRowFormula>_xlfn.AGGREGATE(2,6,Tabla1141634817[PERIODO])</totalsRowFormula>
    </tableColumn>
    <tableColumn id="9" xr3:uid="{00000000-0010-0000-0000-000009000000}" name="FECHA" totalsRowFunction="custom" dataDxfId="199" totalsRowDxfId="198">
      <totalsRowFormula>VLOOKUP(Tabla1141634817[[#Totals],[PERIODO]],Tabla1141634817[[#Headers],[#Data]],2)</totalsRowFormula>
    </tableColumn>
    <tableColumn id="2" xr3:uid="{00000000-0010-0000-0000-000002000000}" name="SALDO INICIAL" dataDxfId="197" totalsRowDxfId="196"/>
    <tableColumn id="3" xr3:uid="{00000000-0010-0000-0000-000003000000}" name="MENSUALUDAD" dataDxfId="195" totalsRowDxfId="194">
      <calculatedColumnFormula>IF(B56&lt;=$D$19,(-PMT($D$52,$D$49,$D$47)))</calculatedColumnFormula>
    </tableColumn>
    <tableColumn id="4" xr3:uid="{00000000-0010-0000-0000-000004000000}" name="ABONOS" totalsRowFunction="custom" dataDxfId="193" totalsRowDxfId="192">
      <totalsRowFormula>SUM(F56:F103)</totalsRowFormula>
    </tableColumn>
    <tableColumn id="5" xr3:uid="{00000000-0010-0000-0000-000005000000}" name="PAGADO" dataDxfId="191" totalsRowDxfId="190">
      <calculatedColumnFormula>SUM(E56:F56)</calculatedColumnFormula>
    </tableColumn>
    <tableColumn id="6" xr3:uid="{00000000-0010-0000-0000-000006000000}" name="INTERÉS" dataDxfId="189" totalsRowDxfId="188"/>
    <tableColumn id="7" xr3:uid="{00000000-0010-0000-0000-000007000000}" name="ABONO A CAPITAL" totalsRowFunction="sum" dataDxfId="187" totalsRowDxfId="186">
      <calculatedColumnFormula>G56-H56</calculatedColumnFormula>
    </tableColumn>
    <tableColumn id="8" xr3:uid="{00000000-0010-0000-0000-000008000000}" name="SALDO FINAL" totalsRowFunction="custom" dataDxfId="185" totalsRowDxfId="184">
      <calculatedColumnFormula>D56-I56</calculatedColumnFormula>
      <totalsRowFormula>VLOOKUP(Tabla1141634817[[#Totals],[PERIODO]],Tabla1141634817[[#Headers],[#Data]],9)</totalsRow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a12111735918" displayName="Tabla12111735918" ref="B115:J212" totalsRowCount="1" headerRowDxfId="183" dataDxfId="182" totalsRowDxfId="181">
  <autoFilter ref="B115:J211" xr:uid="{00000000-0009-0000-0100-000011000000}"/>
  <tableColumns count="9">
    <tableColumn id="1" xr3:uid="{00000000-0010-0000-0100-000001000000}" name="PERIODO" totalsRowFunction="custom" dataDxfId="180" totalsRowDxfId="179">
      <calculatedColumnFormula>IF(B115&lt;$D$49,B115+1,"")</calculatedColumnFormula>
      <totalsRowFormula>D51+D111</totalsRowFormula>
    </tableColumn>
    <tableColumn id="9" xr3:uid="{00000000-0010-0000-0100-000009000000}" name="FECHA" totalsRowFunction="custom" dataDxfId="178" totalsRowDxfId="177">
      <totalsRowFormula>VLOOKUP(Tabla12111735918[[#Totals],[PERIODO]],Tabla12111735918[[#Headers],[#Data]],2)</totalsRowFormula>
    </tableColumn>
    <tableColumn id="2" xr3:uid="{00000000-0010-0000-0100-000002000000}" name="SALDO INICIAL" dataDxfId="176" totalsRowDxfId="175"/>
    <tableColumn id="3" xr3:uid="{00000000-0010-0000-0100-000003000000}" name="MENSUALIDAD" dataDxfId="174" totalsRowDxfId="173"/>
    <tableColumn id="4" xr3:uid="{00000000-0010-0000-0100-000004000000}" name="ABONOS" totalsRowFunction="custom" dataDxfId="172" totalsRowDxfId="171">
      <totalsRowFormula>SUM(F116:F211)</totalsRowFormula>
    </tableColumn>
    <tableColumn id="5" xr3:uid="{00000000-0010-0000-0100-000005000000}" name="PAGADO" dataDxfId="170" totalsRowDxfId="169"/>
    <tableColumn id="6" xr3:uid="{00000000-0010-0000-0100-000006000000}" name="INTERÉS" dataDxfId="168" totalsRowDxfId="167"/>
    <tableColumn id="7" xr3:uid="{00000000-0010-0000-0100-000007000000}" name="ABONO A CAPITAL" totalsRowFunction="sum" dataDxfId="166" totalsRowDxfId="165">
      <calculatedColumnFormula>E116-H116</calculatedColumnFormula>
    </tableColumn>
    <tableColumn id="8" xr3:uid="{00000000-0010-0000-0100-000008000000}" name="SALDO FINAL" totalsRowFunction="custom" dataDxfId="164" totalsRowDxfId="163">
      <calculatedColumnFormula>D116-I116</calculatedColumnFormula>
      <totalsRowFormula>VLOOKUP(Tabla12111735918[[#Totals],[PERIODO]],Tabla12111735918[[#Headers],[#Data]],9)</totalsRow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a131524361019" displayName="Tabla131524361019" ref="B226:J348" totalsRowCount="1" headerRowDxfId="162" dataDxfId="161" totalsRowDxfId="160">
  <autoFilter ref="B226:J347" xr:uid="{00000000-0009-0000-0100-000012000000}"/>
  <tableColumns count="9">
    <tableColumn id="1" xr3:uid="{00000000-0010-0000-0200-000001000000}" name="PERIODO" dataDxfId="159" totalsRowDxfId="158">
      <calculatedColumnFormula>IF(B226&lt;$D$49,B226+1,"")</calculatedColumnFormula>
    </tableColumn>
    <tableColumn id="9" xr3:uid="{00000000-0010-0000-0200-000009000000}" name="FECHA" dataDxfId="157" totalsRowDxfId="156"/>
    <tableColumn id="2" xr3:uid="{00000000-0010-0000-0200-000002000000}" name="SALDO INICIAL" dataDxfId="155" totalsRowDxfId="154"/>
    <tableColumn id="3" xr3:uid="{00000000-0010-0000-0200-000003000000}" name="MENSUALIDAD" dataDxfId="153" totalsRowDxfId="152"/>
    <tableColumn id="4" xr3:uid="{00000000-0010-0000-0200-000004000000}" name="ABONOS" dataDxfId="151" totalsRowDxfId="150"/>
    <tableColumn id="5" xr3:uid="{00000000-0010-0000-0200-000005000000}" name="PAGADO" dataDxfId="149" totalsRowDxfId="148">
      <calculatedColumnFormula>SUM(E227:F227)</calculatedColumnFormula>
    </tableColumn>
    <tableColumn id="6" xr3:uid="{00000000-0010-0000-0200-000006000000}" name="INTERÉS" dataDxfId="147" totalsRowDxfId="146"/>
    <tableColumn id="7" xr3:uid="{00000000-0010-0000-0200-000007000000}" name="ABONO A CAPITAL" totalsRowFunction="sum" dataDxfId="145" totalsRowDxfId="144">
      <calculatedColumnFormula>G227-H227</calculatedColumnFormula>
    </tableColumn>
    <tableColumn id="8" xr3:uid="{00000000-0010-0000-0200-000008000000}" name="SALDO FINAL" totalsRowFunction="custom" dataDxfId="143" totalsRowDxfId="142">
      <calculatedColumnFormula>D227-I227</calculatedColumnFormula>
      <totalsRowFormula>J287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145AD-3951-410B-BE5A-FEAE502AAD53}" name="PROMOCIONES" displayName="PROMOCIONES" ref="P6:P15" totalsRowShown="0" headerRowDxfId="426" dataDxfId="425">
  <autoFilter ref="P6:P15" xr:uid="{5C8145AD-3951-410B-BE5A-FEAE502AAD53}"/>
  <tableColumns count="1">
    <tableColumn id="1" xr3:uid="{5C817D2A-E905-4928-810F-2880143C843E}" name="PROMOCIONES" dataDxfId="4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6455D3-D49A-40B3-93A1-89E9879D6F1D}" name="USODEPROPIEDAD" displayName="USODEPROPIEDAD" ref="P19:P22" totalsRowShown="0" headerRowDxfId="423" dataDxfId="422">
  <autoFilter ref="P19:P22" xr:uid="{F76455D3-D49A-40B3-93A1-89E9879D6F1D}"/>
  <tableColumns count="1">
    <tableColumn id="1" xr3:uid="{B149A43B-A96D-46FD-9025-725410D9A853}" name="USO DE PROPIEDAD" dataDxfId="4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E31554-D9DD-4A75-8933-5371C3D5DB75}" name="Tabla7" displayName="Tabla7" ref="P24:P33" totalsRowShown="0" headerRowDxfId="420" dataDxfId="419">
  <autoFilter ref="P24:P33" xr:uid="{C2E31554-D9DD-4A75-8933-5371C3D5DB75}"/>
  <tableColumns count="1">
    <tableColumn id="1" xr3:uid="{822DEAE3-22F4-4AE1-AC46-A589AB9D7595}" name="ESTUDIOS" dataDxfId="4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7E0F9D-E2EB-4931-92CA-B6393B4ED6C7}" name="Tabla8" displayName="Tabla8" ref="R6:R8" totalsRowShown="0" headerRowDxfId="417" dataDxfId="416">
  <autoFilter ref="R6:R8" xr:uid="{F57E0F9D-E2EB-4931-92CA-B6393B4ED6C7}"/>
  <tableColumns count="1">
    <tableColumn id="1" xr3:uid="{38B64667-4F3C-480B-A7F5-52AF4284EA5D}" name="ESTADO CIVIL" dataDxfId="4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679DFA-7FCC-4E26-AA01-5AF149A2E6CE}" name="Tabla9" displayName="Tabla9" ref="R10:R12" totalsRowShown="0" headerRowDxfId="414" dataDxfId="413">
  <autoFilter ref="R10:R12" xr:uid="{74679DFA-7FCC-4E26-AA01-5AF149A2E6CE}"/>
  <tableColumns count="1">
    <tableColumn id="1" xr3:uid="{F23950F2-DB18-4775-808E-0080A39C105C}" name="APLICA BIENES" dataDxfId="4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4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5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Z36"/>
  <sheetViews>
    <sheetView topLeftCell="AO5" zoomScale="70" zoomScaleNormal="70" workbookViewId="0">
      <selection activeCell="AZ6" sqref="AZ6:AZ26"/>
    </sheetView>
  </sheetViews>
  <sheetFormatPr baseColWidth="10" defaultColWidth="11" defaultRowHeight="16.5" x14ac:dyDescent="0.3"/>
  <cols>
    <col min="1" max="2" width="11" style="1"/>
    <col min="3" max="3" width="37.75" style="1" customWidth="1"/>
    <col min="4" max="4" width="21.875" style="1" customWidth="1"/>
    <col min="5" max="5" width="25.125" style="1" bestFit="1" customWidth="1"/>
    <col min="6" max="6" width="14.75" style="24" customWidth="1"/>
    <col min="7" max="8" width="11" style="1"/>
    <col min="9" max="9" width="17.125" style="1" customWidth="1"/>
    <col min="10" max="10" width="13.625" style="1" customWidth="1"/>
    <col min="11" max="11" width="16.75" style="1" customWidth="1"/>
    <col min="12" max="12" width="13.625" style="1" bestFit="1" customWidth="1"/>
    <col min="13" max="14" width="11" style="1"/>
    <col min="15" max="15" width="11" style="1" customWidth="1"/>
    <col min="16" max="16" width="66.875" style="1" bestFit="1" customWidth="1"/>
    <col min="17" max="17" width="11" style="1"/>
    <col min="18" max="18" width="22.375" style="1" customWidth="1"/>
    <col min="19" max="20" width="11" style="1"/>
    <col min="21" max="21" width="14.625" style="1" customWidth="1"/>
    <col min="22" max="24" width="15" style="1" customWidth="1"/>
    <col min="25" max="25" width="11" style="1"/>
    <col min="26" max="27" width="11.125" style="1" customWidth="1"/>
    <col min="28" max="28" width="13.375" style="1" customWidth="1"/>
    <col min="29" max="30" width="13.75" style="1" customWidth="1"/>
    <col min="31" max="31" width="11.25" style="1" customWidth="1"/>
    <col min="32" max="34" width="11.625" style="1" customWidth="1"/>
    <col min="35" max="35" width="13.25" style="1" customWidth="1"/>
    <col min="36" max="38" width="13.625" style="1" customWidth="1"/>
    <col min="39" max="39" width="11" style="1"/>
    <col min="40" max="40" width="14.625" style="1" customWidth="1"/>
    <col min="41" max="41" width="15" style="1" customWidth="1"/>
    <col min="42" max="42" width="11" style="1"/>
    <col min="43" max="43" width="19.125" style="1" customWidth="1"/>
    <col min="44" max="45" width="19.5" style="1" customWidth="1"/>
    <col min="46" max="46" width="14.875" style="1" customWidth="1"/>
    <col min="47" max="47" width="15.125" style="1" customWidth="1"/>
    <col min="48" max="48" width="12" style="1" customWidth="1"/>
    <col min="49" max="49" width="12.375" style="1" customWidth="1"/>
    <col min="50" max="50" width="16.375" style="1" customWidth="1"/>
    <col min="51" max="51" width="16.75" style="1" customWidth="1"/>
    <col min="52" max="52" width="19" style="1" bestFit="1" customWidth="1"/>
    <col min="53" max="16384" width="11" style="1"/>
  </cols>
  <sheetData>
    <row r="2" spans="3:52" x14ac:dyDescent="0.3">
      <c r="C2" s="7" t="s">
        <v>98</v>
      </c>
      <c r="D2" s="2" t="s">
        <v>101</v>
      </c>
      <c r="E2" s="6" t="s">
        <v>55</v>
      </c>
    </row>
    <row r="3" spans="3:52" ht="100.5" customHeight="1" x14ac:dyDescent="0.3">
      <c r="C3" s="24" t="s">
        <v>100</v>
      </c>
      <c r="E3" s="4" t="s">
        <v>97</v>
      </c>
      <c r="H3" s="127"/>
    </row>
    <row r="4" spans="3:52" ht="111" customHeight="1" x14ac:dyDescent="0.3">
      <c r="C4" s="24" t="s">
        <v>99</v>
      </c>
      <c r="E4" s="5">
        <v>4500</v>
      </c>
    </row>
    <row r="5" spans="3:52" ht="113.25" customHeight="1" x14ac:dyDescent="0.3">
      <c r="C5" s="24" t="s">
        <v>156</v>
      </c>
      <c r="E5" s="24" t="s">
        <v>96</v>
      </c>
    </row>
    <row r="6" spans="3:52" x14ac:dyDescent="0.3">
      <c r="E6" s="5">
        <v>4725</v>
      </c>
      <c r="F6" s="128" t="s">
        <v>5</v>
      </c>
      <c r="I6" s="25" t="s">
        <v>157</v>
      </c>
      <c r="J6" s="26" t="s">
        <v>158</v>
      </c>
      <c r="K6" s="26" t="s">
        <v>159</v>
      </c>
      <c r="L6" s="26" t="s">
        <v>160</v>
      </c>
      <c r="N6" s="1" t="s">
        <v>55</v>
      </c>
      <c r="P6" s="26" t="s">
        <v>187</v>
      </c>
      <c r="R6" s="26" t="s">
        <v>119</v>
      </c>
      <c r="U6" s="26" t="s">
        <v>169</v>
      </c>
      <c r="V6" s="26" t="s">
        <v>170</v>
      </c>
      <c r="W6" s="26" t="s">
        <v>171</v>
      </c>
      <c r="X6" s="26" t="s">
        <v>172</v>
      </c>
      <c r="Y6" s="26" t="s">
        <v>173</v>
      </c>
      <c r="Z6" s="26" t="s">
        <v>174</v>
      </c>
      <c r="AA6" s="26" t="s">
        <v>175</v>
      </c>
      <c r="AB6" s="26" t="s">
        <v>176</v>
      </c>
      <c r="AC6" s="26" t="s">
        <v>177</v>
      </c>
      <c r="AD6" s="26" t="s">
        <v>178</v>
      </c>
      <c r="AE6" s="26" t="s">
        <v>56</v>
      </c>
      <c r="AF6" s="26" t="s">
        <v>57</v>
      </c>
      <c r="AG6" s="26" t="s">
        <v>58</v>
      </c>
      <c r="AH6" s="26" t="s">
        <v>59</v>
      </c>
      <c r="AI6" s="26" t="s">
        <v>90</v>
      </c>
      <c r="AJ6" s="26" t="s">
        <v>91</v>
      </c>
      <c r="AK6" s="26" t="s">
        <v>92</v>
      </c>
      <c r="AL6" s="26" t="s">
        <v>95</v>
      </c>
      <c r="AM6" s="26" t="s">
        <v>117</v>
      </c>
      <c r="AN6" s="26" t="s">
        <v>133</v>
      </c>
      <c r="AO6" s="26" t="s">
        <v>141</v>
      </c>
      <c r="AP6" s="26" t="s">
        <v>251</v>
      </c>
      <c r="AQ6" s="26" t="s">
        <v>115</v>
      </c>
      <c r="AR6" s="26" t="s">
        <v>116</v>
      </c>
      <c r="AS6" s="26" t="s">
        <v>138</v>
      </c>
      <c r="AT6" s="26" t="s">
        <v>167</v>
      </c>
      <c r="AU6" s="26" t="s">
        <v>168</v>
      </c>
      <c r="AV6" s="26" t="s">
        <v>165</v>
      </c>
      <c r="AW6" s="26" t="s">
        <v>166</v>
      </c>
      <c r="AX6" s="26" t="s">
        <v>184</v>
      </c>
      <c r="AY6" s="26" t="s">
        <v>185</v>
      </c>
      <c r="AZ6" s="26" t="s">
        <v>287</v>
      </c>
    </row>
    <row r="7" spans="3:52" x14ac:dyDescent="0.3">
      <c r="E7" s="5" t="s">
        <v>131</v>
      </c>
      <c r="F7" s="24">
        <v>20</v>
      </c>
      <c r="I7" s="1" t="s">
        <v>158</v>
      </c>
      <c r="J7" s="1" t="s">
        <v>252</v>
      </c>
      <c r="K7" s="1" t="s">
        <v>257</v>
      </c>
      <c r="L7" s="1" t="s">
        <v>276</v>
      </c>
      <c r="N7" s="1" t="s">
        <v>162</v>
      </c>
      <c r="P7" s="1" t="s">
        <v>222</v>
      </c>
      <c r="R7" s="1" t="s">
        <v>213</v>
      </c>
      <c r="U7" s="302">
        <v>10</v>
      </c>
      <c r="V7" s="302">
        <v>10</v>
      </c>
      <c r="W7" s="302">
        <v>10</v>
      </c>
      <c r="X7" s="302">
        <v>10</v>
      </c>
      <c r="Y7" s="302">
        <v>10</v>
      </c>
      <c r="Z7" s="302">
        <v>10</v>
      </c>
      <c r="AA7" s="302">
        <v>10</v>
      </c>
      <c r="AB7" s="302">
        <v>10</v>
      </c>
      <c r="AC7" s="302">
        <v>10</v>
      </c>
      <c r="AD7" s="302">
        <v>10</v>
      </c>
      <c r="AE7" s="302">
        <v>15</v>
      </c>
      <c r="AF7" s="302">
        <v>15</v>
      </c>
      <c r="AG7" s="302">
        <v>15</v>
      </c>
      <c r="AH7" s="302">
        <v>15</v>
      </c>
      <c r="AI7" s="302">
        <v>15</v>
      </c>
      <c r="AJ7" s="302">
        <v>15</v>
      </c>
      <c r="AK7" s="302">
        <v>15</v>
      </c>
      <c r="AL7" s="302">
        <v>15</v>
      </c>
      <c r="AM7" s="302">
        <v>20</v>
      </c>
      <c r="AN7" s="302">
        <v>20</v>
      </c>
      <c r="AO7" s="302">
        <v>20</v>
      </c>
      <c r="AP7" s="302">
        <v>20</v>
      </c>
      <c r="AQ7" s="302">
        <v>15</v>
      </c>
      <c r="AR7" s="302">
        <v>15</v>
      </c>
      <c r="AS7" s="302">
        <v>15</v>
      </c>
      <c r="AT7" s="302">
        <v>20</v>
      </c>
      <c r="AU7" s="302">
        <v>20</v>
      </c>
      <c r="AV7" s="302">
        <v>20</v>
      </c>
      <c r="AW7" s="302">
        <v>20</v>
      </c>
      <c r="AX7" s="302">
        <v>20</v>
      </c>
      <c r="AY7" s="302">
        <v>20</v>
      </c>
      <c r="AZ7" s="302">
        <v>20</v>
      </c>
    </row>
    <row r="8" spans="3:52" x14ac:dyDescent="0.3">
      <c r="E8" s="5">
        <v>5770.3</v>
      </c>
      <c r="F8" s="24">
        <v>19</v>
      </c>
      <c r="I8" s="1" t="s">
        <v>159</v>
      </c>
      <c r="J8" s="1" t="s">
        <v>253</v>
      </c>
      <c r="K8" s="1" t="s">
        <v>282</v>
      </c>
      <c r="L8" s="1" t="s">
        <v>277</v>
      </c>
      <c r="N8" s="1" t="s">
        <v>163</v>
      </c>
      <c r="P8" s="1" t="s">
        <v>195</v>
      </c>
      <c r="R8" s="1" t="s">
        <v>214</v>
      </c>
      <c r="U8" s="302">
        <v>9</v>
      </c>
      <c r="V8" s="302">
        <v>9</v>
      </c>
      <c r="W8" s="302">
        <v>9</v>
      </c>
      <c r="X8" s="302">
        <v>9</v>
      </c>
      <c r="Y8" s="302">
        <v>9</v>
      </c>
      <c r="Z8" s="302">
        <v>9</v>
      </c>
      <c r="AA8" s="302">
        <v>9</v>
      </c>
      <c r="AB8" s="302">
        <v>9</v>
      </c>
      <c r="AC8" s="302">
        <v>9</v>
      </c>
      <c r="AD8" s="302">
        <v>9</v>
      </c>
      <c r="AE8" s="302">
        <v>14</v>
      </c>
      <c r="AF8" s="302">
        <v>14</v>
      </c>
      <c r="AG8" s="302">
        <v>14</v>
      </c>
      <c r="AH8" s="302">
        <v>14</v>
      </c>
      <c r="AI8" s="302">
        <v>14</v>
      </c>
      <c r="AJ8" s="302">
        <v>14</v>
      </c>
      <c r="AK8" s="302">
        <v>14</v>
      </c>
      <c r="AL8" s="302">
        <v>14</v>
      </c>
      <c r="AM8" s="302">
        <v>19</v>
      </c>
      <c r="AN8" s="302">
        <v>19</v>
      </c>
      <c r="AO8" s="302">
        <v>19</v>
      </c>
      <c r="AP8" s="302">
        <v>19</v>
      </c>
      <c r="AQ8" s="302">
        <v>14</v>
      </c>
      <c r="AR8" s="302">
        <v>14</v>
      </c>
      <c r="AS8" s="302">
        <v>14</v>
      </c>
      <c r="AT8" s="302">
        <v>19</v>
      </c>
      <c r="AU8" s="302">
        <v>19</v>
      </c>
      <c r="AV8" s="302">
        <v>19</v>
      </c>
      <c r="AW8" s="302">
        <v>19</v>
      </c>
      <c r="AX8" s="302">
        <v>19</v>
      </c>
      <c r="AY8" s="302">
        <v>19</v>
      </c>
      <c r="AZ8" s="302">
        <v>19</v>
      </c>
    </row>
    <row r="9" spans="3:52" x14ac:dyDescent="0.3">
      <c r="E9" s="5" t="s">
        <v>132</v>
      </c>
      <c r="F9" s="24">
        <v>18</v>
      </c>
      <c r="I9" s="1" t="s">
        <v>160</v>
      </c>
      <c r="J9" s="1" t="s">
        <v>254</v>
      </c>
      <c r="K9" s="1" t="s">
        <v>258</v>
      </c>
      <c r="L9" s="1" t="s">
        <v>278</v>
      </c>
      <c r="P9" s="1" t="s">
        <v>194</v>
      </c>
      <c r="U9" s="302">
        <v>8</v>
      </c>
      <c r="V9" s="302">
        <v>8</v>
      </c>
      <c r="W9" s="302">
        <v>8</v>
      </c>
      <c r="X9" s="302">
        <v>8</v>
      </c>
      <c r="Y9" s="302">
        <v>8</v>
      </c>
      <c r="Z9" s="302">
        <v>8</v>
      </c>
      <c r="AA9" s="302">
        <v>8</v>
      </c>
      <c r="AB9" s="302">
        <v>8</v>
      </c>
      <c r="AC9" s="302">
        <v>8</v>
      </c>
      <c r="AD9" s="302">
        <v>8</v>
      </c>
      <c r="AE9" s="302">
        <v>13</v>
      </c>
      <c r="AF9" s="302">
        <v>13</v>
      </c>
      <c r="AG9" s="302">
        <v>13</v>
      </c>
      <c r="AH9" s="302">
        <v>13</v>
      </c>
      <c r="AI9" s="302">
        <v>13</v>
      </c>
      <c r="AJ9" s="302">
        <v>13</v>
      </c>
      <c r="AK9" s="302">
        <v>13</v>
      </c>
      <c r="AL9" s="302">
        <v>13</v>
      </c>
      <c r="AM9" s="302">
        <v>18</v>
      </c>
      <c r="AN9" s="302">
        <v>18</v>
      </c>
      <c r="AO9" s="302">
        <v>18</v>
      </c>
      <c r="AP9" s="302">
        <v>18</v>
      </c>
      <c r="AQ9" s="302">
        <v>13</v>
      </c>
      <c r="AR9" s="302">
        <v>13</v>
      </c>
      <c r="AS9" s="302">
        <v>13</v>
      </c>
      <c r="AT9" s="302">
        <v>18</v>
      </c>
      <c r="AU9" s="302">
        <v>18</v>
      </c>
      <c r="AV9" s="302">
        <v>18</v>
      </c>
      <c r="AW9" s="302">
        <v>18</v>
      </c>
      <c r="AX9" s="302">
        <v>18</v>
      </c>
      <c r="AY9" s="302">
        <v>18</v>
      </c>
      <c r="AZ9" s="302">
        <v>18</v>
      </c>
    </row>
    <row r="10" spans="3:52" x14ac:dyDescent="0.3">
      <c r="E10" s="5">
        <v>6200</v>
      </c>
      <c r="F10" s="24">
        <v>17</v>
      </c>
      <c r="J10" s="1" t="s">
        <v>255</v>
      </c>
      <c r="L10" s="1" t="s">
        <v>279</v>
      </c>
      <c r="P10" s="1" t="s">
        <v>193</v>
      </c>
      <c r="R10" s="26" t="s">
        <v>215</v>
      </c>
      <c r="U10" s="302">
        <v>7</v>
      </c>
      <c r="V10" s="302">
        <v>7</v>
      </c>
      <c r="W10" s="302">
        <v>7</v>
      </c>
      <c r="X10" s="302">
        <v>7</v>
      </c>
      <c r="Y10" s="302">
        <v>7</v>
      </c>
      <c r="Z10" s="302">
        <v>7</v>
      </c>
      <c r="AA10" s="302">
        <v>7</v>
      </c>
      <c r="AB10" s="302">
        <v>7</v>
      </c>
      <c r="AC10" s="302">
        <v>7</v>
      </c>
      <c r="AD10" s="302">
        <v>7</v>
      </c>
      <c r="AE10" s="302">
        <v>12</v>
      </c>
      <c r="AF10" s="302">
        <v>12</v>
      </c>
      <c r="AG10" s="302">
        <v>12</v>
      </c>
      <c r="AH10" s="302">
        <v>12</v>
      </c>
      <c r="AI10" s="302">
        <v>12</v>
      </c>
      <c r="AJ10" s="302">
        <v>12</v>
      </c>
      <c r="AK10" s="302">
        <v>12</v>
      </c>
      <c r="AL10" s="302">
        <v>12</v>
      </c>
      <c r="AM10" s="302">
        <v>17</v>
      </c>
      <c r="AN10" s="302">
        <v>17</v>
      </c>
      <c r="AO10" s="302">
        <v>17</v>
      </c>
      <c r="AP10" s="302">
        <v>17</v>
      </c>
      <c r="AQ10" s="302">
        <v>12</v>
      </c>
      <c r="AR10" s="302">
        <v>12</v>
      </c>
      <c r="AS10" s="302">
        <v>12</v>
      </c>
      <c r="AT10" s="302">
        <v>17</v>
      </c>
      <c r="AU10" s="302">
        <v>17</v>
      </c>
      <c r="AV10" s="302">
        <v>17</v>
      </c>
      <c r="AW10" s="302">
        <v>17</v>
      </c>
      <c r="AX10" s="302">
        <v>17</v>
      </c>
      <c r="AY10" s="302">
        <v>17</v>
      </c>
      <c r="AZ10" s="302">
        <v>17</v>
      </c>
    </row>
    <row r="11" spans="3:52" x14ac:dyDescent="0.3">
      <c r="E11" s="4" t="s">
        <v>136</v>
      </c>
      <c r="F11" s="24">
        <v>16</v>
      </c>
      <c r="J11" s="1" t="s">
        <v>256</v>
      </c>
      <c r="L11" s="1" t="s">
        <v>280</v>
      </c>
      <c r="N11" s="1" t="s">
        <v>247</v>
      </c>
      <c r="P11" s="1" t="s">
        <v>192</v>
      </c>
      <c r="R11" s="1" t="s">
        <v>60</v>
      </c>
      <c r="U11" s="302">
        <v>6</v>
      </c>
      <c r="V11" s="302">
        <v>6</v>
      </c>
      <c r="W11" s="302">
        <v>6</v>
      </c>
      <c r="X11" s="302">
        <v>6</v>
      </c>
      <c r="Y11" s="302">
        <v>6</v>
      </c>
      <c r="Z11" s="302">
        <v>6</v>
      </c>
      <c r="AA11" s="302">
        <v>6</v>
      </c>
      <c r="AB11" s="302">
        <v>6</v>
      </c>
      <c r="AC11" s="302">
        <v>6</v>
      </c>
      <c r="AD11" s="302">
        <v>6</v>
      </c>
      <c r="AE11" s="302">
        <v>11</v>
      </c>
      <c r="AF11" s="302">
        <v>11</v>
      </c>
      <c r="AG11" s="302">
        <v>11</v>
      </c>
      <c r="AH11" s="302">
        <v>11</v>
      </c>
      <c r="AI11" s="302">
        <v>11</v>
      </c>
      <c r="AJ11" s="302">
        <v>11</v>
      </c>
      <c r="AK11" s="302">
        <v>11</v>
      </c>
      <c r="AL11" s="302">
        <v>11</v>
      </c>
      <c r="AM11" s="302">
        <v>16</v>
      </c>
      <c r="AN11" s="302">
        <v>16</v>
      </c>
      <c r="AO11" s="302">
        <v>16</v>
      </c>
      <c r="AP11" s="302">
        <v>16</v>
      </c>
      <c r="AQ11" s="302">
        <v>11</v>
      </c>
      <c r="AR11" s="302">
        <v>11</v>
      </c>
      <c r="AS11" s="302">
        <v>11</v>
      </c>
      <c r="AT11" s="302">
        <v>16</v>
      </c>
      <c r="AU11" s="302">
        <v>16</v>
      </c>
      <c r="AV11" s="302">
        <v>16</v>
      </c>
      <c r="AW11" s="302">
        <v>16</v>
      </c>
      <c r="AX11" s="302">
        <v>16</v>
      </c>
      <c r="AY11" s="302">
        <v>16</v>
      </c>
      <c r="AZ11" s="302">
        <v>16</v>
      </c>
    </row>
    <row r="12" spans="3:52" x14ac:dyDescent="0.3">
      <c r="E12" s="5">
        <v>4800</v>
      </c>
      <c r="F12" s="24">
        <v>15</v>
      </c>
      <c r="J12" s="1" t="s">
        <v>259</v>
      </c>
      <c r="L12" s="1" t="s">
        <v>281</v>
      </c>
      <c r="P12" s="1" t="s">
        <v>191</v>
      </c>
      <c r="R12" s="1" t="s">
        <v>61</v>
      </c>
      <c r="U12" s="302">
        <v>5</v>
      </c>
      <c r="V12" s="302">
        <v>5</v>
      </c>
      <c r="W12" s="302">
        <v>5</v>
      </c>
      <c r="X12" s="302">
        <v>5</v>
      </c>
      <c r="Y12" s="302">
        <v>5</v>
      </c>
      <c r="Z12" s="302">
        <v>5</v>
      </c>
      <c r="AA12" s="302">
        <v>5</v>
      </c>
      <c r="AB12" s="302">
        <v>5</v>
      </c>
      <c r="AC12" s="302">
        <v>5</v>
      </c>
      <c r="AD12" s="302">
        <v>5</v>
      </c>
      <c r="AE12" s="302">
        <v>10</v>
      </c>
      <c r="AF12" s="302">
        <v>10</v>
      </c>
      <c r="AG12" s="302">
        <v>10</v>
      </c>
      <c r="AH12" s="302">
        <v>10</v>
      </c>
      <c r="AI12" s="302">
        <v>10</v>
      </c>
      <c r="AJ12" s="302">
        <v>10</v>
      </c>
      <c r="AK12" s="302">
        <v>10</v>
      </c>
      <c r="AL12" s="302">
        <v>10</v>
      </c>
      <c r="AM12" s="302">
        <v>15</v>
      </c>
      <c r="AN12" s="302">
        <v>15</v>
      </c>
      <c r="AO12" s="302">
        <v>15</v>
      </c>
      <c r="AP12" s="302">
        <v>15</v>
      </c>
      <c r="AQ12" s="302">
        <v>10</v>
      </c>
      <c r="AR12" s="302">
        <v>10</v>
      </c>
      <c r="AS12" s="302">
        <v>10</v>
      </c>
      <c r="AT12" s="302">
        <v>15</v>
      </c>
      <c r="AU12" s="302">
        <v>15</v>
      </c>
      <c r="AV12" s="302">
        <v>15</v>
      </c>
      <c r="AW12" s="302">
        <v>15</v>
      </c>
      <c r="AX12" s="302">
        <v>15</v>
      </c>
      <c r="AY12" s="302">
        <v>15</v>
      </c>
      <c r="AZ12" s="302">
        <v>15</v>
      </c>
    </row>
    <row r="13" spans="3:52" x14ac:dyDescent="0.3">
      <c r="E13" s="4" t="s">
        <v>137</v>
      </c>
      <c r="F13" s="24">
        <v>14</v>
      </c>
      <c r="J13" s="1" t="s">
        <v>260</v>
      </c>
      <c r="P13" s="1" t="s">
        <v>190</v>
      </c>
      <c r="U13" s="302">
        <v>4</v>
      </c>
      <c r="V13" s="302">
        <v>4</v>
      </c>
      <c r="W13" s="302">
        <v>4</v>
      </c>
      <c r="X13" s="302">
        <v>4</v>
      </c>
      <c r="Y13" s="302">
        <v>4</v>
      </c>
      <c r="Z13" s="302">
        <v>4</v>
      </c>
      <c r="AA13" s="302">
        <v>4</v>
      </c>
      <c r="AB13" s="302">
        <v>4</v>
      </c>
      <c r="AC13" s="302">
        <v>4</v>
      </c>
      <c r="AD13" s="302">
        <v>4</v>
      </c>
      <c r="AE13" s="302">
        <v>9</v>
      </c>
      <c r="AF13" s="302">
        <v>9</v>
      </c>
      <c r="AG13" s="302">
        <v>9</v>
      </c>
      <c r="AH13" s="302">
        <v>9</v>
      </c>
      <c r="AI13" s="302">
        <v>9</v>
      </c>
      <c r="AJ13" s="302">
        <v>9</v>
      </c>
      <c r="AK13" s="302">
        <v>9</v>
      </c>
      <c r="AL13" s="302">
        <v>9</v>
      </c>
      <c r="AM13" s="302">
        <v>14</v>
      </c>
      <c r="AN13" s="302">
        <v>14</v>
      </c>
      <c r="AO13" s="302">
        <v>14</v>
      </c>
      <c r="AP13" s="302">
        <v>14</v>
      </c>
      <c r="AQ13" s="302">
        <v>9</v>
      </c>
      <c r="AR13" s="302">
        <v>9</v>
      </c>
      <c r="AS13" s="302">
        <v>9</v>
      </c>
      <c r="AT13" s="302">
        <v>14</v>
      </c>
      <c r="AU13" s="302">
        <v>14</v>
      </c>
      <c r="AV13" s="302">
        <v>14</v>
      </c>
      <c r="AW13" s="302">
        <v>14</v>
      </c>
      <c r="AX13" s="302">
        <v>14</v>
      </c>
      <c r="AY13" s="302">
        <v>14</v>
      </c>
      <c r="AZ13" s="302">
        <v>14</v>
      </c>
    </row>
    <row r="14" spans="3:52" x14ac:dyDescent="0.3">
      <c r="E14" s="5">
        <v>5040</v>
      </c>
      <c r="F14" s="24">
        <v>13</v>
      </c>
      <c r="J14" s="1" t="s">
        <v>261</v>
      </c>
      <c r="P14" s="1" t="s">
        <v>189</v>
      </c>
      <c r="R14" s="26" t="s">
        <v>124</v>
      </c>
      <c r="U14" s="302">
        <v>3</v>
      </c>
      <c r="V14" s="302">
        <v>3</v>
      </c>
      <c r="W14" s="302">
        <v>3</v>
      </c>
      <c r="X14" s="302">
        <v>3</v>
      </c>
      <c r="Y14" s="302">
        <v>3</v>
      </c>
      <c r="Z14" s="302">
        <v>3</v>
      </c>
      <c r="AA14" s="302">
        <v>3</v>
      </c>
      <c r="AB14" s="302">
        <v>3</v>
      </c>
      <c r="AC14" s="302">
        <v>3</v>
      </c>
      <c r="AD14" s="302">
        <v>3</v>
      </c>
      <c r="AE14" s="302">
        <v>8</v>
      </c>
      <c r="AF14" s="302">
        <v>8</v>
      </c>
      <c r="AG14" s="302">
        <v>8</v>
      </c>
      <c r="AH14" s="302">
        <v>8</v>
      </c>
      <c r="AI14" s="302">
        <v>8</v>
      </c>
      <c r="AJ14" s="302">
        <v>8</v>
      </c>
      <c r="AK14" s="302">
        <v>8</v>
      </c>
      <c r="AL14" s="302">
        <v>8</v>
      </c>
      <c r="AM14" s="302">
        <v>13</v>
      </c>
      <c r="AN14" s="302">
        <v>13</v>
      </c>
      <c r="AO14" s="302">
        <v>13</v>
      </c>
      <c r="AP14" s="302">
        <v>13</v>
      </c>
      <c r="AQ14" s="302">
        <v>8</v>
      </c>
      <c r="AR14" s="302">
        <v>8</v>
      </c>
      <c r="AS14" s="302">
        <v>8</v>
      </c>
      <c r="AT14" s="302">
        <v>13</v>
      </c>
      <c r="AU14" s="302">
        <v>13</v>
      </c>
      <c r="AV14" s="302">
        <v>13</v>
      </c>
      <c r="AW14" s="302">
        <v>13</v>
      </c>
      <c r="AX14" s="302">
        <v>13</v>
      </c>
      <c r="AY14" s="302">
        <v>13</v>
      </c>
      <c r="AZ14" s="302">
        <v>13</v>
      </c>
    </row>
    <row r="15" spans="3:52" x14ac:dyDescent="0.3">
      <c r="E15" s="1" t="s">
        <v>154</v>
      </c>
      <c r="F15" s="24">
        <v>12</v>
      </c>
      <c r="J15" s="1" t="s">
        <v>262</v>
      </c>
      <c r="P15" s="1" t="s">
        <v>188</v>
      </c>
      <c r="R15" s="1" t="s">
        <v>84</v>
      </c>
      <c r="U15" s="302">
        <v>2</v>
      </c>
      <c r="V15" s="302">
        <v>2</v>
      </c>
      <c r="W15" s="302">
        <v>2</v>
      </c>
      <c r="X15" s="302">
        <v>2</v>
      </c>
      <c r="Y15" s="302">
        <v>2</v>
      </c>
      <c r="Z15" s="302">
        <v>2</v>
      </c>
      <c r="AA15" s="302">
        <v>2</v>
      </c>
      <c r="AB15" s="302">
        <v>2</v>
      </c>
      <c r="AC15" s="302">
        <v>2</v>
      </c>
      <c r="AD15" s="302">
        <v>2</v>
      </c>
      <c r="AE15" s="302">
        <v>7</v>
      </c>
      <c r="AF15" s="302">
        <v>7</v>
      </c>
      <c r="AG15" s="302">
        <v>7</v>
      </c>
      <c r="AH15" s="302">
        <v>7</v>
      </c>
      <c r="AI15" s="302">
        <v>7</v>
      </c>
      <c r="AJ15" s="302">
        <v>7</v>
      </c>
      <c r="AK15" s="302">
        <v>7</v>
      </c>
      <c r="AL15" s="302">
        <v>7</v>
      </c>
      <c r="AM15" s="302">
        <v>12</v>
      </c>
      <c r="AN15" s="302">
        <v>12</v>
      </c>
      <c r="AO15" s="302">
        <v>12</v>
      </c>
      <c r="AP15" s="302">
        <v>12</v>
      </c>
      <c r="AQ15" s="302">
        <v>7</v>
      </c>
      <c r="AR15" s="302">
        <v>7</v>
      </c>
      <c r="AS15" s="302">
        <v>7</v>
      </c>
      <c r="AT15" s="302">
        <v>12</v>
      </c>
      <c r="AU15" s="302">
        <v>12</v>
      </c>
      <c r="AV15" s="302">
        <v>12</v>
      </c>
      <c r="AW15" s="302">
        <v>12</v>
      </c>
      <c r="AX15" s="302">
        <v>12</v>
      </c>
      <c r="AY15" s="302">
        <v>12</v>
      </c>
      <c r="AZ15" s="302">
        <v>12</v>
      </c>
    </row>
    <row r="16" spans="3:52" x14ac:dyDescent="0.3">
      <c r="E16" s="5">
        <v>4500</v>
      </c>
      <c r="F16" s="24">
        <v>11</v>
      </c>
      <c r="J16" s="1" t="s">
        <v>263</v>
      </c>
      <c r="R16" s="1" t="s">
        <v>125</v>
      </c>
      <c r="U16" s="303">
        <v>1</v>
      </c>
      <c r="V16" s="303">
        <v>1</v>
      </c>
      <c r="W16" s="303">
        <v>1</v>
      </c>
      <c r="X16" s="303">
        <v>1</v>
      </c>
      <c r="Y16" s="303">
        <v>1</v>
      </c>
      <c r="Z16" s="303">
        <v>1</v>
      </c>
      <c r="AA16" s="303">
        <v>1</v>
      </c>
      <c r="AB16" s="303">
        <v>1</v>
      </c>
      <c r="AC16" s="303">
        <v>1</v>
      </c>
      <c r="AD16" s="303">
        <v>1</v>
      </c>
      <c r="AE16" s="302">
        <v>6</v>
      </c>
      <c r="AF16" s="302">
        <v>6</v>
      </c>
      <c r="AG16" s="302">
        <v>6</v>
      </c>
      <c r="AH16" s="302">
        <v>6</v>
      </c>
      <c r="AI16" s="302">
        <v>6</v>
      </c>
      <c r="AJ16" s="302">
        <v>6</v>
      </c>
      <c r="AK16" s="302">
        <v>6</v>
      </c>
      <c r="AL16" s="302">
        <v>6</v>
      </c>
      <c r="AM16" s="302">
        <v>11</v>
      </c>
      <c r="AN16" s="302">
        <v>11</v>
      </c>
      <c r="AO16" s="302">
        <v>11</v>
      </c>
      <c r="AP16" s="302">
        <v>11</v>
      </c>
      <c r="AQ16" s="302">
        <v>6</v>
      </c>
      <c r="AR16" s="302">
        <v>6</v>
      </c>
      <c r="AS16" s="302">
        <v>6</v>
      </c>
      <c r="AT16" s="302">
        <v>11</v>
      </c>
      <c r="AU16" s="302">
        <v>11</v>
      </c>
      <c r="AV16" s="302">
        <v>11</v>
      </c>
      <c r="AW16" s="302">
        <v>11</v>
      </c>
      <c r="AX16" s="302">
        <v>11</v>
      </c>
      <c r="AY16" s="302">
        <v>11</v>
      </c>
      <c r="AZ16" s="302">
        <v>11</v>
      </c>
    </row>
    <row r="17" spans="3:52" x14ac:dyDescent="0.3">
      <c r="E17" s="1" t="s">
        <v>155</v>
      </c>
      <c r="F17" s="24">
        <v>10</v>
      </c>
      <c r="J17" s="1" t="s">
        <v>264</v>
      </c>
      <c r="R17" s="1" t="s">
        <v>126</v>
      </c>
      <c r="AE17" s="302">
        <v>5</v>
      </c>
      <c r="AF17" s="302">
        <v>5</v>
      </c>
      <c r="AG17" s="302">
        <v>5</v>
      </c>
      <c r="AH17" s="302">
        <v>5</v>
      </c>
      <c r="AI17" s="302">
        <v>5</v>
      </c>
      <c r="AJ17" s="302">
        <v>5</v>
      </c>
      <c r="AK17" s="302">
        <v>5</v>
      </c>
      <c r="AL17" s="302">
        <v>5</v>
      </c>
      <c r="AM17" s="302">
        <v>10</v>
      </c>
      <c r="AN17" s="302">
        <v>10</v>
      </c>
      <c r="AO17" s="302">
        <v>10</v>
      </c>
      <c r="AP17" s="302">
        <v>10</v>
      </c>
      <c r="AQ17" s="302">
        <v>5</v>
      </c>
      <c r="AR17" s="302">
        <v>5</v>
      </c>
      <c r="AS17" s="302">
        <v>5</v>
      </c>
      <c r="AT17" s="302">
        <v>10</v>
      </c>
      <c r="AU17" s="302">
        <v>10</v>
      </c>
      <c r="AV17" s="302">
        <v>10</v>
      </c>
      <c r="AW17" s="302">
        <v>10</v>
      </c>
      <c r="AX17" s="302">
        <v>10</v>
      </c>
      <c r="AY17" s="302">
        <v>10</v>
      </c>
      <c r="AZ17" s="302">
        <v>10</v>
      </c>
    </row>
    <row r="18" spans="3:52" x14ac:dyDescent="0.3">
      <c r="E18" s="5">
        <v>4725</v>
      </c>
      <c r="F18" s="24">
        <v>9</v>
      </c>
      <c r="J18" s="1" t="s">
        <v>265</v>
      </c>
      <c r="R18" s="1" t="s">
        <v>122</v>
      </c>
      <c r="AE18" s="302">
        <v>4</v>
      </c>
      <c r="AF18" s="302">
        <v>4</v>
      </c>
      <c r="AG18" s="302">
        <v>4</v>
      </c>
      <c r="AH18" s="302">
        <v>4</v>
      </c>
      <c r="AI18" s="302">
        <v>4</v>
      </c>
      <c r="AJ18" s="302">
        <v>4</v>
      </c>
      <c r="AK18" s="302">
        <v>4</v>
      </c>
      <c r="AL18" s="302">
        <v>4</v>
      </c>
      <c r="AM18" s="302">
        <v>9</v>
      </c>
      <c r="AN18" s="302">
        <v>9</v>
      </c>
      <c r="AO18" s="302">
        <v>9</v>
      </c>
      <c r="AP18" s="302">
        <v>9</v>
      </c>
      <c r="AQ18" s="302">
        <v>4</v>
      </c>
      <c r="AR18" s="302">
        <v>4</v>
      </c>
      <c r="AS18" s="302">
        <v>4</v>
      </c>
      <c r="AT18" s="302">
        <v>9</v>
      </c>
      <c r="AU18" s="302">
        <v>9</v>
      </c>
      <c r="AV18" s="302">
        <v>9</v>
      </c>
      <c r="AW18" s="302">
        <v>9</v>
      </c>
      <c r="AX18" s="302">
        <v>9</v>
      </c>
      <c r="AY18" s="302">
        <v>9</v>
      </c>
      <c r="AZ18" s="302">
        <v>9</v>
      </c>
    </row>
    <row r="19" spans="3:52" x14ac:dyDescent="0.3">
      <c r="F19" s="24">
        <v>8</v>
      </c>
      <c r="J19" s="1" t="s">
        <v>266</v>
      </c>
      <c r="P19" s="26" t="s">
        <v>205</v>
      </c>
      <c r="AE19" s="302">
        <v>3</v>
      </c>
      <c r="AF19" s="302">
        <v>3</v>
      </c>
      <c r="AG19" s="302">
        <v>3</v>
      </c>
      <c r="AH19" s="302">
        <v>3</v>
      </c>
      <c r="AI19" s="302">
        <v>3</v>
      </c>
      <c r="AJ19" s="302">
        <v>3</v>
      </c>
      <c r="AK19" s="302">
        <v>3</v>
      </c>
      <c r="AL19" s="302">
        <v>3</v>
      </c>
      <c r="AM19" s="302">
        <v>8</v>
      </c>
      <c r="AN19" s="302">
        <v>8</v>
      </c>
      <c r="AO19" s="302">
        <v>8</v>
      </c>
      <c r="AP19" s="302">
        <v>8</v>
      </c>
      <c r="AQ19" s="302">
        <v>3</v>
      </c>
      <c r="AR19" s="302">
        <v>3</v>
      </c>
      <c r="AS19" s="302">
        <v>3</v>
      </c>
      <c r="AT19" s="302">
        <v>8</v>
      </c>
      <c r="AU19" s="302">
        <v>8</v>
      </c>
      <c r="AV19" s="302">
        <v>8</v>
      </c>
      <c r="AW19" s="302">
        <v>8</v>
      </c>
      <c r="AX19" s="302">
        <v>8</v>
      </c>
      <c r="AY19" s="302">
        <v>8</v>
      </c>
      <c r="AZ19" s="302">
        <v>8</v>
      </c>
    </row>
    <row r="20" spans="3:52" x14ac:dyDescent="0.3">
      <c r="F20" s="24">
        <v>7</v>
      </c>
      <c r="J20" s="1" t="s">
        <v>267</v>
      </c>
      <c r="R20" s="26" t="s">
        <v>124</v>
      </c>
      <c r="AE20" s="302">
        <v>2</v>
      </c>
      <c r="AF20" s="302">
        <v>2</v>
      </c>
      <c r="AG20" s="302">
        <v>2</v>
      </c>
      <c r="AH20" s="302">
        <v>2</v>
      </c>
      <c r="AI20" s="302">
        <v>2</v>
      </c>
      <c r="AJ20" s="302">
        <v>2</v>
      </c>
      <c r="AK20" s="302">
        <v>2</v>
      </c>
      <c r="AL20" s="302">
        <v>2</v>
      </c>
      <c r="AM20" s="302">
        <v>7</v>
      </c>
      <c r="AN20" s="302">
        <v>7</v>
      </c>
      <c r="AO20" s="302">
        <v>7</v>
      </c>
      <c r="AP20" s="302">
        <v>7</v>
      </c>
      <c r="AQ20" s="302">
        <v>2</v>
      </c>
      <c r="AR20" s="302">
        <v>2</v>
      </c>
      <c r="AS20" s="302">
        <v>2</v>
      </c>
      <c r="AT20" s="302">
        <v>7</v>
      </c>
      <c r="AU20" s="302">
        <v>7</v>
      </c>
      <c r="AV20" s="302">
        <v>7</v>
      </c>
      <c r="AW20" s="302">
        <v>7</v>
      </c>
      <c r="AX20" s="302">
        <v>7</v>
      </c>
      <c r="AY20" s="302">
        <v>7</v>
      </c>
      <c r="AZ20" s="302">
        <v>7</v>
      </c>
    </row>
    <row r="21" spans="3:52" x14ac:dyDescent="0.3">
      <c r="F21" s="24">
        <v>6</v>
      </c>
      <c r="J21" s="1" t="s">
        <v>268</v>
      </c>
      <c r="P21" s="1" t="s">
        <v>206</v>
      </c>
      <c r="R21" s="1" t="s">
        <v>84</v>
      </c>
      <c r="AE21" s="303">
        <v>1</v>
      </c>
      <c r="AF21" s="303">
        <v>1</v>
      </c>
      <c r="AG21" s="303">
        <v>1</v>
      </c>
      <c r="AH21" s="303">
        <v>1</v>
      </c>
      <c r="AI21" s="303">
        <v>1</v>
      </c>
      <c r="AJ21" s="303">
        <v>1</v>
      </c>
      <c r="AK21" s="303">
        <v>1</v>
      </c>
      <c r="AL21" s="303">
        <v>1</v>
      </c>
      <c r="AM21" s="302">
        <v>6</v>
      </c>
      <c r="AN21" s="302">
        <v>6</v>
      </c>
      <c r="AO21" s="302">
        <v>6</v>
      </c>
      <c r="AP21" s="302">
        <v>6</v>
      </c>
      <c r="AQ21" s="303">
        <v>1</v>
      </c>
      <c r="AR21" s="303">
        <v>1</v>
      </c>
      <c r="AS21" s="303">
        <v>1</v>
      </c>
      <c r="AT21" s="302">
        <v>6</v>
      </c>
      <c r="AU21" s="302">
        <v>6</v>
      </c>
      <c r="AV21" s="302">
        <v>6</v>
      </c>
      <c r="AW21" s="302">
        <v>6</v>
      </c>
      <c r="AX21" s="302">
        <v>6</v>
      </c>
      <c r="AY21" s="302">
        <v>6</v>
      </c>
      <c r="AZ21" s="302">
        <v>6</v>
      </c>
    </row>
    <row r="22" spans="3:52" x14ac:dyDescent="0.3">
      <c r="F22" s="24">
        <v>5</v>
      </c>
      <c r="J22" s="1" t="s">
        <v>269</v>
      </c>
      <c r="P22" s="1" t="s">
        <v>207</v>
      </c>
      <c r="R22" s="1" t="s">
        <v>125</v>
      </c>
      <c r="AM22" s="302">
        <v>5</v>
      </c>
      <c r="AN22" s="302">
        <v>5</v>
      </c>
      <c r="AO22" s="302">
        <v>5</v>
      </c>
      <c r="AP22" s="302">
        <v>5</v>
      </c>
      <c r="AT22" s="302">
        <v>5</v>
      </c>
      <c r="AU22" s="302">
        <v>5</v>
      </c>
      <c r="AV22" s="302">
        <v>5</v>
      </c>
      <c r="AW22" s="302">
        <v>5</v>
      </c>
      <c r="AX22" s="302">
        <v>5</v>
      </c>
      <c r="AY22" s="302">
        <v>5</v>
      </c>
      <c r="AZ22" s="302">
        <v>5</v>
      </c>
    </row>
    <row r="23" spans="3:52" x14ac:dyDescent="0.3">
      <c r="F23" s="24">
        <v>4</v>
      </c>
      <c r="J23" s="1" t="s">
        <v>270</v>
      </c>
      <c r="R23" s="1" t="s">
        <v>126</v>
      </c>
      <c r="AM23" s="302">
        <v>4</v>
      </c>
      <c r="AN23" s="302">
        <v>4</v>
      </c>
      <c r="AO23" s="302">
        <v>4</v>
      </c>
      <c r="AP23" s="302">
        <v>4</v>
      </c>
      <c r="AT23" s="302">
        <v>4</v>
      </c>
      <c r="AU23" s="302">
        <v>4</v>
      </c>
      <c r="AV23" s="302">
        <v>4</v>
      </c>
      <c r="AW23" s="302">
        <v>4</v>
      </c>
      <c r="AX23" s="302">
        <v>4</v>
      </c>
      <c r="AY23" s="302">
        <v>4</v>
      </c>
      <c r="AZ23" s="302">
        <v>4</v>
      </c>
    </row>
    <row r="24" spans="3:52" x14ac:dyDescent="0.3">
      <c r="F24" s="24">
        <v>3</v>
      </c>
      <c r="J24" s="1" t="s">
        <v>271</v>
      </c>
      <c r="P24" s="26" t="s">
        <v>208</v>
      </c>
      <c r="R24" s="1" t="s">
        <v>122</v>
      </c>
      <c r="AM24" s="302">
        <v>3</v>
      </c>
      <c r="AN24" s="302">
        <v>3</v>
      </c>
      <c r="AO24" s="302">
        <v>3</v>
      </c>
      <c r="AP24" s="302">
        <v>3</v>
      </c>
      <c r="AT24" s="302">
        <v>3</v>
      </c>
      <c r="AU24" s="302">
        <v>3</v>
      </c>
      <c r="AV24" s="302">
        <v>3</v>
      </c>
      <c r="AW24" s="302">
        <v>3</v>
      </c>
      <c r="AX24" s="302">
        <v>3</v>
      </c>
      <c r="AY24" s="302">
        <v>3</v>
      </c>
      <c r="AZ24" s="302">
        <v>3</v>
      </c>
    </row>
    <row r="25" spans="3:52" x14ac:dyDescent="0.3">
      <c r="F25" s="24">
        <v>2</v>
      </c>
      <c r="J25" s="1" t="s">
        <v>272</v>
      </c>
      <c r="P25" s="1" t="s">
        <v>122</v>
      </c>
      <c r="AM25" s="302">
        <v>2</v>
      </c>
      <c r="AN25" s="302">
        <v>2</v>
      </c>
      <c r="AO25" s="302">
        <v>2</v>
      </c>
      <c r="AP25" s="302">
        <v>2</v>
      </c>
      <c r="AT25" s="302">
        <v>2</v>
      </c>
      <c r="AU25" s="302">
        <v>2</v>
      </c>
      <c r="AV25" s="302">
        <v>2</v>
      </c>
      <c r="AW25" s="302">
        <v>2</v>
      </c>
      <c r="AX25" s="302">
        <v>2</v>
      </c>
      <c r="AY25" s="302">
        <v>2</v>
      </c>
      <c r="AZ25" s="302">
        <v>2</v>
      </c>
    </row>
    <row r="26" spans="3:52" x14ac:dyDescent="0.3">
      <c r="F26" s="24">
        <v>1</v>
      </c>
      <c r="J26" s="1" t="s">
        <v>273</v>
      </c>
      <c r="P26" s="1" t="s">
        <v>209</v>
      </c>
      <c r="AM26" s="303">
        <v>1</v>
      </c>
      <c r="AN26" s="303">
        <v>1</v>
      </c>
      <c r="AO26" s="303">
        <v>1</v>
      </c>
      <c r="AP26" s="303">
        <v>1</v>
      </c>
      <c r="AT26" s="303">
        <v>1</v>
      </c>
      <c r="AU26" s="303">
        <v>1</v>
      </c>
      <c r="AV26" s="303">
        <v>1</v>
      </c>
      <c r="AW26" s="303">
        <v>1</v>
      </c>
      <c r="AX26" s="303">
        <v>1</v>
      </c>
      <c r="AY26" s="303">
        <v>1</v>
      </c>
      <c r="AZ26" s="303">
        <v>1</v>
      </c>
    </row>
    <row r="27" spans="3:52" x14ac:dyDescent="0.3">
      <c r="J27" s="1" t="s">
        <v>274</v>
      </c>
      <c r="P27" s="1" t="s">
        <v>210</v>
      </c>
      <c r="R27" s="26" t="s">
        <v>226</v>
      </c>
    </row>
    <row r="28" spans="3:52" x14ac:dyDescent="0.3">
      <c r="J28" s="1" t="s">
        <v>275</v>
      </c>
      <c r="P28" s="1" t="s">
        <v>121</v>
      </c>
      <c r="R28" s="1" t="s">
        <v>228</v>
      </c>
    </row>
    <row r="29" spans="3:52" x14ac:dyDescent="0.3">
      <c r="C29" s="8"/>
      <c r="J29" s="1" t="s">
        <v>286</v>
      </c>
      <c r="P29" s="1" t="s">
        <v>120</v>
      </c>
      <c r="R29" s="1" t="s">
        <v>229</v>
      </c>
    </row>
    <row r="30" spans="3:52" x14ac:dyDescent="0.3">
      <c r="C30" s="8"/>
      <c r="P30" s="1" t="s">
        <v>82</v>
      </c>
      <c r="R30" s="1" t="s">
        <v>230</v>
      </c>
    </row>
    <row r="31" spans="3:52" x14ac:dyDescent="0.3">
      <c r="C31" s="8"/>
      <c r="P31" s="1" t="s">
        <v>211</v>
      </c>
    </row>
    <row r="32" spans="3:52" x14ac:dyDescent="0.3">
      <c r="C32" s="8"/>
      <c r="P32" s="1" t="s">
        <v>123</v>
      </c>
      <c r="R32" s="26" t="s">
        <v>248</v>
      </c>
    </row>
    <row r="33" spans="16:18" ht="18.75" x14ac:dyDescent="0.3">
      <c r="P33" s="1" t="s">
        <v>127</v>
      </c>
      <c r="R33" s="287" t="s">
        <v>247</v>
      </c>
    </row>
    <row r="34" spans="16:18" ht="18.75" x14ac:dyDescent="0.3">
      <c r="R34" s="287" t="s">
        <v>249</v>
      </c>
    </row>
    <row r="35" spans="16:18" ht="18.75" x14ac:dyDescent="0.3">
      <c r="R35" s="287" t="s">
        <v>250</v>
      </c>
    </row>
    <row r="36" spans="16:18" ht="18.75" x14ac:dyDescent="0.3">
      <c r="R36" s="287"/>
    </row>
  </sheetData>
  <phoneticPr fontId="47" type="noConversion"/>
  <pageMargins left="0.7" right="0.7" top="0.75" bottom="0.75" header="0.3" footer="0.3"/>
  <drawing r:id="rId1"/>
  <tableParts count="4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4306-D988-44CB-9B59-6CD9FDA2B9BF}">
  <sheetPr>
    <tabColor theme="5" tint="0.59999389629810485"/>
  </sheetPr>
  <dimension ref="A2:AX73"/>
  <sheetViews>
    <sheetView showGridLines="0" topLeftCell="A11" zoomScale="73" zoomScaleNormal="73" zoomScaleSheetLayoutView="73" zoomScalePageLayoutView="78" workbookViewId="0">
      <selection activeCell="G27" sqref="G27:K27"/>
    </sheetView>
  </sheetViews>
  <sheetFormatPr baseColWidth="10" defaultColWidth="11" defaultRowHeight="16.5" x14ac:dyDescent="0.3"/>
  <cols>
    <col min="1" max="1" width="3.875" style="9" customWidth="1"/>
    <col min="2" max="2" width="6.75" style="9" customWidth="1"/>
    <col min="3" max="3" width="3.75" style="9" customWidth="1"/>
    <col min="4" max="4" width="3.125" style="9" customWidth="1"/>
    <col min="5" max="5" width="4.625" style="9" customWidth="1"/>
    <col min="6" max="6" width="4.125" style="9" customWidth="1"/>
    <col min="7" max="7" width="3.125" style="9" customWidth="1"/>
    <col min="8" max="8" width="4.125" style="9" customWidth="1"/>
    <col min="9" max="9" width="4.375" style="9" customWidth="1"/>
    <col min="10" max="10" width="6.125" style="9" customWidth="1"/>
    <col min="11" max="11" width="4.5" style="9" customWidth="1"/>
    <col min="12" max="12" width="7.25" style="9" customWidth="1"/>
    <col min="13" max="14" width="3.125" style="9" customWidth="1"/>
    <col min="15" max="15" width="3.625" style="9" customWidth="1"/>
    <col min="16" max="16" width="14" style="9" customWidth="1"/>
    <col min="17" max="18" width="4.375" style="9" customWidth="1"/>
    <col min="19" max="22" width="3.125" style="9" customWidth="1"/>
    <col min="23" max="23" width="5.5" style="9" customWidth="1"/>
    <col min="24" max="24" width="6.375" style="9" customWidth="1"/>
    <col min="25" max="25" width="3.125" style="9" customWidth="1"/>
    <col min="26" max="26" width="5.375" style="9" customWidth="1"/>
    <col min="27" max="27" width="11.625" style="9" customWidth="1"/>
    <col min="28" max="29" width="3.125" style="9" customWidth="1"/>
    <col min="30" max="30" width="4.375" style="9" customWidth="1"/>
    <col min="31" max="31" width="6.375" style="9" customWidth="1"/>
    <col min="32" max="35" width="3.125" style="9" customWidth="1"/>
    <col min="36" max="36" width="5" style="9" customWidth="1"/>
    <col min="37" max="37" width="4.125" style="9" customWidth="1"/>
    <col min="38" max="38" width="8.125" style="9" customWidth="1"/>
    <col min="39" max="45" width="3.125" style="9" customWidth="1"/>
    <col min="46" max="46" width="3.5" style="9" customWidth="1"/>
    <col min="47" max="47" width="1.875" style="9" customWidth="1"/>
    <col min="48" max="48" width="4.5" style="9" customWidth="1"/>
    <col min="49" max="16384" width="11" style="9"/>
  </cols>
  <sheetData>
    <row r="2" spans="1:50" ht="27.75" customHeight="1" thickBot="1" x14ac:dyDescent="0.35">
      <c r="A2" s="17"/>
      <c r="B2" s="23" t="s">
        <v>223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10"/>
      <c r="U2" s="210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</row>
    <row r="3" spans="1:50" ht="8.25" customHeight="1" thickBot="1" x14ac:dyDescent="0.35">
      <c r="A3" s="17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17"/>
      <c r="AN3" s="17"/>
      <c r="AO3" s="17"/>
      <c r="AP3" s="23"/>
      <c r="AQ3" s="23"/>
      <c r="AR3" s="367"/>
      <c r="AS3" s="368"/>
      <c r="AT3" s="369"/>
      <c r="AU3" s="23"/>
      <c r="AV3" s="240"/>
      <c r="AW3" s="240"/>
      <c r="AX3" s="10"/>
    </row>
    <row r="4" spans="1:50" ht="6" customHeight="1" x14ac:dyDescent="0.3">
      <c r="A4" s="17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</row>
    <row r="5" spans="1:50" s="11" customFormat="1" ht="26.1" customHeight="1" x14ac:dyDescent="0.3">
      <c r="A5" s="241"/>
      <c r="B5" s="370" t="s">
        <v>225</v>
      </c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370"/>
      <c r="AB5" s="370"/>
      <c r="AC5" s="370"/>
      <c r="AD5" s="370"/>
      <c r="AE5" s="370"/>
      <c r="AF5" s="370"/>
      <c r="AG5" s="370"/>
      <c r="AH5" s="370"/>
      <c r="AI5" s="370"/>
      <c r="AJ5" s="370"/>
      <c r="AK5" s="370"/>
      <c r="AL5" s="370"/>
      <c r="AM5" s="370"/>
      <c r="AN5" s="370"/>
      <c r="AO5" s="370"/>
      <c r="AP5" s="370"/>
      <c r="AQ5" s="370"/>
      <c r="AR5" s="370"/>
      <c r="AS5" s="370"/>
      <c r="AT5" s="370"/>
      <c r="AU5" s="370"/>
    </row>
    <row r="6" spans="1:50" s="11" customFormat="1" ht="6" customHeight="1" thickBot="1" x14ac:dyDescent="0.35">
      <c r="A6" s="241"/>
      <c r="B6" s="233"/>
      <c r="C6" s="233"/>
      <c r="D6" s="233"/>
      <c r="E6" s="233"/>
      <c r="F6" s="233"/>
      <c r="G6" s="233"/>
      <c r="H6" s="234"/>
      <c r="I6" s="233"/>
      <c r="J6" s="233"/>
      <c r="K6" s="233"/>
      <c r="L6" s="233"/>
      <c r="M6" s="233"/>
      <c r="N6" s="233"/>
      <c r="O6" s="233"/>
      <c r="P6" s="234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  <c r="AB6" s="237"/>
      <c r="AC6" s="238"/>
      <c r="AD6" s="238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</row>
    <row r="7" spans="1:50" s="11" customFormat="1" ht="26.1" customHeight="1" thickBot="1" x14ac:dyDescent="0.35">
      <c r="A7" s="241"/>
      <c r="B7" s="371" t="s">
        <v>227</v>
      </c>
      <c r="C7" s="371"/>
      <c r="D7" s="371"/>
      <c r="E7" s="371"/>
      <c r="F7" s="371"/>
      <c r="G7" s="371"/>
      <c r="H7" s="372" t="str">
        <f>'DATOS DEL CLIENTE'!H4</f>
        <v>PERSONA FISICA</v>
      </c>
      <c r="I7" s="373"/>
      <c r="J7" s="373"/>
      <c r="K7" s="373"/>
      <c r="L7" s="373"/>
      <c r="M7" s="373"/>
      <c r="N7" s="373"/>
      <c r="O7" s="374"/>
      <c r="P7" s="219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347" t="s">
        <v>42</v>
      </c>
      <c r="AC7" s="348"/>
      <c r="AD7" s="348"/>
      <c r="AE7" s="349">
        <f>IF('DATOS DEL CLIENTE'!H4="PERSONA FISICA",'DATOS DEL CLIENTE'!P10,IF('DATOS DEL CLIENTE'!H4="PERSONA MORAL ",'DATOS DEL CLIENTE'!E49&amp;'DATOS DEL CLIENTE'!A23&amp;'DATOS DEL CLIENTE'!P58&amp;'DATOS DEL CLIENTE'!A23&amp;'DATOS DEL CLIENTE'!P66,IF('DATOS DEL CLIENTE'!H4="COPROPIEDAD",'DATOS DEL CLIENTE'!P25&amp;'DATOS DEL CLIENTE'!A23&amp;'DATOS DEL CLIENTE'!P33,"")))</f>
        <v>0</v>
      </c>
      <c r="AF7" s="350"/>
      <c r="AG7" s="350"/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1"/>
    </row>
    <row r="8" spans="1:50" s="11" customFormat="1" ht="8.25" customHeight="1" thickBot="1" x14ac:dyDescent="0.35">
      <c r="A8" s="241"/>
      <c r="B8" s="222"/>
      <c r="C8" s="222"/>
      <c r="D8" s="222"/>
      <c r="E8" s="222"/>
      <c r="F8" s="222"/>
      <c r="G8" s="222"/>
      <c r="H8" s="242"/>
      <c r="I8" s="242"/>
      <c r="J8" s="242"/>
      <c r="K8" s="242"/>
      <c r="L8" s="242"/>
      <c r="M8" s="242"/>
      <c r="N8" s="242"/>
      <c r="O8" s="242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3"/>
      <c r="AC8" s="223"/>
      <c r="AD8" s="223"/>
      <c r="AE8" s="352"/>
      <c r="AF8" s="353"/>
      <c r="AG8" s="353"/>
      <c r="AH8" s="353"/>
      <c r="AI8" s="353"/>
      <c r="AJ8" s="353"/>
      <c r="AK8" s="353"/>
      <c r="AL8" s="353"/>
      <c r="AM8" s="353"/>
      <c r="AN8" s="353"/>
      <c r="AO8" s="353"/>
      <c r="AP8" s="353"/>
      <c r="AQ8" s="353"/>
      <c r="AR8" s="353"/>
      <c r="AS8" s="353"/>
      <c r="AT8" s="353"/>
      <c r="AU8" s="354"/>
    </row>
    <row r="9" spans="1:50" s="11" customFormat="1" ht="26.1" customHeight="1" thickBot="1" x14ac:dyDescent="0.35">
      <c r="A9" s="241"/>
      <c r="B9" s="387" t="s">
        <v>234</v>
      </c>
      <c r="C9" s="387"/>
      <c r="D9" s="387"/>
      <c r="E9" s="387"/>
      <c r="F9" s="387"/>
      <c r="G9" s="387"/>
      <c r="H9" s="364">
        <f>'DATOS DEL CLIENTE'!E47</f>
        <v>0</v>
      </c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6"/>
      <c r="AA9" s="243"/>
      <c r="AB9" s="241"/>
      <c r="AC9" s="241"/>
      <c r="AD9" s="241"/>
      <c r="AE9" s="355"/>
      <c r="AF9" s="356"/>
      <c r="AG9" s="356"/>
      <c r="AH9" s="356"/>
      <c r="AI9" s="356"/>
      <c r="AJ9" s="356"/>
      <c r="AK9" s="356"/>
      <c r="AL9" s="356"/>
      <c r="AM9" s="356"/>
      <c r="AN9" s="356"/>
      <c r="AO9" s="356"/>
      <c r="AP9" s="356"/>
      <c r="AQ9" s="356"/>
      <c r="AR9" s="356"/>
      <c r="AS9" s="356"/>
      <c r="AT9" s="356"/>
      <c r="AU9" s="357"/>
    </row>
    <row r="10" spans="1:50" s="11" customFormat="1" ht="7.5" customHeight="1" thickBot="1" x14ac:dyDescent="0.35">
      <c r="A10" s="241"/>
      <c r="B10" s="224"/>
      <c r="C10" s="224"/>
      <c r="D10" s="224"/>
      <c r="E10" s="224"/>
      <c r="F10" s="224"/>
      <c r="G10" s="224"/>
      <c r="H10" s="244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6"/>
      <c r="AA10" s="247"/>
      <c r="AB10" s="241"/>
      <c r="AC10" s="241"/>
      <c r="AD10" s="241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</row>
    <row r="11" spans="1:50" ht="30" customHeight="1" thickBot="1" x14ac:dyDescent="0.35">
      <c r="A11" s="17"/>
      <c r="B11" s="394" t="s">
        <v>235</v>
      </c>
      <c r="C11" s="394"/>
      <c r="D11" s="394"/>
      <c r="E11" s="394"/>
      <c r="F11" s="394"/>
      <c r="G11" s="394"/>
      <c r="H11" s="361">
        <f>IF('DATOS DEL CLIENTE'!H4="PERSONA FISICA",'DATOS DEL CLIENTE'!H8,IF('DATOS DEL CLIENTE'!H4="PERSONA MORAL ",'DATOS DEL CLIENTE'!H56&amp;'DATOS DEL CLIENTE'!A23&amp;'DATOS DEL CLIENTE'!H64,IF('DATOS DEL CLIENTE'!H4="COPROPIEDAD",'DATOS DEL CLIENTE'!H23&amp;'DATOS DEL CLIENTE'!A23&amp;'DATOS DEL CLIENTE'!H31,"")))</f>
        <v>0</v>
      </c>
      <c r="I11" s="362"/>
      <c r="J11" s="362"/>
      <c r="K11" s="362"/>
      <c r="L11" s="362"/>
      <c r="M11" s="362"/>
      <c r="N11" s="362"/>
      <c r="O11" s="362"/>
      <c r="P11" s="362"/>
      <c r="Q11" s="362"/>
      <c r="R11" s="362"/>
      <c r="S11" s="362"/>
      <c r="T11" s="362"/>
      <c r="U11" s="362"/>
      <c r="V11" s="362"/>
      <c r="W11" s="362"/>
      <c r="X11" s="362"/>
      <c r="Y11" s="362"/>
      <c r="Z11" s="363"/>
      <c r="AA11" s="47"/>
      <c r="AB11" s="47"/>
      <c r="AC11" s="395" t="s">
        <v>242</v>
      </c>
      <c r="AD11" s="396"/>
      <c r="AE11" s="358">
        <f>IF('DATOS DEL CLIENTE'!H4="PERSONA FISICA",'DATOS DEL CLIENTE'!AF8,IF('DATOS DEL CLIENTE'!H4="PERSONA MORAL ",'DATOS DEL CLIENTE'!AF47&amp;'DATOS DEL CLIENTE'!A23&amp;'DATOS DEL CLIENTE'!AF56&amp;'DATOS DEL CLIENTE'!A23&amp;'DATOS DEL CLIENTE'!AF64,IF('DATOS DEL CLIENTE'!H4="COPROPIEDAD",'DATOS DEL CLIENTE'!AF23&amp;'DATOS DEL CLIENTE'!A23&amp;'DATOS DEL CLIENTE'!AF31,"")))</f>
        <v>0</v>
      </c>
      <c r="AF11" s="359"/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T11" s="359"/>
      <c r="AU11" s="360"/>
    </row>
    <row r="12" spans="1:50" ht="9.75" customHeight="1" thickBot="1" x14ac:dyDescent="0.35">
      <c r="A12" s="17"/>
      <c r="B12" s="225"/>
      <c r="C12" s="225"/>
      <c r="D12" s="225"/>
      <c r="E12" s="225"/>
      <c r="F12" s="225"/>
      <c r="G12" s="225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47"/>
      <c r="AB12" s="47"/>
      <c r="AC12" s="226"/>
      <c r="AD12" s="227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</row>
    <row r="13" spans="1:50" ht="30" customHeight="1" thickBot="1" x14ac:dyDescent="0.35">
      <c r="A13" s="17"/>
      <c r="B13" s="371" t="s">
        <v>85</v>
      </c>
      <c r="C13" s="371"/>
      <c r="D13" s="371"/>
      <c r="E13" s="371"/>
      <c r="F13" s="371"/>
      <c r="G13" s="371"/>
      <c r="H13" s="372">
        <f>'DATOS DEL CLIENTE'!H5</f>
        <v>0</v>
      </c>
      <c r="I13" s="388"/>
      <c r="J13" s="388"/>
      <c r="K13" s="388"/>
      <c r="L13" s="388"/>
      <c r="M13" s="388"/>
      <c r="N13" s="388"/>
      <c r="O13" s="389"/>
      <c r="P13" s="251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3"/>
      <c r="AB13" s="253"/>
      <c r="AC13" s="253"/>
      <c r="AD13" s="253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2"/>
    </row>
    <row r="14" spans="1:50" ht="15.75" customHeight="1" x14ac:dyDescent="0.3">
      <c r="A14" s="17"/>
      <c r="B14" s="215"/>
      <c r="C14" s="215"/>
      <c r="D14" s="215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2"/>
    </row>
    <row r="15" spans="1:50" ht="25.5" x14ac:dyDescent="0.3">
      <c r="A15" s="17"/>
      <c r="B15" s="403" t="s">
        <v>232</v>
      </c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3"/>
      <c r="AN15" s="403"/>
      <c r="AO15" s="403"/>
      <c r="AP15" s="403"/>
      <c r="AQ15" s="403"/>
      <c r="AR15" s="403"/>
      <c r="AS15" s="403"/>
      <c r="AT15" s="403"/>
      <c r="AU15" s="403"/>
    </row>
    <row r="16" spans="1:50" ht="11.45" customHeight="1" thickBot="1" x14ac:dyDescent="0.35">
      <c r="A16" s="17"/>
      <c r="B16" s="404"/>
      <c r="C16" s="404"/>
      <c r="D16" s="404"/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404"/>
      <c r="R16" s="404"/>
      <c r="S16" s="404"/>
      <c r="T16" s="404"/>
      <c r="U16" s="404"/>
      <c r="V16" s="404"/>
      <c r="W16" s="404"/>
      <c r="X16" s="404"/>
      <c r="Y16" s="404"/>
      <c r="Z16" s="404"/>
      <c r="AA16" s="404"/>
      <c r="AB16" s="404"/>
      <c r="AC16" s="404"/>
      <c r="AD16" s="404"/>
      <c r="AE16" s="404"/>
      <c r="AF16" s="404"/>
      <c r="AG16" s="404"/>
      <c r="AH16" s="404"/>
      <c r="AI16" s="404"/>
      <c r="AJ16" s="404"/>
      <c r="AK16" s="404"/>
      <c r="AL16" s="404"/>
      <c r="AM16" s="404"/>
      <c r="AN16" s="404"/>
      <c r="AO16" s="404"/>
      <c r="AP16" s="404"/>
      <c r="AQ16" s="404"/>
      <c r="AR16" s="404"/>
      <c r="AS16" s="404"/>
      <c r="AT16" s="404"/>
      <c r="AU16" s="404"/>
    </row>
    <row r="17" spans="1:47" ht="19.899999999999999" customHeight="1" thickBot="1" x14ac:dyDescent="0.35">
      <c r="A17" s="17"/>
      <c r="B17" s="338" t="s">
        <v>198</v>
      </c>
      <c r="C17" s="338"/>
      <c r="D17" s="338"/>
      <c r="E17" s="338"/>
      <c r="F17" s="18"/>
      <c r="G17" s="109"/>
      <c r="H17" s="406" t="str">
        <f>SIMULADOR!I3</f>
        <v>2ARRECIFE_3</v>
      </c>
      <c r="I17" s="407"/>
      <c r="J17" s="407"/>
      <c r="K17" s="407"/>
      <c r="L17" s="407"/>
      <c r="M17" s="407"/>
      <c r="N17" s="407"/>
      <c r="O17" s="408"/>
      <c r="P17" s="132"/>
      <c r="Q17" s="132"/>
      <c r="R17" s="17"/>
      <c r="S17" s="17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9"/>
      <c r="AU17" s="20"/>
    </row>
    <row r="18" spans="1:47" ht="19.899999999999999" customHeight="1" x14ac:dyDescent="0.3">
      <c r="A18" s="17"/>
      <c r="B18" s="117"/>
      <c r="C18" s="117"/>
      <c r="D18" s="117"/>
      <c r="E18" s="117"/>
      <c r="F18" s="18"/>
      <c r="G18" s="109"/>
      <c r="H18" s="209"/>
      <c r="I18" s="209"/>
      <c r="J18" s="209"/>
      <c r="K18" s="209"/>
      <c r="L18" s="209"/>
      <c r="M18" s="209"/>
      <c r="N18" s="209"/>
      <c r="O18" s="209"/>
      <c r="P18" s="132"/>
      <c r="Q18" s="132"/>
      <c r="R18" s="17"/>
      <c r="S18" s="17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9"/>
      <c r="AU18" s="20"/>
    </row>
    <row r="19" spans="1:47" s="17" customFormat="1" ht="24.6" customHeight="1" thickBot="1" x14ac:dyDescent="0.35">
      <c r="B19" s="117"/>
      <c r="C19" s="117"/>
      <c r="D19" s="117"/>
      <c r="E19" s="117"/>
      <c r="F19" s="18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402"/>
      <c r="AM19" s="402"/>
      <c r="AN19" s="402"/>
      <c r="AO19" s="402"/>
      <c r="AP19" s="402"/>
      <c r="AQ19" s="402"/>
      <c r="AR19" s="402"/>
      <c r="AS19" s="402"/>
      <c r="AT19" s="402"/>
      <c r="AU19" s="20"/>
    </row>
    <row r="20" spans="1:47" ht="24.6" customHeight="1" thickBot="1" x14ac:dyDescent="0.35">
      <c r="A20" s="17"/>
      <c r="B20" s="117" t="s">
        <v>35</v>
      </c>
      <c r="C20" s="409">
        <f>SIMULADOR!D9</f>
        <v>128</v>
      </c>
      <c r="D20" s="409"/>
      <c r="E20" s="409"/>
      <c r="F20" s="409"/>
      <c r="G20" s="409"/>
      <c r="H20" s="409"/>
      <c r="I20" s="409"/>
      <c r="J20" s="409"/>
      <c r="K20" s="409"/>
      <c r="L20" s="110"/>
      <c r="M20" s="410" t="s">
        <v>236</v>
      </c>
      <c r="N20" s="410"/>
      <c r="O20" s="410"/>
      <c r="P20" s="410"/>
      <c r="Q20" s="114"/>
      <c r="R20" s="114"/>
      <c r="S20" s="114"/>
      <c r="T20" s="114"/>
      <c r="U20" s="340">
        <f>SIMULADOR!I15</f>
        <v>714240</v>
      </c>
      <c r="V20" s="341"/>
      <c r="W20" s="341"/>
      <c r="X20" s="341"/>
      <c r="Y20" s="341"/>
      <c r="Z20" s="341"/>
      <c r="AA20" s="342"/>
      <c r="AB20" s="115"/>
      <c r="AC20" s="115"/>
      <c r="AD20" s="338" t="s">
        <v>94</v>
      </c>
      <c r="AE20" s="338"/>
      <c r="AF20" s="338"/>
      <c r="AG20" s="338"/>
      <c r="AH20" s="338"/>
      <c r="AI20" s="338"/>
      <c r="AJ20" s="338"/>
      <c r="AK20" s="17"/>
      <c r="AL20" s="411">
        <v>44956</v>
      </c>
      <c r="AM20" s="412"/>
      <c r="AN20" s="412"/>
      <c r="AO20" s="412"/>
      <c r="AP20" s="412"/>
      <c r="AQ20" s="412"/>
      <c r="AR20" s="412"/>
      <c r="AS20" s="412"/>
      <c r="AT20" s="413"/>
      <c r="AU20" s="122"/>
    </row>
    <row r="21" spans="1:47" ht="24.6" customHeight="1" thickBot="1" x14ac:dyDescent="0.35">
      <c r="A21" s="17"/>
      <c r="B21" s="117" t="s">
        <v>108</v>
      </c>
      <c r="C21" s="405" t="str">
        <f>SIMULADOR!D10</f>
        <v>PREMIUM</v>
      </c>
      <c r="D21" s="405"/>
      <c r="E21" s="405"/>
      <c r="F21" s="405"/>
      <c r="G21" s="405"/>
      <c r="H21" s="405"/>
      <c r="I21" s="405"/>
      <c r="J21" s="405"/>
      <c r="K21" s="405"/>
      <c r="L21" s="112"/>
      <c r="M21" s="338" t="s">
        <v>36</v>
      </c>
      <c r="N21" s="338"/>
      <c r="O21" s="338"/>
      <c r="P21" s="338"/>
      <c r="Q21" s="112"/>
      <c r="R21" s="118"/>
      <c r="S21" s="17"/>
      <c r="T21" s="22"/>
      <c r="U21" s="17"/>
      <c r="V21" s="401">
        <f>SIMULADOR!D18</f>
        <v>20</v>
      </c>
      <c r="W21" s="401"/>
      <c r="X21" s="401"/>
      <c r="Y21" s="401"/>
      <c r="Z21" s="401"/>
      <c r="AA21" s="401"/>
      <c r="AK21" s="17"/>
      <c r="AU21" s="122"/>
    </row>
    <row r="22" spans="1:47" ht="24.6" customHeight="1" thickBot="1" x14ac:dyDescent="0.35">
      <c r="A22" s="17"/>
      <c r="B22" s="117" t="s">
        <v>224</v>
      </c>
      <c r="C22" s="17"/>
      <c r="D22" s="139"/>
      <c r="E22" s="139"/>
      <c r="F22" s="139"/>
      <c r="G22" s="139"/>
      <c r="H22" s="336">
        <f>SIMULADOR!D11</f>
        <v>6200</v>
      </c>
      <c r="I22" s="336"/>
      <c r="J22" s="336"/>
      <c r="K22" s="336"/>
      <c r="L22" s="110"/>
      <c r="M22" s="338" t="s">
        <v>220</v>
      </c>
      <c r="N22" s="338"/>
      <c r="O22" s="338"/>
      <c r="P22" s="338"/>
      <c r="Q22" s="376">
        <f>SIMULADOR!D19/12</f>
        <v>4</v>
      </c>
      <c r="R22" s="376"/>
      <c r="S22" s="376"/>
      <c r="T22" s="376"/>
      <c r="U22" s="117"/>
      <c r="V22" s="377">
        <v>0</v>
      </c>
      <c r="W22" s="377"/>
      <c r="X22" s="377"/>
      <c r="Y22" s="377"/>
      <c r="Z22" s="377"/>
      <c r="AA22" s="377"/>
      <c r="AD22" s="385" t="s">
        <v>204</v>
      </c>
      <c r="AE22" s="385"/>
      <c r="AF22" s="385"/>
      <c r="AG22" s="385"/>
      <c r="AH22" s="385"/>
      <c r="AI22" s="385"/>
      <c r="AJ22" s="385"/>
      <c r="AK22" s="47"/>
      <c r="AL22" s="343">
        <f>VLOOKUP(AL23,SIMULADOR!B55:J103,2)</f>
        <v>46058</v>
      </c>
      <c r="AM22" s="344"/>
      <c r="AN22" s="344"/>
      <c r="AO22" s="344"/>
      <c r="AP22" s="344"/>
      <c r="AQ22" s="344"/>
      <c r="AR22" s="344"/>
      <c r="AS22" s="344"/>
      <c r="AT22" s="345"/>
      <c r="AU22" s="122"/>
    </row>
    <row r="23" spans="1:47" ht="24.6" customHeight="1" thickBot="1" x14ac:dyDescent="0.35">
      <c r="A23" s="17"/>
      <c r="B23" s="338" t="s">
        <v>199</v>
      </c>
      <c r="C23" s="338"/>
      <c r="D23" s="338"/>
      <c r="E23" s="338"/>
      <c r="F23" s="375">
        <f>SIMULADOR!J8</f>
        <v>0</v>
      </c>
      <c r="G23" s="375"/>
      <c r="H23" s="375"/>
      <c r="I23" s="375"/>
      <c r="J23" s="375"/>
      <c r="K23" s="375"/>
      <c r="L23" s="113"/>
      <c r="M23" s="338" t="s">
        <v>221</v>
      </c>
      <c r="N23" s="338"/>
      <c r="O23" s="338"/>
      <c r="P23" s="338"/>
      <c r="Q23" s="376">
        <f>SIMULADOR!D20/12</f>
        <v>6</v>
      </c>
      <c r="R23" s="376"/>
      <c r="S23" s="376"/>
      <c r="T23" s="376"/>
      <c r="U23" s="214"/>
      <c r="V23" s="377">
        <v>0.01</v>
      </c>
      <c r="W23" s="377"/>
      <c r="X23" s="377"/>
      <c r="Y23" s="377"/>
      <c r="Z23" s="377"/>
      <c r="AA23" s="377"/>
      <c r="AB23" s="115"/>
      <c r="AC23" s="47"/>
      <c r="AD23" s="385" t="s">
        <v>135</v>
      </c>
      <c r="AE23" s="385"/>
      <c r="AF23" s="385"/>
      <c r="AG23" s="385"/>
      <c r="AH23" s="385"/>
      <c r="AI23" s="385"/>
      <c r="AJ23" s="385"/>
      <c r="AK23" s="17"/>
      <c r="AL23" s="378">
        <f>IF(SIMULADOR!E3="ESTEPA",18,IF(SIMULADOR!E3="DESIERTO",13,IF(SIMULADOR!E3="TAIGA",15,IF(SIMULADOR!E3="PARAMO",18,IF(SIMULADOR!E3="SELVA",24,IF(SIMULADOR!E3="BOSQUE",24,IF(SIMULADOR!E3="LOMAS",36,IF(SIMULADOR!D7="LAGO_1",28,IF(SIMULADOR!D7="LAGO_2",36,IF(SIMULADOR!E3="MANGLAR",36,IF(SIMULADOR!E3="AMATISTA",36,IF(SIMULADOR!E3="ZAFIRO",36,IF(SIMULADOR!E3="MALAQUITA",36,IF(SIMULADOR!E3="ARRECIFE",36,0))))))))))))))</f>
        <v>36</v>
      </c>
      <c r="AM23" s="379"/>
      <c r="AN23" s="379"/>
      <c r="AO23" s="379"/>
      <c r="AP23" s="379"/>
      <c r="AQ23" s="379"/>
      <c r="AR23" s="379"/>
      <c r="AS23" s="379"/>
      <c r="AT23" s="380"/>
      <c r="AU23" s="122"/>
    </row>
    <row r="24" spans="1:47" ht="24.6" customHeight="1" thickBot="1" x14ac:dyDescent="0.35">
      <c r="A24" s="17"/>
      <c r="B24" s="117" t="s">
        <v>200</v>
      </c>
      <c r="C24" s="17"/>
      <c r="D24" s="17"/>
      <c r="E24" s="17"/>
      <c r="F24" s="17"/>
      <c r="G24" s="381">
        <f>SIMULADOR!D12</f>
        <v>6200</v>
      </c>
      <c r="H24" s="382"/>
      <c r="I24" s="382"/>
      <c r="J24" s="382"/>
      <c r="K24" s="383"/>
      <c r="L24" s="111"/>
      <c r="M24" s="338" t="s">
        <v>221</v>
      </c>
      <c r="N24" s="338"/>
      <c r="O24" s="338"/>
      <c r="P24" s="338"/>
      <c r="Q24" s="376">
        <f>SIMULADOR!D21/12</f>
        <v>10</v>
      </c>
      <c r="R24" s="376"/>
      <c r="S24" s="376"/>
      <c r="T24" s="376"/>
      <c r="U24" s="143"/>
      <c r="V24" s="384">
        <v>1.2500000000000001E-2</v>
      </c>
      <c r="W24" s="384"/>
      <c r="X24" s="384"/>
      <c r="Y24" s="384"/>
      <c r="Z24" s="384"/>
      <c r="AA24" s="384"/>
      <c r="AB24" s="115"/>
      <c r="AC24" s="115"/>
      <c r="AK24" s="47"/>
      <c r="AU24" s="12"/>
    </row>
    <row r="25" spans="1:47" ht="24.6" customHeight="1" thickBot="1" x14ac:dyDescent="0.35">
      <c r="A25" s="17"/>
      <c r="B25" s="117" t="s">
        <v>201</v>
      </c>
      <c r="C25" s="111"/>
      <c r="D25" s="111"/>
      <c r="E25" s="111"/>
      <c r="F25" s="111"/>
      <c r="G25" s="139"/>
      <c r="H25" s="336">
        <f>SIMULADOR!I10</f>
        <v>79360</v>
      </c>
      <c r="I25" s="336"/>
      <c r="J25" s="336"/>
      <c r="K25" s="336"/>
      <c r="L25" s="111"/>
      <c r="M25" s="17"/>
      <c r="N25" s="17"/>
      <c r="O25" s="17"/>
      <c r="P25" s="17"/>
      <c r="Q25" s="17"/>
      <c r="R25" s="17"/>
      <c r="S25" s="17"/>
      <c r="T25" s="17"/>
      <c r="U25" s="214"/>
      <c r="V25" s="214"/>
      <c r="W25" s="214"/>
      <c r="X25" s="214"/>
      <c r="Y25" s="214"/>
      <c r="Z25" s="214"/>
      <c r="AA25" s="214"/>
      <c r="AB25" s="115"/>
      <c r="AC25" s="115"/>
      <c r="AE25" s="325" t="str">
        <f>SIMULADOR!H29</f>
        <v>N/A</v>
      </c>
      <c r="AF25" s="326"/>
      <c r="AG25" s="326"/>
      <c r="AH25" s="326"/>
      <c r="AI25" s="326"/>
      <c r="AJ25" s="326"/>
      <c r="AK25" s="326"/>
      <c r="AL25" s="327"/>
      <c r="AU25" s="12"/>
    </row>
    <row r="26" spans="1:47" ht="24.6" customHeight="1" thickBot="1" x14ac:dyDescent="0.35">
      <c r="A26" s="17"/>
      <c r="B26" s="117" t="s">
        <v>202</v>
      </c>
      <c r="C26" s="111"/>
      <c r="D26" s="111"/>
      <c r="E26" s="111"/>
      <c r="F26" s="111"/>
      <c r="G26" s="139"/>
      <c r="H26" s="337">
        <f>SIMULADOR!I11</f>
        <v>0</v>
      </c>
      <c r="I26" s="337"/>
      <c r="J26" s="337"/>
      <c r="K26" s="337"/>
      <c r="L26" s="111"/>
      <c r="M26" s="328" t="s">
        <v>240</v>
      </c>
      <c r="N26" s="328"/>
      <c r="O26" s="328"/>
      <c r="P26" s="328"/>
      <c r="Q26" s="328"/>
      <c r="R26" s="328"/>
      <c r="S26" s="137"/>
      <c r="T26" s="137"/>
      <c r="U26" s="137"/>
      <c r="V26" s="214"/>
      <c r="X26" s="343">
        <f>SIMULADOR!C56</f>
        <v>44990</v>
      </c>
      <c r="Y26" s="344"/>
      <c r="Z26" s="344"/>
      <c r="AA26" s="345"/>
      <c r="AC26" s="294"/>
      <c r="AD26" s="294"/>
      <c r="AE26" s="294"/>
      <c r="AK26" s="47"/>
      <c r="AU26" s="12"/>
    </row>
    <row r="27" spans="1:47" ht="24.6" customHeight="1" thickBot="1" x14ac:dyDescent="0.35">
      <c r="A27" s="17"/>
      <c r="B27" s="117" t="s">
        <v>203</v>
      </c>
      <c r="C27" s="111"/>
      <c r="D27" s="111"/>
      <c r="E27" s="111"/>
      <c r="F27" s="111"/>
      <c r="G27" s="340">
        <f>SIMULADOR!I13</f>
        <v>79360</v>
      </c>
      <c r="H27" s="341"/>
      <c r="I27" s="341"/>
      <c r="J27" s="341"/>
      <c r="K27" s="342"/>
      <c r="L27" s="111"/>
      <c r="M27" s="280"/>
      <c r="N27" s="280"/>
      <c r="O27" s="280"/>
      <c r="P27" s="280"/>
      <c r="Q27" s="280"/>
      <c r="R27" s="280"/>
      <c r="S27" s="280"/>
      <c r="T27" s="280"/>
      <c r="U27" s="280"/>
      <c r="V27" s="214"/>
      <c r="W27" s="214"/>
      <c r="X27" s="214"/>
      <c r="Y27" s="214"/>
      <c r="Z27" s="214"/>
      <c r="AA27" s="214"/>
      <c r="AB27" s="115"/>
      <c r="AC27" s="115"/>
      <c r="AE27" s="296" t="str">
        <f>SIMULADOR!H31</f>
        <v/>
      </c>
      <c r="AF27" s="297"/>
      <c r="AG27" s="297"/>
      <c r="AH27" s="332" t="str">
        <f>SIMULADOR!I31</f>
        <v/>
      </c>
      <c r="AI27" s="333"/>
      <c r="AJ27" s="333"/>
      <c r="AK27" s="333"/>
      <c r="AM27" s="323" t="e">
        <f>SIMULADOR!J31</f>
        <v>#VALUE!</v>
      </c>
      <c r="AN27" s="324"/>
      <c r="AO27" s="324"/>
      <c r="AP27" s="324"/>
      <c r="AQ27" s="324"/>
      <c r="AR27" s="324"/>
      <c r="AS27" s="324"/>
      <c r="AT27" s="324"/>
      <c r="AU27" s="12"/>
    </row>
    <row r="28" spans="1:47" ht="24.6" customHeight="1" thickBot="1" x14ac:dyDescent="0.35">
      <c r="A28" s="17"/>
      <c r="B28" s="137" t="s">
        <v>54</v>
      </c>
      <c r="C28" s="22"/>
      <c r="D28" s="22"/>
      <c r="E28" s="22"/>
      <c r="F28" s="22"/>
      <c r="G28" s="381">
        <f>SIMULADOR!I14</f>
        <v>793600</v>
      </c>
      <c r="H28" s="382"/>
      <c r="I28" s="382"/>
      <c r="J28" s="382"/>
      <c r="K28" s="383"/>
      <c r="L28" s="22"/>
      <c r="M28" s="338" t="s">
        <v>180</v>
      </c>
      <c r="N28" s="338"/>
      <c r="O28" s="338"/>
      <c r="P28" s="338"/>
      <c r="Q28" s="338"/>
      <c r="R28" s="338"/>
      <c r="S28" s="338"/>
      <c r="T28" s="339">
        <f>SIMULADOR!D19</f>
        <v>48</v>
      </c>
      <c r="U28" s="339"/>
      <c r="V28" s="339"/>
      <c r="W28" s="339"/>
      <c r="X28" s="340">
        <f>SIMULADOR!J19</f>
        <v>2976</v>
      </c>
      <c r="Y28" s="341"/>
      <c r="Z28" s="341"/>
      <c r="AA28" s="342"/>
      <c r="AB28" s="116"/>
      <c r="AC28" s="116"/>
      <c r="AE28" s="296" t="str">
        <f>SIMULADOR!H32</f>
        <v/>
      </c>
      <c r="AF28" s="297"/>
      <c r="AG28" s="297"/>
      <c r="AH28" s="332" t="str">
        <f>SIMULADOR!I32</f>
        <v/>
      </c>
      <c r="AI28" s="333"/>
      <c r="AJ28" s="333"/>
      <c r="AK28" s="333"/>
      <c r="AM28" s="323" t="e">
        <f>SIMULADOR!J32</f>
        <v>#VALUE!</v>
      </c>
      <c r="AN28" s="324"/>
      <c r="AO28" s="324"/>
      <c r="AP28" s="324"/>
      <c r="AQ28" s="324"/>
      <c r="AR28" s="324"/>
      <c r="AS28" s="324"/>
      <c r="AT28" s="324"/>
      <c r="AU28" s="12"/>
    </row>
    <row r="29" spans="1:47" ht="24.6" customHeight="1" thickBot="1" x14ac:dyDescent="0.35">
      <c r="A29" s="17"/>
      <c r="C29" s="22"/>
      <c r="D29" s="22"/>
      <c r="E29" s="22"/>
      <c r="F29" s="22"/>
      <c r="L29" s="22"/>
      <c r="M29" s="338" t="s">
        <v>179</v>
      </c>
      <c r="N29" s="338"/>
      <c r="O29" s="338"/>
      <c r="P29" s="338"/>
      <c r="Q29" s="338"/>
      <c r="R29" s="338"/>
      <c r="S29" s="338"/>
      <c r="T29" s="339">
        <f>SIMULADOR!D20</f>
        <v>72</v>
      </c>
      <c r="U29" s="339"/>
      <c r="V29" s="339"/>
      <c r="W29" s="339"/>
      <c r="X29" s="340">
        <f>SIMULADOR!J20</f>
        <v>6706.5714720692931</v>
      </c>
      <c r="Y29" s="341"/>
      <c r="Z29" s="341"/>
      <c r="AA29" s="342"/>
      <c r="AB29" s="22"/>
      <c r="AC29" s="21"/>
      <c r="AD29" s="17"/>
      <c r="AE29" s="296" t="str">
        <f>SIMULADOR!H33</f>
        <v/>
      </c>
      <c r="AF29" s="134"/>
      <c r="AG29" s="134"/>
      <c r="AH29" s="334" t="str">
        <f>SIMULADOR!I33</f>
        <v/>
      </c>
      <c r="AI29" s="335"/>
      <c r="AJ29" s="335"/>
      <c r="AK29" s="335"/>
      <c r="AL29" s="17"/>
      <c r="AM29" s="323" t="e">
        <f>SIMULADOR!J33</f>
        <v>#VALUE!</v>
      </c>
      <c r="AN29" s="324"/>
      <c r="AO29" s="324"/>
      <c r="AP29" s="324"/>
      <c r="AQ29" s="324"/>
      <c r="AR29" s="324"/>
      <c r="AS29" s="324"/>
      <c r="AT29" s="324"/>
      <c r="AU29" s="12"/>
    </row>
    <row r="30" spans="1:47" ht="24.6" customHeight="1" thickBot="1" x14ac:dyDescent="0.35">
      <c r="B30" s="328" t="s">
        <v>93</v>
      </c>
      <c r="C30" s="328"/>
      <c r="D30" s="328"/>
      <c r="E30" s="328"/>
      <c r="F30" s="137"/>
      <c r="G30" s="329">
        <f>IF(SIMULADOR!D6="PBB",30%,IF(SIMULADOR!D6="PBC",20%,IF(SIMULADOR!D6="LPBC",35%,)))</f>
        <v>0.2</v>
      </c>
      <c r="H30" s="330"/>
      <c r="I30" s="330"/>
      <c r="J30" s="330"/>
      <c r="K30" s="331"/>
      <c r="L30" s="17"/>
      <c r="M30" s="338" t="s">
        <v>179</v>
      </c>
      <c r="N30" s="338"/>
      <c r="O30" s="338"/>
      <c r="P30" s="338"/>
      <c r="Q30" s="338"/>
      <c r="R30" s="338"/>
      <c r="S30" s="338"/>
      <c r="T30" s="339">
        <f>SIMULADOR!D21</f>
        <v>120</v>
      </c>
      <c r="U30" s="339"/>
      <c r="V30" s="339"/>
      <c r="W30" s="339"/>
      <c r="X30" s="340">
        <f>SIMULADOR!J21</f>
        <v>7541.6272953459866</v>
      </c>
      <c r="Y30" s="341"/>
      <c r="Z30" s="341"/>
      <c r="AA30" s="342"/>
      <c r="AB30" s="22"/>
      <c r="AC30" s="21"/>
      <c r="AD30" s="17"/>
      <c r="AE30" s="296" t="str">
        <f>SIMULADOR!H34</f>
        <v/>
      </c>
      <c r="AF30" s="134"/>
      <c r="AG30" s="134"/>
      <c r="AH30" s="334" t="str">
        <f>SIMULADOR!I34</f>
        <v/>
      </c>
      <c r="AI30" s="335"/>
      <c r="AJ30" s="335"/>
      <c r="AK30" s="335"/>
      <c r="AL30" s="17"/>
      <c r="AM30" s="323" t="e">
        <f>SIMULADOR!J34</f>
        <v>#VALUE!</v>
      </c>
      <c r="AN30" s="324"/>
      <c r="AO30" s="324"/>
      <c r="AP30" s="324"/>
      <c r="AQ30" s="324"/>
      <c r="AR30" s="324"/>
      <c r="AS30" s="324"/>
      <c r="AT30" s="324"/>
      <c r="AU30" s="12"/>
    </row>
    <row r="31" spans="1:47" ht="28.9" customHeight="1" x14ac:dyDescent="0.3">
      <c r="A31" s="17"/>
      <c r="B31" s="117"/>
      <c r="C31" s="133"/>
      <c r="E31" s="295"/>
      <c r="F31" s="295"/>
      <c r="G31" s="295"/>
      <c r="H31" s="295"/>
      <c r="I31" s="295"/>
      <c r="J31" s="295"/>
      <c r="K31" s="295"/>
      <c r="L31" s="295"/>
      <c r="M31" s="117"/>
      <c r="N31" s="117"/>
      <c r="O31" s="117"/>
      <c r="P31" s="117"/>
      <c r="Q31" s="117"/>
      <c r="R31" s="117"/>
      <c r="S31" s="117"/>
      <c r="T31" s="135"/>
      <c r="U31" s="135"/>
      <c r="V31" s="135"/>
      <c r="W31" s="135"/>
      <c r="X31" s="138"/>
      <c r="Y31" s="138"/>
      <c r="Z31" s="138"/>
      <c r="AA31" s="138"/>
      <c r="AB31" s="134"/>
      <c r="AC31" s="136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12"/>
    </row>
    <row r="32" spans="1:47" ht="28.9" customHeight="1" thickBot="1" x14ac:dyDescent="0.35">
      <c r="A32" s="119"/>
      <c r="B32" s="397" t="s">
        <v>196</v>
      </c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7"/>
      <c r="AG32" s="397"/>
      <c r="AH32" s="397"/>
      <c r="AI32" s="397"/>
      <c r="AJ32" s="397"/>
      <c r="AK32" s="397"/>
      <c r="AL32" s="397"/>
      <c r="AM32" s="397"/>
      <c r="AN32" s="397"/>
      <c r="AO32" s="397"/>
      <c r="AP32" s="397"/>
      <c r="AQ32" s="397"/>
      <c r="AR32" s="397"/>
      <c r="AS32" s="397"/>
      <c r="AT32" s="397"/>
      <c r="AU32" s="397"/>
    </row>
    <row r="33" spans="2:48" ht="28.9" customHeight="1" thickBot="1" x14ac:dyDescent="0.35">
      <c r="B33" s="398" t="str">
        <f>SIMULADOR!B41</f>
        <v>PROMOCIONES TRIMESTRALES (MARZO, ABRIL Y MAYO 2023)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  <c r="AI33" s="399"/>
      <c r="AJ33" s="399"/>
      <c r="AK33" s="399"/>
      <c r="AL33" s="399"/>
      <c r="AM33" s="399"/>
      <c r="AN33" s="399"/>
      <c r="AO33" s="399"/>
      <c r="AP33" s="399"/>
      <c r="AQ33" s="399"/>
      <c r="AR33" s="399"/>
      <c r="AS33" s="399"/>
      <c r="AT33" s="399"/>
      <c r="AU33" s="400"/>
    </row>
    <row r="34" spans="2:48" ht="14.25" customHeight="1" thickBot="1" x14ac:dyDescent="0.3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17"/>
      <c r="M34" s="17"/>
      <c r="N34" s="17"/>
      <c r="O34" s="17"/>
      <c r="P34" s="17"/>
      <c r="Q34" s="393"/>
      <c r="R34" s="393"/>
      <c r="S34" s="393"/>
      <c r="T34" s="393"/>
      <c r="U34" s="393"/>
      <c r="V34" s="22"/>
      <c r="W34" s="22"/>
      <c r="X34" s="22"/>
      <c r="Y34" s="22"/>
      <c r="Z34" s="22"/>
      <c r="AA34" s="254"/>
      <c r="AB34" s="22"/>
      <c r="AC34" s="21"/>
      <c r="AD34" s="22"/>
      <c r="AE34" s="17"/>
      <c r="AF34" s="22"/>
      <c r="AG34" s="22"/>
      <c r="AH34" s="22"/>
      <c r="AI34" s="22"/>
      <c r="AJ34" s="22"/>
      <c r="AK34" s="22"/>
      <c r="AL34" s="22"/>
      <c r="AM34" s="22"/>
      <c r="AN34" s="17"/>
      <c r="AO34" s="17"/>
      <c r="AP34" s="17"/>
      <c r="AQ34" s="22"/>
      <c r="AR34" s="22"/>
      <c r="AS34" s="22"/>
      <c r="AT34" s="21"/>
      <c r="AU34" s="22"/>
      <c r="AV34" s="17"/>
    </row>
    <row r="35" spans="2:48" ht="26.25" thickBot="1" x14ac:dyDescent="0.35">
      <c r="B35" s="390" t="s">
        <v>231</v>
      </c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391"/>
      <c r="AB35" s="391"/>
      <c r="AC35" s="391"/>
      <c r="AD35" s="391"/>
      <c r="AE35" s="391"/>
      <c r="AF35" s="391"/>
      <c r="AG35" s="391"/>
      <c r="AH35" s="391"/>
      <c r="AI35" s="391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2"/>
      <c r="AV35" s="17"/>
    </row>
    <row r="36" spans="2:48" ht="27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2:48" ht="27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2:48" ht="27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2:48" ht="27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2:48" ht="27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2:48" ht="27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2:48" ht="27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2:48" ht="27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2:48" ht="27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2:48" ht="27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2:48" ht="27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2:48" ht="27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2:48" ht="27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2:47" ht="27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2:47" ht="27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</row>
    <row r="51" spans="2:47" ht="27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</row>
    <row r="52" spans="2:47" ht="27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2:47" ht="27" customHeight="1" x14ac:dyDescent="0.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</row>
    <row r="54" spans="2:47" ht="27" customHeight="1" x14ac:dyDescent="0.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2:47" ht="27" customHeight="1" x14ac:dyDescent="0.3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2:47" ht="27" customHeight="1" x14ac:dyDescent="0.3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2:47" ht="27" customHeight="1" x14ac:dyDescent="0.3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2:47" ht="27" customHeight="1" x14ac:dyDescent="0.3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2:47" ht="27" customHeight="1" x14ac:dyDescent="0.3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2:47" ht="27" customHeight="1" x14ac:dyDescent="0.3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</row>
    <row r="61" spans="2:47" ht="27" customHeight="1" x14ac:dyDescent="0.3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2:47" ht="27" customHeight="1" x14ac:dyDescent="0.3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</row>
    <row r="63" spans="2:47" ht="27" customHeight="1" x14ac:dyDescent="0.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</row>
    <row r="64" spans="2:47" ht="27" customHeight="1" x14ac:dyDescent="0.3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2:47" ht="27" customHeight="1" x14ac:dyDescent="0.3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2:47" ht="27" customHeight="1" x14ac:dyDescent="0.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</row>
    <row r="67" spans="2:47" ht="44.25" customHeight="1" x14ac:dyDescent="0.3">
      <c r="C67" s="95"/>
      <c r="D67" s="95"/>
      <c r="E67" s="9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4"/>
    </row>
    <row r="68" spans="2:47" ht="21.75" customHeight="1" x14ac:dyDescent="0.3"/>
    <row r="69" spans="2:47" x14ac:dyDescent="0.3"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2:47" ht="22.5" customHeight="1" x14ac:dyDescent="0.3"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</row>
    <row r="71" spans="2:47" ht="17.25" thickBot="1" x14ac:dyDescent="0.35"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</row>
    <row r="72" spans="2:47" ht="60" customHeight="1" x14ac:dyDescent="0.3">
      <c r="P72" s="386" t="s">
        <v>233</v>
      </c>
      <c r="Q72" s="386"/>
      <c r="R72" s="386"/>
      <c r="S72" s="386"/>
      <c r="T72" s="386"/>
      <c r="U72" s="386"/>
      <c r="V72" s="386"/>
      <c r="W72" s="386"/>
      <c r="X72" s="386"/>
      <c r="Y72" s="386"/>
      <c r="Z72" s="386"/>
      <c r="AA72" s="386"/>
    </row>
    <row r="73" spans="2:47" x14ac:dyDescent="0.3">
      <c r="AE73" s="120"/>
    </row>
  </sheetData>
  <sheetProtection algorithmName="SHA-512" hashValue="n8Ag3QNSk1wFjpDibju+kGSjo4+UlhiQFGco2tXCaP0TTITE/Bt295pTlpSvxud97piWFz8GdXiD1ho/NOPA+Q==" saltValue="mg6J+QXho0jY6ate/CA6/Q==" spinCount="100000" sheet="1" formatCells="0" formatColumns="0" formatRows="0" insertColumns="0" insertRows="0" sort="0" autoFilter="0" pivotTables="0"/>
  <protectedRanges>
    <protectedRange algorithmName="SHA-512" hashValue="zawoY2wFe8bprKxNA8rmkOvMOtfz5gVMmrBHJHhJv4K4M3eHJyy5xt6cYiGw3g5O83s1Mlh/m5VLAfdImdAnPQ==" saltValue="l55jfBri8LUUreIv4fWyYw==" spinCount="100000" sqref="AL69:AU70 AL32:AU32 AA32 I32 AB70:AK70 AA34 B32:H34 AB32:AK34 AL34:AU34 P33:P34 Q32:Z34 I34 J32:O34 A68:AU68 A71:AU72 A69:Z70 B5:R6 P7:R8 B14:J14 B9:J12 L9:R12 L14:R14 P13:R13 AB7:AB8 A5:A14 S5:AA14 AC11:AE12 AB11:AB14 AD7:AE8 AH7:AU8 AB5:AU6 AH11:AU14 AC13:AG14 A32:A67 B35:AU67" name="Rango1"/>
  </protectedRanges>
  <mergeCells count="76">
    <mergeCell ref="B15:AU15"/>
    <mergeCell ref="B16:AU16"/>
    <mergeCell ref="B17:E17"/>
    <mergeCell ref="C21:K21"/>
    <mergeCell ref="M21:P21"/>
    <mergeCell ref="H17:O17"/>
    <mergeCell ref="C20:K20"/>
    <mergeCell ref="M20:P20"/>
    <mergeCell ref="U20:AA20"/>
    <mergeCell ref="AD20:AJ20"/>
    <mergeCell ref="AL20:AT20"/>
    <mergeCell ref="M30:S30"/>
    <mergeCell ref="T30:W30"/>
    <mergeCell ref="X30:AA30"/>
    <mergeCell ref="P72:AA72"/>
    <mergeCell ref="B9:G9"/>
    <mergeCell ref="B13:G13"/>
    <mergeCell ref="H13:O13"/>
    <mergeCell ref="B35:AU35"/>
    <mergeCell ref="Q34:U34"/>
    <mergeCell ref="B11:G11"/>
    <mergeCell ref="AC11:AD11"/>
    <mergeCell ref="B32:AU32"/>
    <mergeCell ref="B33:AU33"/>
    <mergeCell ref="V21:AA21"/>
    <mergeCell ref="AL19:AT19"/>
    <mergeCell ref="V22:AA22"/>
    <mergeCell ref="AM28:AT28"/>
    <mergeCell ref="G27:K27"/>
    <mergeCell ref="M29:S29"/>
    <mergeCell ref="T29:W29"/>
    <mergeCell ref="X29:AA29"/>
    <mergeCell ref="G28:K28"/>
    <mergeCell ref="AM29:AT29"/>
    <mergeCell ref="G24:K24"/>
    <mergeCell ref="M24:P24"/>
    <mergeCell ref="Q24:T24"/>
    <mergeCell ref="V24:AA24"/>
    <mergeCell ref="AD22:AJ22"/>
    <mergeCell ref="AD23:AJ23"/>
    <mergeCell ref="H22:K22"/>
    <mergeCell ref="M22:P22"/>
    <mergeCell ref="Q22:T22"/>
    <mergeCell ref="AL22:AT22"/>
    <mergeCell ref="B23:E23"/>
    <mergeCell ref="F23:K23"/>
    <mergeCell ref="M23:P23"/>
    <mergeCell ref="Q23:T23"/>
    <mergeCell ref="V23:AA23"/>
    <mergeCell ref="AL23:AT23"/>
    <mergeCell ref="V2:AU2"/>
    <mergeCell ref="AB7:AD7"/>
    <mergeCell ref="AE7:AU9"/>
    <mergeCell ref="AE11:AU11"/>
    <mergeCell ref="H11:Z11"/>
    <mergeCell ref="H9:Z9"/>
    <mergeCell ref="AR3:AT3"/>
    <mergeCell ref="B5:AU5"/>
    <mergeCell ref="B7:G7"/>
    <mergeCell ref="H7:O7"/>
    <mergeCell ref="AM30:AT30"/>
    <mergeCell ref="AE25:AL25"/>
    <mergeCell ref="B30:E30"/>
    <mergeCell ref="G30:K30"/>
    <mergeCell ref="AH27:AK27"/>
    <mergeCell ref="AH28:AK28"/>
    <mergeCell ref="AH29:AK29"/>
    <mergeCell ref="AH30:AK30"/>
    <mergeCell ref="H25:K25"/>
    <mergeCell ref="H26:K26"/>
    <mergeCell ref="M28:S28"/>
    <mergeCell ref="T28:W28"/>
    <mergeCell ref="X28:AA28"/>
    <mergeCell ref="M26:R26"/>
    <mergeCell ref="X26:AA26"/>
    <mergeCell ref="AM27:AT27"/>
  </mergeCells>
  <conditionalFormatting sqref="H9:Z9">
    <cfRule type="containsText" dxfId="141" priority="7" operator="containsText" text="0">
      <formula>NOT(ISERROR(SEARCH("0",H9)))</formula>
    </cfRule>
  </conditionalFormatting>
  <conditionalFormatting sqref="H11:Z11">
    <cfRule type="containsText" dxfId="140" priority="1" operator="containsText" text="0">
      <formula>NOT(ISERROR(SEARCH("0",H11)))</formula>
    </cfRule>
  </conditionalFormatting>
  <conditionalFormatting sqref="X28:AA30">
    <cfRule type="containsErrors" dxfId="139" priority="13">
      <formula>ISERROR(X28)</formula>
    </cfRule>
  </conditionalFormatting>
  <conditionalFormatting sqref="AM27:AT30">
    <cfRule type="containsErrors" dxfId="138" priority="4">
      <formula>ISERROR(AM27)</formula>
    </cfRule>
  </conditionalFormatting>
  <dataValidations count="5">
    <dataValidation allowBlank="1" showInputMessage="1" showErrorMessage="1" promptTitle="No modificar_" prompt="Los datos vienen desde simulador." sqref="A32 AU17:AU23 F17:F20 AL22 R17:AA19 AB17:AD20 AE17:AJ19 AL17:AT18 B13 AC24:AC27 AC29:AC31 G17:H19 C20:C21 D22 F23 B17:B24 Q20:Q24 B31:C31 H26:H27 L20:M21 V23:V24 M31 L22:L30 M28:M30 M23:M24 T29:T31 U28 U24 X28:X31 AK23 V21 R21:T21 AK17:AK20 AE26 AB23:AB25 AB27:AB31 B25:G26 G27 B27:B28 C27:F29" xr:uid="{9B088767-6B85-4488-B925-2FE8F7824AC1}"/>
    <dataValidation allowBlank="1" showInputMessage="1" showErrorMessage="1" promptTitle="LLENAR DATOS" prompt="En caso de ser una persona Fisica" sqref="C5:O6 B5:B8 P5:AE8 AF5:AU6" xr:uid="{58E5F381-69B0-4133-A027-66BE7A08F7F6}"/>
    <dataValidation allowBlank="1" showInputMessage="1" showErrorMessage="1" promptTitle="ACUERDOS CON CLIENTE" prompt="*En caso de no tener cubierto el engache establecer una fecha de pago en contrato._x000a_*Anexar todo acuerdo con cliente con previa autorización." sqref="B35:AU35" xr:uid="{FE47637E-D6B4-4D93-A834-51F7460EBBC8}"/>
    <dataValidation allowBlank="1" showInputMessage="1" showErrorMessage="1" promptTitle="INFORMACIÓN DE LA UNIDAD" prompt="Esta información viene del simulador en Automatico." sqref="B15:B16 C15:AU15" xr:uid="{9D55B050-F17D-404C-9456-C38B4143D328}"/>
    <dataValidation allowBlank="1" showInputMessage="1" showErrorMessage="1" promptTitle="Fecha de Apartado" prompt="Poner la Fecha, en que apartarón en Telegram" sqref="AL20" xr:uid="{A53B7DD2-685B-4AE5-AEFE-6DE9B3DDC061}"/>
  </dataValidations>
  <printOptions horizontalCentered="1"/>
  <pageMargins left="0.19685039370078741" right="0.19685039370078741" top="1.3779527559055118" bottom="0.19685039370078741" header="0.31496062992125984" footer="0.31496062992125984"/>
  <pageSetup scale="38" orientation="portrait" r:id="rId1"/>
  <headerFooter scaleWithDoc="0">
    <oddHeader xml:space="preserve">&amp;C&amp;G
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R397"/>
  <sheetViews>
    <sheetView showGridLines="0" tabSelected="1" view="pageBreakPreview" zoomScale="90" zoomScaleNormal="90" zoomScaleSheetLayoutView="90" zoomScalePageLayoutView="70" workbookViewId="0">
      <selection activeCell="D10" sqref="D10"/>
    </sheetView>
  </sheetViews>
  <sheetFormatPr baseColWidth="10" defaultColWidth="14.125" defaultRowHeight="16.5" x14ac:dyDescent="0.3"/>
  <cols>
    <col min="1" max="1" width="6" style="12" customWidth="1"/>
    <col min="2" max="2" width="13.375" style="12" customWidth="1"/>
    <col min="3" max="3" width="15.5" style="12" customWidth="1"/>
    <col min="4" max="4" width="27.75" style="12" customWidth="1"/>
    <col min="5" max="6" width="14.125" style="12"/>
    <col min="7" max="7" width="16.75" style="12" customWidth="1"/>
    <col min="8" max="8" width="24.25" style="12" customWidth="1"/>
    <col min="9" max="9" width="17.875" style="30" customWidth="1"/>
    <col min="10" max="10" width="18.5" style="30" customWidth="1"/>
    <col min="11" max="11" width="5.5" style="27" customWidth="1"/>
    <col min="12" max="12" width="20" style="3" customWidth="1"/>
    <col min="13" max="16384" width="14.125" style="3"/>
  </cols>
  <sheetData>
    <row r="1" spans="1:14" ht="22.5" x14ac:dyDescent="0.3">
      <c r="A1" s="426"/>
      <c r="B1" s="426"/>
      <c r="C1" s="417" t="s">
        <v>0</v>
      </c>
      <c r="D1" s="417"/>
      <c r="E1" s="417"/>
      <c r="F1" s="417"/>
      <c r="G1" s="417"/>
      <c r="H1" s="417"/>
      <c r="I1" s="425" t="s">
        <v>288</v>
      </c>
      <c r="J1" s="425"/>
    </row>
    <row r="2" spans="1:14" ht="18.75" thickBot="1" x14ac:dyDescent="0.35">
      <c r="A2" s="426"/>
      <c r="B2" s="426"/>
      <c r="C2" s="315" t="s">
        <v>113</v>
      </c>
      <c r="D2" s="427"/>
      <c r="E2" s="427"/>
      <c r="F2" s="427"/>
      <c r="G2" s="318"/>
      <c r="H2" s="184" t="s">
        <v>183</v>
      </c>
      <c r="I2" s="418"/>
      <c r="J2" s="418"/>
    </row>
    <row r="3" spans="1:14" ht="21" thickBot="1" x14ac:dyDescent="0.35">
      <c r="A3" s="426"/>
      <c r="B3" s="426"/>
      <c r="C3" s="316" t="s">
        <v>118</v>
      </c>
      <c r="D3" s="36" t="str">
        <f>IF(COUNTIF(E3,"*"&amp;"PORTTO BLANCO CIMATARIO"&amp;"*")=1,"PORTTO BLANCO CIMATARIO",IF(COUNTIF(E3,"*"&amp;"ESTEPA"&amp;"*")=1,"PORTTO BLANCO CIMATARIO",IF(COUNTIF(E3,"*"&amp;"DESIERTO"&amp;"*")=1,"PORTTO BLANCO CIMATARIO",IF(COUNTIF(E3,"*"&amp;"TAIGA"&amp;"*")=1,"PORTTO BLANCO CIMATARIO",IF(COUNTIF(E3,"*"&amp;"PARAMO"&amp;"*")=1,"PORTTO BLANCO CIMATARIO",IF(COUNTIF(E3,"*"&amp;"SELVA"&amp;"*")=1,"PORTTO BLANCO CIMATARIO",IF(COUNTIF(E3,"*"&amp;"BOSQUE"&amp;"*")=1,"PORTTO BLANCO CIMATARIO",IF(COUNTIF(E3,"*"&amp;"LAGO"&amp;"*")=1,"PORTTO BLANCO CIMATARIO",IF(COUNTIF(E3,"*"&amp;"MANGLAR"&amp;"*")=1,"PORTTO BLANCO CIMATARIO",IF(COUNTIF(E3,"*"&amp;"AMATISTA"&amp;"*")=1,"PORTTO BLANCO BERNAL",IF(COUNTIF(E3,"*"&amp;"LOMAS"&amp;"*")=1,"LOMAS DE PORTTO BLANCO CIMATARIO",IF(COUNTIF(E3,"*"&amp;"LOMAS"&amp;"*")=1,"LOMAS DE PORTTO BLANCO CIMATARIO",IF(COUNTIF(E3,"*"&amp;"ZAFIRO"&amp;"*")=1,"PORTTO BLANCO BERNAL",IF(COUNTIF(E3,"*"&amp;"MANGLAR"&amp;"*")=1,"PORTTO BLANCO CIMATARIO",IF(COUNTIF(E3,"*"&amp;"MALAQUITA"&amp;"*")=1,"PORTTO BLANCO BERNAL",IF(COUNTIF(E3,"*"&amp;"ARRECIFE"&amp;"*")=1,"PORTTO BLANCO CIMATARIO",""))))))))))))))))</f>
        <v>PORTTO BLANCO CIMATARIO</v>
      </c>
      <c r="E3" s="322" t="str">
        <f>IF(COUNTIF(D7,"*"&amp;"HÁBITTA"&amp;"*")=1,"HÁBITTA",IF(COUNTIF(D7,"*"&amp;"ESTEPA"&amp;"*")=1,"ESTEPA",IF(COUNTIF(D7,"*"&amp;"DESIERTO"&amp;"*")=1,"DESIERTO",IF(COUNTIF(D7,"*"&amp;"TAIGA"&amp;"*")=1,"TAIGA",IF(COUNTIF(D7,"*"&amp;"PARAMO"&amp;"*")=1,"PARAMO",IF(COUNTIF(D7,"*"&amp;"SELVA"&amp;"*")=1,"SELVA",IF(COUNTIF(D7,"*"&amp;"LAGO"&amp;"*")=1,"LAGO",IF(COUNTIF(D7,"*"&amp;"MANGLAR"&amp;"*")=1,"MANGLAR",IF(COUNTIF(D7,"*"&amp;"LOMAS_ETAPA_1"&amp;"*")=1,"LOMAS",IF(COUNTIF(D7,"*"&amp;"BOSQUE"&amp;"*")=1,"BOSQUE",IF(COUNTIF(D7,"*"&amp;"LOMAS_ETAPA_2"&amp;"*")=1,"LOMAS",IF(COUNTIF(D7,"*"&amp;"LOMAS_ETAPA_3"&amp;"*")=1,"LOMAS",IF(COUNTIF(D7,"*"&amp;"LAGO"&amp;"*")=1,"LAGO",IF(COUNTIF(D7,"*"&amp;"MANGLAR"&amp;"*")=1,"MANGLAR",IF(COUNTIF(D7,"*"&amp;"LOMAS_ETAPA_4"&amp;"*")=1,"LOMAS",IF(COUNTIF(D7,"*"&amp;"AMATISTA"&amp;"*")=1,"AMATISTA",IF(COUNTIF(D7,"*"&amp;"ZAFIRO"&amp;"*")=1,"ZAFIRO",IF(COUNTIF(D7,"*"&amp;"MALAQUITA"&amp;"*")=1,"MALAQUITA",IF(COUNTIF(D7,"*"&amp;"ARRECIFE"&amp;"*")=1,"ARRECIFE","")))))))))))))))))))</f>
        <v>ARRECIFE</v>
      </c>
      <c r="F3" s="182"/>
      <c r="G3" s="33"/>
      <c r="H3" s="183" t="s">
        <v>32</v>
      </c>
      <c r="I3" s="419" t="str">
        <f>D8&amp;D7</f>
        <v>2ARRECIFE_3</v>
      </c>
      <c r="J3" s="420"/>
    </row>
    <row r="4" spans="1:14" ht="21" thickBot="1" x14ac:dyDescent="0.35">
      <c r="A4" s="426"/>
      <c r="B4" s="426"/>
      <c r="C4" s="47"/>
      <c r="D4" s="33"/>
      <c r="E4" s="33"/>
      <c r="F4" s="182"/>
      <c r="G4" s="33"/>
      <c r="H4" s="33"/>
      <c r="I4" s="33"/>
      <c r="J4" s="46"/>
      <c r="L4" s="27"/>
    </row>
    <row r="5" spans="1:14" ht="21" thickBot="1" x14ac:dyDescent="0.35">
      <c r="A5" s="426"/>
      <c r="B5" s="426"/>
      <c r="C5" s="181" t="s">
        <v>114</v>
      </c>
      <c r="D5" s="33"/>
      <c r="E5" s="33"/>
      <c r="F5" s="182"/>
      <c r="G5" s="33"/>
      <c r="H5" s="317" t="s">
        <v>106</v>
      </c>
      <c r="I5" s="185" t="s">
        <v>107</v>
      </c>
      <c r="J5" s="46"/>
      <c r="L5" s="27"/>
    </row>
    <row r="6" spans="1:14" x14ac:dyDescent="0.3">
      <c r="B6" s="28"/>
      <c r="C6" s="228" t="s">
        <v>161</v>
      </c>
      <c r="D6" s="166" t="s">
        <v>158</v>
      </c>
      <c r="E6" s="33"/>
      <c r="F6" s="33"/>
      <c r="G6" s="33"/>
      <c r="H6" s="256"/>
      <c r="I6" s="33"/>
      <c r="J6" s="46"/>
      <c r="L6" s="27"/>
    </row>
    <row r="7" spans="1:14" ht="18" x14ac:dyDescent="0.3">
      <c r="B7" s="3"/>
      <c r="C7" s="229" t="s">
        <v>34</v>
      </c>
      <c r="D7" s="167" t="s">
        <v>286</v>
      </c>
      <c r="E7" s="33"/>
      <c r="F7" s="33"/>
      <c r="G7" s="180"/>
      <c r="H7" s="190" t="s">
        <v>33</v>
      </c>
      <c r="I7" s="37">
        <f>D11*D9</f>
        <v>793600</v>
      </c>
      <c r="J7" s="186"/>
      <c r="K7" s="46"/>
      <c r="L7" s="27"/>
    </row>
    <row r="8" spans="1:14" ht="18.75" x14ac:dyDescent="0.3">
      <c r="B8" s="3"/>
      <c r="C8" s="230" t="s">
        <v>37</v>
      </c>
      <c r="D8" s="168">
        <v>2</v>
      </c>
      <c r="E8" s="33"/>
      <c r="F8" s="33"/>
      <c r="G8" s="180"/>
      <c r="H8" s="191" t="s">
        <v>27</v>
      </c>
      <c r="I8" s="171">
        <f>$I$7*$J$8</f>
        <v>0</v>
      </c>
      <c r="J8" s="172"/>
      <c r="K8" s="46"/>
      <c r="L8" s="27"/>
    </row>
    <row r="9" spans="1:14" ht="18.75" x14ac:dyDescent="0.3">
      <c r="B9" s="3"/>
      <c r="C9" s="230" t="s">
        <v>1</v>
      </c>
      <c r="D9" s="169">
        <v>128</v>
      </c>
      <c r="E9" s="33"/>
      <c r="F9" s="180"/>
      <c r="G9" s="180"/>
      <c r="H9" s="192" t="s">
        <v>238</v>
      </c>
      <c r="I9" s="38">
        <f>I7-I8</f>
        <v>793600</v>
      </c>
      <c r="J9" s="187"/>
      <c r="K9" s="46"/>
      <c r="L9" s="306">
        <f>J10</f>
        <v>0.1</v>
      </c>
    </row>
    <row r="10" spans="1:14" ht="18.75" x14ac:dyDescent="0.3">
      <c r="B10" s="3"/>
      <c r="C10" s="230" t="s">
        <v>108</v>
      </c>
      <c r="D10" s="170" t="s">
        <v>163</v>
      </c>
      <c r="E10" s="33"/>
      <c r="F10" s="180"/>
      <c r="G10" s="180"/>
      <c r="H10" s="193" t="s">
        <v>102</v>
      </c>
      <c r="I10" s="39">
        <f>$I$9*$J$10</f>
        <v>79360</v>
      </c>
      <c r="J10" s="44">
        <f>IF($D$3="PORTTO BLANCO CIMATARIO",10%,IF($D$3="LOMAS DE PORTTO BLANCO CIMATARIO",10%,IF($D$3="PORTTO BLANCO BERNAL",10%)))</f>
        <v>0.1</v>
      </c>
      <c r="K10" s="46"/>
      <c r="L10" s="174"/>
      <c r="M10" s="29">
        <f>L10/I9</f>
        <v>0</v>
      </c>
    </row>
    <row r="11" spans="1:14" ht="36" x14ac:dyDescent="0.3">
      <c r="B11" s="3"/>
      <c r="C11" s="231" t="s">
        <v>109</v>
      </c>
      <c r="D11" s="34">
        <f>IF(AND(E3="ESTEPA",D10="ESTANDAR"),5770.3,IF(AND(E3="ESTEPA",D10="PREMIUM"),6200,IF(AND(E3="DESIERTO",D10="ESTANDAR"),5770.3,IF(AND(E3="DESIERTO",D10="PREMIUM"),6200,IF(AND(E3="TAIGA",D10="ESTANDAR"),5770.3,IF(AND(E3="TAIGA",D10="PREMIUM"),6200,IF(AND(E3="PARAMO",D10="ESTANDAR"),5770.3,IF(AND(E3="PARAMO",D10="PREMIUM"),6200,IF(AND(E3="BOSQUE",D10="ESTANDAR"),5770.3,IF(AND(E3="AMATISTA",D10="ESTANDAR"),4500,IF(AND(E3="AMATISTA",D10="PREMIUM"),4725,IF(AND(E3="BOSQUE",D10="PREMIUM"),6200,IF(AND(E3="SELVA",D10="ESTANDAR"),5770.3,IF(AND(E3="SELVA",D10="PREMIUM"),6200,IF(AND(E3="LAGO",D10="ESTANDAR"),5770.3,IF(AND(E3="LAGO",D10="PREMIUM"),6200,IF(AND(E3="MANGLAR",D10="ESTANDAR"),5770.3,IF(AND(E3="MANGLAR",D10="PREMIUM"),6200,IF(AND(D7="LOMAS_ETAPA_1",D10="ESTANDAR"),4500,IF(AND(D7="LOMAS_ETAPA_1",D10="PREMIUM"),4725,IF(AND(D7="LOMAS_ETAPA_2",D10="ESTANDAR"),4500,IF(AND(D7="LOMAS_ETAPA_2",D10="PREMIUM"),4725,IF(AND(D7="LOMAS_ETAPA_3",D10="ESTANDAR"),4800,IF(AND(D7="LOMAS_ETAPA_3",D10="PREMIUM"),5040,IF(AND(D7="LOMAS_ETAPA_4",D10="ESTANDAR"),0,IF(AND(D7="LOMAS_ETAPA_4",D10="PREMIUM"),0,IF(AND(E3="ZAFIRO",D10="ESTANDAR"),4500,IF(AND(E3="ZAFIRO",D10="PREMIUM"),4725,IF(AND(E3="MALAQUITA",D10="PREMIUM"),4990,IF(AND(E3="MALAQUITA",D10="ESTANDAR"),4750,IF(AND(E3="ARRECIFE",D10="ESTANDAR"),5770.3,IF(AND(E3="ARRECIFE",D10="PREMIUM"),6200,0))))))))))))))))))))))))))))))))</f>
        <v>6200</v>
      </c>
      <c r="E11" s="33"/>
      <c r="F11" s="257"/>
      <c r="G11" s="255"/>
      <c r="H11" s="194" t="s">
        <v>103</v>
      </c>
      <c r="I11" s="204">
        <f>IF(M10&lt;20%,(I9*0.1*J11),IF(M10&gt;=20%,(I9*0.1*J11)))</f>
        <v>0</v>
      </c>
      <c r="J11" s="173"/>
      <c r="K11" s="46"/>
      <c r="L11" s="416"/>
      <c r="M11" s="416"/>
      <c r="N11" s="416"/>
    </row>
    <row r="12" spans="1:14" ht="18.75" thickBot="1" x14ac:dyDescent="0.35">
      <c r="B12" s="3"/>
      <c r="C12" s="232" t="s">
        <v>110</v>
      </c>
      <c r="D12" s="35">
        <f>D11-(D11*J8)</f>
        <v>6200</v>
      </c>
      <c r="E12" s="258"/>
      <c r="F12" s="255"/>
      <c r="G12" s="255"/>
      <c r="H12" s="194" t="s">
        <v>104</v>
      </c>
      <c r="I12" s="40" t="str">
        <f>IF(L10&gt;I10,L10-(I10-I11),"0")</f>
        <v>0</v>
      </c>
      <c r="J12" s="43">
        <f>I12/I9</f>
        <v>0</v>
      </c>
      <c r="K12" s="46"/>
    </row>
    <row r="13" spans="1:14" ht="18" x14ac:dyDescent="0.3">
      <c r="B13" s="33"/>
      <c r="C13" s="33"/>
      <c r="D13" s="33"/>
      <c r="E13" s="258"/>
      <c r="F13" s="259"/>
      <c r="G13" s="259"/>
      <c r="H13" s="190" t="s">
        <v>105</v>
      </c>
      <c r="I13" s="41">
        <f>I10-I11+I12</f>
        <v>79360</v>
      </c>
      <c r="J13" s="42">
        <f>I13/I9</f>
        <v>0.1</v>
      </c>
      <c r="K13" s="46"/>
    </row>
    <row r="14" spans="1:14" ht="32.25" customHeight="1" x14ac:dyDescent="0.3">
      <c r="B14" s="33"/>
      <c r="C14" s="33"/>
      <c r="D14" s="260"/>
      <c r="E14" s="258"/>
      <c r="F14" s="259"/>
      <c r="G14" s="259"/>
      <c r="H14" s="190" t="s">
        <v>53</v>
      </c>
      <c r="I14" s="41">
        <f>SUM(I13+I15)</f>
        <v>793600</v>
      </c>
      <c r="J14" s="188"/>
      <c r="K14" s="46"/>
    </row>
    <row r="15" spans="1:14" ht="34.5" customHeight="1" x14ac:dyDescent="0.3">
      <c r="B15" s="33"/>
      <c r="C15" s="33"/>
      <c r="D15" s="260"/>
      <c r="E15" s="258"/>
      <c r="F15" s="259"/>
      <c r="G15" s="259"/>
      <c r="H15" s="190" t="s">
        <v>237</v>
      </c>
      <c r="I15" s="41">
        <f>I9-$I$10-I12</f>
        <v>714240</v>
      </c>
      <c r="J15" s="189"/>
      <c r="K15" s="46"/>
    </row>
    <row r="16" spans="1:14" ht="17.25" thickBot="1" x14ac:dyDescent="0.35">
      <c r="B16" s="33"/>
      <c r="C16" s="33"/>
      <c r="D16" s="33"/>
      <c r="E16" s="33"/>
      <c r="F16" s="261"/>
      <c r="G16" s="33"/>
      <c r="H16" s="33"/>
      <c r="I16" s="108"/>
      <c r="J16" s="46"/>
      <c r="K16" s="46"/>
    </row>
    <row r="17" spans="2:16" ht="18.75" thickBot="1" x14ac:dyDescent="0.35">
      <c r="B17" s="197" t="s">
        <v>112</v>
      </c>
      <c r="C17" s="196"/>
      <c r="D17" s="300">
        <f>_xlfn.AGGREGATE(9,6,D19:D21)</f>
        <v>240</v>
      </c>
      <c r="E17" s="33"/>
      <c r="F17" s="180"/>
      <c r="G17" s="33"/>
      <c r="H17" s="195" t="s">
        <v>111</v>
      </c>
      <c r="I17" s="45"/>
      <c r="J17" s="195" t="s">
        <v>107</v>
      </c>
      <c r="K17" s="46"/>
      <c r="L17" s="31"/>
    </row>
    <row r="18" spans="2:16" ht="17.25" thickBot="1" x14ac:dyDescent="0.35">
      <c r="B18" s="256"/>
      <c r="C18" s="33"/>
      <c r="D18" s="203">
        <v>20</v>
      </c>
      <c r="E18" s="299">
        <f>IF(AND($E$3="LOMAS",D18&lt;=15),D18*12,IF(AND($D$3="PORTTO BLANCO BERNAL",D18&lt;=20),D18*12,IF(AND($E$3="DESIERTO",D18&lt;=10),D18*12,IF(AND($E$3="TAIGA",D18&lt;=10),D18*12,IF(AND($E$3="PARAMO",D18&lt;=10),D18*12,IF(AND($E$3="SELVA",D18&lt;=15),D18*12,IF(AND($E$3="BOSQUE",D18&lt;=15),D18*12,IF(AND($E$3="LAGO",D18&lt;=20),D18*12,IF(AND($E$3="MANGLAR",D18&lt;=20),D18*12,IF(AND($E$3="ARRECIFE",D18&lt;=20),D18*12,"N/A"))))))))))</f>
        <v>240</v>
      </c>
      <c r="F18" s="180"/>
      <c r="G18" s="33"/>
      <c r="H18" s="47"/>
      <c r="I18" s="85"/>
      <c r="J18" s="45"/>
      <c r="K18" s="46"/>
      <c r="L18" s="31"/>
    </row>
    <row r="19" spans="2:16" ht="18.75" x14ac:dyDescent="0.3">
      <c r="B19" s="102">
        <v>1</v>
      </c>
      <c r="C19" s="103">
        <f>D19</f>
        <v>48</v>
      </c>
      <c r="D19" s="54">
        <f>IF(E3="ESTEPA",30,IF(E3="DESIERTO",25,IF(E3="TAIGA",27,IF(E3="PARAMO",30,IF(E3="SELVA",36,IF(E3="BOSQUE",36,IF(E3="LOMAS",48,IF(D7="LAGO_1",40,IF(D7="LAGO_2",48,IF(E3="MANGLAR",48,IF(E3="AMATISTA",48,IF(E3="ZAFIRO",48,IF(E3="MALAQUITA",48,IF(D7="ARRECIFE_3",48,0))))))))))))))</f>
        <v>48</v>
      </c>
      <c r="E19" s="51">
        <v>0</v>
      </c>
      <c r="F19" s="180"/>
      <c r="G19" s="33"/>
      <c r="H19" s="48">
        <f t="shared" ref="H19:I21" si="0">B19</f>
        <v>1</v>
      </c>
      <c r="I19" s="49">
        <f t="shared" si="0"/>
        <v>48</v>
      </c>
      <c r="J19" s="50">
        <f>$D$53</f>
        <v>2976</v>
      </c>
      <c r="K19" s="46"/>
      <c r="L19" s="31"/>
      <c r="N19" s="278"/>
      <c r="O19" s="278"/>
    </row>
    <row r="20" spans="2:16" ht="18.75" x14ac:dyDescent="0.3">
      <c r="B20" s="104">
        <f>C19+1</f>
        <v>49</v>
      </c>
      <c r="C20" s="105">
        <f>SUM(D19:D20)</f>
        <v>120</v>
      </c>
      <c r="D20" s="55">
        <f>IF(E18&lt;=120,(E18-D19),IF(E18&gt;120,(120-D19),0))</f>
        <v>72</v>
      </c>
      <c r="E20" s="52">
        <v>0.01</v>
      </c>
      <c r="F20" s="180"/>
      <c r="G20" s="33"/>
      <c r="H20" s="48">
        <f t="shared" si="0"/>
        <v>49</v>
      </c>
      <c r="I20" s="49">
        <f t="shared" si="0"/>
        <v>120</v>
      </c>
      <c r="J20" s="50">
        <f>$D$113</f>
        <v>6706.5714720692931</v>
      </c>
      <c r="K20" s="46"/>
      <c r="L20" s="277"/>
      <c r="M20" s="31"/>
      <c r="N20" s="278"/>
      <c r="O20" s="278"/>
      <c r="P20" s="279"/>
    </row>
    <row r="21" spans="2:16" ht="19.5" thickBot="1" x14ac:dyDescent="0.35">
      <c r="B21" s="106">
        <f>IF(D20&gt;=68,C20+1,IF(D20&lt;68,0))</f>
        <v>121</v>
      </c>
      <c r="C21" s="107">
        <f>IF(B21&gt;1,E18,0)</f>
        <v>240</v>
      </c>
      <c r="D21" s="56">
        <f>IF(E18&gt;=120,E18-SUM(D19:D20),0)</f>
        <v>120</v>
      </c>
      <c r="E21" s="53">
        <v>1.2500000000000001E-2</v>
      </c>
      <c r="F21" s="180"/>
      <c r="G21" s="33"/>
      <c r="H21" s="48">
        <f t="shared" si="0"/>
        <v>121</v>
      </c>
      <c r="I21" s="49">
        <f t="shared" si="0"/>
        <v>240</v>
      </c>
      <c r="J21" s="50">
        <f>$D$224</f>
        <v>7541.6272953459866</v>
      </c>
      <c r="K21" s="46"/>
      <c r="N21" s="278"/>
      <c r="O21" s="278"/>
      <c r="P21" s="279"/>
    </row>
    <row r="22" spans="2:16" ht="18.75" x14ac:dyDescent="0.3">
      <c r="B22" s="281"/>
      <c r="C22" s="105"/>
      <c r="D22" s="282"/>
      <c r="E22" s="283"/>
      <c r="F22" s="198"/>
      <c r="G22" s="47"/>
      <c r="H22" s="284"/>
      <c r="I22" s="285"/>
      <c r="J22" s="286"/>
      <c r="K22" s="46"/>
      <c r="N22" s="278"/>
      <c r="O22" s="278"/>
      <c r="P22" s="279"/>
    </row>
    <row r="23" spans="2:16" ht="18.75" hidden="1" x14ac:dyDescent="0.3">
      <c r="B23" s="308"/>
      <c r="C23" s="307"/>
      <c r="D23" s="309"/>
      <c r="E23" s="310"/>
      <c r="F23" s="3"/>
      <c r="G23" s="312"/>
      <c r="H23" s="428" t="str">
        <f>IF(H29="ENGANCHE DIFERIDO:","MENSUALIDAD + ENGANCHE","")</f>
        <v/>
      </c>
      <c r="I23" s="428"/>
      <c r="J23" s="311"/>
      <c r="N23" s="278"/>
      <c r="O23" s="278"/>
      <c r="P23" s="279"/>
    </row>
    <row r="24" spans="2:16" ht="18.75" hidden="1" customHeight="1" x14ac:dyDescent="0.3">
      <c r="B24" s="3" t="e">
        <f>SUM</f>
        <v>#NAME?</v>
      </c>
      <c r="C24" s="3"/>
      <c r="D24" s="3"/>
      <c r="E24" s="3"/>
      <c r="F24" s="3"/>
      <c r="G24" s="3"/>
      <c r="H24" s="3"/>
      <c r="I24" s="3" t="s">
        <v>243</v>
      </c>
      <c r="J24" s="3"/>
      <c r="N24" s="278"/>
      <c r="O24" s="278"/>
      <c r="P24" s="279"/>
    </row>
    <row r="25" spans="2:16" ht="18.75" hidden="1" customHeight="1" x14ac:dyDescent="0.3">
      <c r="B25" s="3"/>
      <c r="C25" s="3"/>
      <c r="D25" s="3"/>
      <c r="E25" s="3"/>
      <c r="F25" s="3"/>
      <c r="G25" s="3"/>
      <c r="H25" s="3"/>
      <c r="I25" s="3" t="s">
        <v>244</v>
      </c>
      <c r="J25" s="3"/>
      <c r="N25" s="278"/>
      <c r="O25" s="278"/>
      <c r="P25" s="279"/>
    </row>
    <row r="26" spans="2:16" ht="18.75" hidden="1" customHeight="1" x14ac:dyDescent="0.3">
      <c r="B26" s="3"/>
      <c r="C26" s="3"/>
      <c r="D26" s="3"/>
      <c r="E26" s="3"/>
      <c r="F26" s="3"/>
      <c r="G26" s="3"/>
      <c r="H26" s="3"/>
      <c r="I26" s="3" t="s">
        <v>246</v>
      </c>
      <c r="J26" s="3"/>
      <c r="N26" s="278"/>
      <c r="O26" s="278"/>
      <c r="P26" s="279"/>
    </row>
    <row r="27" spans="2:16" ht="18.75" hidden="1" customHeight="1" x14ac:dyDescent="0.3">
      <c r="B27" s="3"/>
      <c r="C27" s="3"/>
      <c r="D27" s="3"/>
      <c r="E27" s="3"/>
      <c r="F27" s="3"/>
      <c r="G27" s="3"/>
      <c r="H27" s="3"/>
      <c r="I27" s="3" t="s">
        <v>245</v>
      </c>
      <c r="J27" s="3"/>
      <c r="N27" s="278"/>
      <c r="O27" s="278"/>
      <c r="P27" s="279"/>
    </row>
    <row r="28" spans="2:16" ht="18.75" customHeight="1" thickBot="1" x14ac:dyDescent="0.35">
      <c r="B28" s="288" t="s">
        <v>28</v>
      </c>
      <c r="C28" s="290"/>
      <c r="D28" s="290"/>
      <c r="E28" s="33"/>
      <c r="F28" s="33"/>
      <c r="G28" s="33"/>
      <c r="H28" s="33"/>
      <c r="I28" s="33"/>
      <c r="J28" s="33"/>
      <c r="K28" s="46"/>
      <c r="N28" s="278"/>
      <c r="O28" s="278"/>
      <c r="P28" s="279"/>
    </row>
    <row r="29" spans="2:16" ht="18.75" customHeight="1" thickBot="1" x14ac:dyDescent="0.35">
      <c r="B29" s="289" t="s">
        <v>29</v>
      </c>
      <c r="C29" s="290"/>
      <c r="D29" s="289" t="s">
        <v>30</v>
      </c>
      <c r="E29" s="33"/>
      <c r="F29" s="33"/>
      <c r="G29" s="225"/>
      <c r="H29" s="292" t="s">
        <v>247</v>
      </c>
      <c r="I29" s="47"/>
      <c r="J29" s="293" t="str">
        <f>IF(H29="ENGANCHE DIFERIDO 1 MES","SUBTOTAL",IF(H29="ENGANCHE DIFERIDO 2 MESES","SUBTOTAL",""))</f>
        <v/>
      </c>
      <c r="K29" s="46"/>
      <c r="N29" s="278"/>
      <c r="O29" s="278"/>
      <c r="P29" s="279"/>
    </row>
    <row r="30" spans="2:16" ht="6" customHeight="1" x14ac:dyDescent="0.3">
      <c r="B30" s="290"/>
      <c r="C30" s="290"/>
      <c r="D30" s="290"/>
      <c r="E30" s="33"/>
      <c r="F30" s="33"/>
      <c r="G30" s="33"/>
      <c r="H30" s="3"/>
      <c r="I30" s="33"/>
      <c r="J30" s="33"/>
      <c r="K30" s="46"/>
    </row>
    <row r="31" spans="2:16" ht="18.75" x14ac:dyDescent="0.3">
      <c r="B31" s="290" t="s">
        <v>143</v>
      </c>
      <c r="C31" s="290"/>
      <c r="D31" s="290" t="s">
        <v>148</v>
      </c>
      <c r="E31" s="33"/>
      <c r="F31" s="33"/>
      <c r="G31" s="33"/>
      <c r="H31" s="320" t="str">
        <f>IF($H$29="ENGANCHE DIFERIDO 1 MES",5%,IF($H$29="ENGANCHE DIFERIDO 2 MESES",2.5%,""))</f>
        <v/>
      </c>
      <c r="I31" s="319" t="str">
        <f>IF(H29="ENGANCHE DIFERIDO 1 MES",'RESUMEN EJECUTIVO'!AL20+15,IF(H29="ENGANCHE DIFERIDO 2 MESES",'RESUMEN EJECUTIVO'!AL20+15,""))</f>
        <v/>
      </c>
      <c r="J31" s="50" t="e">
        <f>(I9*H31)</f>
        <v>#VALUE!</v>
      </c>
      <c r="K31" s="46"/>
    </row>
    <row r="32" spans="2:16" ht="18.75" x14ac:dyDescent="0.3">
      <c r="B32" s="290" t="s">
        <v>142</v>
      </c>
      <c r="C32" s="290"/>
      <c r="D32" s="290" t="s">
        <v>149</v>
      </c>
      <c r="E32" s="33"/>
      <c r="F32" s="33"/>
      <c r="G32" s="33"/>
      <c r="H32" s="320" t="str">
        <f t="shared" ref="H32" si="1">IF($H$29="ENGANCHE DIFERIDO 1 MES",5%,IF($H$29="ENGANCHE DIFERIDO 2 MESES",2.5%,""))</f>
        <v/>
      </c>
      <c r="I32" s="319" t="str">
        <f>IF(H29="ENGANCHE DIFERIDO 1 MES",'RESUMEN EJECUTIVO'!AL20+30,IF(H29="ENGANCHE DIFERIDO 2 MESES",'RESUMEN EJECUTIVO'!AL20+30,""))</f>
        <v/>
      </c>
      <c r="J32" s="50" t="e">
        <f>$I$9*$H$32</f>
        <v>#VALUE!</v>
      </c>
      <c r="K32" s="46"/>
    </row>
    <row r="33" spans="1:15" ht="18.75" x14ac:dyDescent="0.3">
      <c r="B33" s="290" t="s">
        <v>144</v>
      </c>
      <c r="C33" s="290"/>
      <c r="D33" s="290" t="s">
        <v>150</v>
      </c>
      <c r="E33" s="33"/>
      <c r="F33" s="33"/>
      <c r="G33" s="33"/>
      <c r="H33" s="320" t="str">
        <f>IF($H$29="ENGANCHE DIFERIDO 1 MES","",IF($H$29="ENGANCHE DIFERIDO 2 MESES",2.5%,""))</f>
        <v/>
      </c>
      <c r="I33" s="319" t="str">
        <f>IF(H29="ENGANCHE DIFERIDO 1 MES","",IF(H29="ENGANCHE DIFERIDO 2 MESES",'RESUMEN EJECUTIVO'!AL20+45,""))</f>
        <v/>
      </c>
      <c r="J33" s="50" t="e">
        <f>$I$9*$H$33</f>
        <v>#VALUE!</v>
      </c>
      <c r="K33" s="46"/>
    </row>
    <row r="34" spans="1:15" ht="18.75" x14ac:dyDescent="0.3">
      <c r="B34" s="291" t="s">
        <v>145</v>
      </c>
      <c r="C34" s="290"/>
      <c r="D34" s="290" t="s">
        <v>151</v>
      </c>
      <c r="E34" s="33"/>
      <c r="F34" s="33"/>
      <c r="G34" s="33"/>
      <c r="H34" s="320" t="str">
        <f>IF($H$29="ENGANCHE DIFERIDO 1 MES","",IF($H$29="ENGANCHE DIFERIDO 2 MESES",2.5%,""))</f>
        <v/>
      </c>
      <c r="I34" s="319" t="str">
        <f>IF(H29="ENGANCHE DIFERIDO 1 MES","",IF(H29="ENGANCHE DIFERIDO 2 MESES",'RESUMEN EJECUTIVO'!AL20+60,""))</f>
        <v/>
      </c>
      <c r="J34" s="50" t="e">
        <f>$I$9*$H$34</f>
        <v>#VALUE!</v>
      </c>
      <c r="K34" s="46"/>
    </row>
    <row r="35" spans="1:15" x14ac:dyDescent="0.3">
      <c r="B35" s="290" t="s">
        <v>146</v>
      </c>
      <c r="C35" s="290"/>
      <c r="D35" s="290" t="s">
        <v>152</v>
      </c>
      <c r="E35" s="33"/>
      <c r="F35" s="33"/>
      <c r="G35" s="33"/>
      <c r="H35" s="33"/>
      <c r="I35" s="33"/>
      <c r="J35" s="33"/>
      <c r="K35" s="46"/>
    </row>
    <row r="36" spans="1:15" x14ac:dyDescent="0.3">
      <c r="B36" s="290" t="s">
        <v>147</v>
      </c>
      <c r="C36" s="290"/>
      <c r="D36" s="290" t="s">
        <v>31</v>
      </c>
      <c r="E36" s="33"/>
      <c r="F36" s="33"/>
      <c r="G36" s="33"/>
      <c r="H36" s="33"/>
      <c r="I36" s="33"/>
      <c r="J36" s="33"/>
      <c r="K36" s="46"/>
    </row>
    <row r="37" spans="1:15" x14ac:dyDescent="0.3">
      <c r="B37" s="290"/>
      <c r="C37" s="290"/>
      <c r="D37" s="290" t="s">
        <v>153</v>
      </c>
      <c r="E37" s="33"/>
      <c r="F37" s="33"/>
      <c r="G37" s="33"/>
      <c r="H37" s="33"/>
      <c r="I37" s="33"/>
      <c r="J37" s="33"/>
      <c r="K37" s="46"/>
    </row>
    <row r="38" spans="1:15" ht="16.5" customHeight="1" x14ac:dyDescent="0.3">
      <c r="B38" s="414" t="s">
        <v>284</v>
      </c>
      <c r="C38" s="414"/>
      <c r="D38" s="414"/>
      <c r="E38" s="414"/>
      <c r="F38" s="414"/>
      <c r="G38" s="321"/>
      <c r="H38" s="33"/>
      <c r="I38" s="33"/>
      <c r="J38" s="33"/>
      <c r="K38" s="46"/>
    </row>
    <row r="39" spans="1:15" ht="16.5" customHeight="1" x14ac:dyDescent="0.3">
      <c r="B39" s="414"/>
      <c r="C39" s="414"/>
      <c r="D39" s="414"/>
      <c r="E39" s="414"/>
      <c r="F39" s="414"/>
      <c r="G39" s="321"/>
      <c r="H39" s="33"/>
      <c r="I39" s="33"/>
      <c r="J39" s="33"/>
      <c r="K39" s="46"/>
    </row>
    <row r="40" spans="1:15" ht="17.25" customHeight="1" thickBot="1" x14ac:dyDescent="0.35">
      <c r="A40" s="177"/>
      <c r="B40" s="425" t="s">
        <v>186</v>
      </c>
      <c r="C40" s="425"/>
      <c r="D40" s="425"/>
      <c r="E40" s="425"/>
      <c r="F40" s="425"/>
      <c r="G40" s="425"/>
      <c r="H40" s="425"/>
      <c r="I40" s="425"/>
      <c r="J40" s="425"/>
      <c r="K40" s="46"/>
    </row>
    <row r="41" spans="1:15" ht="20.25" customHeight="1" thickBot="1" x14ac:dyDescent="0.35">
      <c r="B41" s="422" t="s">
        <v>283</v>
      </c>
      <c r="C41" s="423"/>
      <c r="D41" s="423"/>
      <c r="E41" s="423"/>
      <c r="F41" s="423"/>
      <c r="G41" s="423"/>
      <c r="H41" s="423"/>
      <c r="I41" s="423"/>
      <c r="J41" s="424"/>
      <c r="K41" s="46"/>
    </row>
    <row r="42" spans="1:15" x14ac:dyDescent="0.3">
      <c r="B42" s="47"/>
      <c r="C42" s="199"/>
      <c r="D42" s="199"/>
      <c r="E42" s="199"/>
      <c r="F42" s="199"/>
      <c r="G42" s="202"/>
      <c r="H42" s="421"/>
      <c r="I42" s="421"/>
      <c r="J42" s="46"/>
      <c r="K42" s="46"/>
    </row>
    <row r="43" spans="1:15" x14ac:dyDescent="0.3">
      <c r="B43" s="415" t="s">
        <v>62</v>
      </c>
      <c r="C43" s="415"/>
      <c r="D43" s="415"/>
      <c r="E43" s="415"/>
      <c r="F43" s="415"/>
      <c r="G43" s="415"/>
      <c r="H43" s="415"/>
      <c r="I43" s="415"/>
      <c r="J43" s="415"/>
      <c r="K43" s="46"/>
    </row>
    <row r="44" spans="1:15" ht="20.25" x14ac:dyDescent="0.3">
      <c r="B44" s="200" t="s">
        <v>128</v>
      </c>
      <c r="C44" s="200"/>
      <c r="D44" s="200"/>
      <c r="E44" s="200"/>
      <c r="F44" s="200"/>
      <c r="G44" s="200"/>
      <c r="H44" s="200"/>
      <c r="I44" s="200"/>
      <c r="J44" s="201"/>
      <c r="K44" s="46"/>
    </row>
    <row r="45" spans="1:15" ht="16.5" hidden="1" customHeight="1" x14ac:dyDescent="0.3">
      <c r="B45" s="47"/>
      <c r="C45" s="60" t="s">
        <v>2</v>
      </c>
      <c r="D45" s="262">
        <f>$I$9</f>
        <v>793600</v>
      </c>
      <c r="E45" s="47"/>
      <c r="F45" s="47"/>
      <c r="G45" s="47"/>
      <c r="H45" s="47"/>
      <c r="I45" s="45"/>
      <c r="J45" s="46"/>
      <c r="K45" s="46"/>
      <c r="O45" s="31"/>
    </row>
    <row r="46" spans="1:15" ht="16.5" hidden="1" customHeight="1" x14ac:dyDescent="0.3">
      <c r="B46" s="47"/>
      <c r="C46" s="60" t="s">
        <v>3</v>
      </c>
      <c r="D46" s="262">
        <f>$I$10+I12</f>
        <v>79360</v>
      </c>
      <c r="E46" s="47"/>
      <c r="F46" s="47"/>
      <c r="G46" s="47"/>
      <c r="H46" s="47"/>
      <c r="I46" s="45"/>
      <c r="J46" s="46"/>
      <c r="K46" s="46"/>
      <c r="O46" s="31"/>
    </row>
    <row r="47" spans="1:15" ht="16.5" hidden="1" customHeight="1" x14ac:dyDescent="0.3">
      <c r="B47" s="47"/>
      <c r="C47" s="60" t="s">
        <v>4</v>
      </c>
      <c r="D47" s="263">
        <f>D45-D46</f>
        <v>714240</v>
      </c>
      <c r="E47" s="47"/>
      <c r="F47" s="47"/>
      <c r="G47" s="47"/>
      <c r="H47" s="47"/>
      <c r="I47" s="45"/>
      <c r="J47" s="46"/>
      <c r="K47" s="46"/>
    </row>
    <row r="48" spans="1:15" ht="16.5" hidden="1" customHeight="1" x14ac:dyDescent="0.3">
      <c r="B48" s="47"/>
      <c r="C48" s="60" t="s">
        <v>5</v>
      </c>
      <c r="D48" s="264">
        <f>$D$17/12</f>
        <v>20</v>
      </c>
      <c r="E48" s="47"/>
      <c r="F48" s="47"/>
      <c r="G48" s="47"/>
      <c r="H48" s="47"/>
      <c r="I48" s="45"/>
      <c r="J48" s="46"/>
      <c r="K48" s="46"/>
    </row>
    <row r="49" spans="2:11" ht="16.5" hidden="1" customHeight="1" x14ac:dyDescent="0.3">
      <c r="B49" s="47"/>
      <c r="C49" s="60" t="s">
        <v>6</v>
      </c>
      <c r="D49" s="72">
        <f>D48*12</f>
        <v>240</v>
      </c>
      <c r="E49" s="47"/>
      <c r="F49" s="47"/>
      <c r="G49" s="47"/>
      <c r="H49" s="47"/>
      <c r="I49" s="45"/>
      <c r="J49" s="46"/>
      <c r="K49" s="46"/>
    </row>
    <row r="50" spans="2:11" ht="16.5" hidden="1" customHeight="1" x14ac:dyDescent="0.3">
      <c r="B50" s="47"/>
      <c r="C50" s="60" t="s">
        <v>7</v>
      </c>
      <c r="D50" s="265">
        <f>D51/12</f>
        <v>4</v>
      </c>
      <c r="E50" s="47"/>
      <c r="F50" s="47"/>
      <c r="G50" s="47"/>
      <c r="H50" s="47"/>
      <c r="I50" s="45"/>
      <c r="J50" s="46"/>
      <c r="K50" s="46"/>
    </row>
    <row r="51" spans="2:11" ht="16.5" hidden="1" customHeight="1" x14ac:dyDescent="0.3">
      <c r="B51" s="47"/>
      <c r="C51" s="60" t="s">
        <v>8</v>
      </c>
      <c r="D51" s="266">
        <f>$D$19</f>
        <v>48</v>
      </c>
      <c r="E51" s="47"/>
      <c r="F51" s="47"/>
      <c r="G51" s="47"/>
      <c r="H51" s="47"/>
      <c r="I51" s="45"/>
      <c r="J51" s="46"/>
      <c r="K51" s="46"/>
    </row>
    <row r="52" spans="2:11" ht="16.5" hidden="1" customHeight="1" x14ac:dyDescent="0.3">
      <c r="B52" s="47"/>
      <c r="C52" s="60" t="s">
        <v>9</v>
      </c>
      <c r="D52" s="267">
        <f>$E$19</f>
        <v>0</v>
      </c>
      <c r="E52" s="47"/>
      <c r="F52" s="47"/>
      <c r="G52" s="47"/>
      <c r="H52" s="47"/>
      <c r="I52" s="45"/>
      <c r="J52" s="46"/>
      <c r="K52" s="46"/>
    </row>
    <row r="53" spans="2:11" ht="16.5" hidden="1" customHeight="1" x14ac:dyDescent="0.3">
      <c r="B53" s="47"/>
      <c r="C53" s="60" t="s">
        <v>10</v>
      </c>
      <c r="D53" s="61">
        <f>-PMT(D52,D49,D47)</f>
        <v>2976</v>
      </c>
      <c r="E53" s="47"/>
      <c r="F53" s="47"/>
      <c r="G53" s="47"/>
      <c r="H53" s="47"/>
      <c r="I53" s="45"/>
      <c r="J53" s="46"/>
      <c r="K53" s="46"/>
    </row>
    <row r="54" spans="2:11" ht="16.5" hidden="1" customHeight="1" x14ac:dyDescent="0.3">
      <c r="B54" s="47"/>
      <c r="C54" s="47"/>
      <c r="D54" s="61">
        <f>D53*D51</f>
        <v>142848</v>
      </c>
      <c r="E54" s="47"/>
      <c r="F54" s="47"/>
      <c r="G54" s="47"/>
      <c r="H54" s="47"/>
      <c r="I54" s="45"/>
      <c r="J54" s="46"/>
      <c r="K54" s="46"/>
    </row>
    <row r="55" spans="2:11" collapsed="1" x14ac:dyDescent="0.3">
      <c r="B55" s="62" t="s">
        <v>11</v>
      </c>
      <c r="C55" s="125" t="s">
        <v>12</v>
      </c>
      <c r="D55" s="62" t="s">
        <v>13</v>
      </c>
      <c r="E55" s="62" t="s">
        <v>14</v>
      </c>
      <c r="F55" s="62" t="s">
        <v>15</v>
      </c>
      <c r="G55" s="62" t="s">
        <v>16</v>
      </c>
      <c r="H55" s="62" t="s">
        <v>17</v>
      </c>
      <c r="I55" s="62" t="s">
        <v>18</v>
      </c>
      <c r="J55" s="63" t="s">
        <v>19</v>
      </c>
      <c r="K55" s="46"/>
    </row>
    <row r="56" spans="2:11" x14ac:dyDescent="0.3">
      <c r="B56" s="123">
        <v>1</v>
      </c>
      <c r="C56" s="126">
        <f>IF(DAY('RESUMEN EJECUTIVO'!AL20)&gt;5,DATE(YEAR('RESUMEN EJECUTIVO'!AL20),MONTH(EDATE('RESUMEN EJECUTIVO'!AL20,2)),5),EDATE('RESUMEN EJECUTIVO'!AL20,1))</f>
        <v>44990</v>
      </c>
      <c r="D56" s="124">
        <f>$D$47</f>
        <v>714240</v>
      </c>
      <c r="E56" s="59">
        <f t="shared" ref="E56:E103" si="2">IF(B56&lt;=$D$19,(-PMT($D$52,$D$49,$D$47)))</f>
        <v>2976</v>
      </c>
      <c r="F56" s="96"/>
      <c r="G56" s="59">
        <f t="shared" ref="G56:G87" si="3">SUM(E56:F56)</f>
        <v>2976</v>
      </c>
      <c r="H56" s="59"/>
      <c r="I56" s="59">
        <f t="shared" ref="I56:I87" si="4">G56-H56</f>
        <v>2976</v>
      </c>
      <c r="J56" s="59">
        <f t="shared" ref="J56:J87" si="5">D56-I56</f>
        <v>711264</v>
      </c>
    </row>
    <row r="57" spans="2:11" x14ac:dyDescent="0.3">
      <c r="B57" s="57">
        <f t="shared" ref="B57:B103" si="6">IF(B56&lt;$D$19,IF(B56&lt;$D$49,B56+1,0))</f>
        <v>2</v>
      </c>
      <c r="C57" s="126">
        <f>IF(B56&lt;$D$19,DATE(YEAR(C56),MONTH(C56)+1,DAY(5)),"")</f>
        <v>45021</v>
      </c>
      <c r="D57" s="59">
        <f t="shared" ref="D57:D103" si="7">IF(B57&lt;=$D$19,J56,"")</f>
        <v>711264</v>
      </c>
      <c r="E57" s="59">
        <f t="shared" si="2"/>
        <v>2976</v>
      </c>
      <c r="F57" s="96"/>
      <c r="G57" s="59">
        <f t="shared" si="3"/>
        <v>2976</v>
      </c>
      <c r="H57" s="59">
        <f t="shared" ref="H57:H88" si="8">IF(B57&lt;=48,(D57*$D$52),0)</f>
        <v>0</v>
      </c>
      <c r="I57" s="59">
        <f t="shared" si="4"/>
        <v>2976</v>
      </c>
      <c r="J57" s="59">
        <f t="shared" si="5"/>
        <v>708288</v>
      </c>
    </row>
    <row r="58" spans="2:11" x14ac:dyDescent="0.3">
      <c r="B58" s="57">
        <f t="shared" si="6"/>
        <v>3</v>
      </c>
      <c r="C58" s="58">
        <f t="shared" ref="C58:C88" si="9">IF(B57&lt;$D$19,DATE(YEAR(C57),MONTH(C57)+1,DAY(C57)),"")</f>
        <v>45051</v>
      </c>
      <c r="D58" s="59">
        <f t="shared" si="7"/>
        <v>708288</v>
      </c>
      <c r="E58" s="59">
        <f t="shared" si="2"/>
        <v>2976</v>
      </c>
      <c r="F58" s="96"/>
      <c r="G58" s="59">
        <f t="shared" si="3"/>
        <v>2976</v>
      </c>
      <c r="H58" s="59">
        <f t="shared" si="8"/>
        <v>0</v>
      </c>
      <c r="I58" s="59">
        <f t="shared" si="4"/>
        <v>2976</v>
      </c>
      <c r="J58" s="59">
        <f t="shared" si="5"/>
        <v>705312</v>
      </c>
    </row>
    <row r="59" spans="2:11" x14ac:dyDescent="0.3">
      <c r="B59" s="57">
        <f t="shared" si="6"/>
        <v>4</v>
      </c>
      <c r="C59" s="58">
        <f t="shared" si="9"/>
        <v>45082</v>
      </c>
      <c r="D59" s="59">
        <f t="shared" si="7"/>
        <v>705312</v>
      </c>
      <c r="E59" s="59">
        <f t="shared" si="2"/>
        <v>2976</v>
      </c>
      <c r="F59" s="96"/>
      <c r="G59" s="59">
        <f t="shared" si="3"/>
        <v>2976</v>
      </c>
      <c r="H59" s="59">
        <f t="shared" si="8"/>
        <v>0</v>
      </c>
      <c r="I59" s="59">
        <f t="shared" si="4"/>
        <v>2976</v>
      </c>
      <c r="J59" s="59">
        <f t="shared" si="5"/>
        <v>702336</v>
      </c>
    </row>
    <row r="60" spans="2:11" x14ac:dyDescent="0.3">
      <c r="B60" s="57">
        <f t="shared" si="6"/>
        <v>5</v>
      </c>
      <c r="C60" s="58">
        <f t="shared" si="9"/>
        <v>45112</v>
      </c>
      <c r="D60" s="59">
        <f t="shared" si="7"/>
        <v>702336</v>
      </c>
      <c r="E60" s="59">
        <f t="shared" si="2"/>
        <v>2976</v>
      </c>
      <c r="F60" s="96"/>
      <c r="G60" s="59">
        <f t="shared" si="3"/>
        <v>2976</v>
      </c>
      <c r="H60" s="59">
        <f t="shared" si="8"/>
        <v>0</v>
      </c>
      <c r="I60" s="59">
        <f t="shared" si="4"/>
        <v>2976</v>
      </c>
      <c r="J60" s="59">
        <f t="shared" si="5"/>
        <v>699360</v>
      </c>
    </row>
    <row r="61" spans="2:11" x14ac:dyDescent="0.3">
      <c r="B61" s="57">
        <f t="shared" si="6"/>
        <v>6</v>
      </c>
      <c r="C61" s="58">
        <f t="shared" si="9"/>
        <v>45143</v>
      </c>
      <c r="D61" s="59">
        <f t="shared" si="7"/>
        <v>699360</v>
      </c>
      <c r="E61" s="59">
        <f t="shared" si="2"/>
        <v>2976</v>
      </c>
      <c r="F61" s="96"/>
      <c r="G61" s="59">
        <f t="shared" si="3"/>
        <v>2976</v>
      </c>
      <c r="H61" s="59">
        <f t="shared" si="8"/>
        <v>0</v>
      </c>
      <c r="I61" s="59">
        <f t="shared" si="4"/>
        <v>2976</v>
      </c>
      <c r="J61" s="59">
        <f t="shared" si="5"/>
        <v>696384</v>
      </c>
    </row>
    <row r="62" spans="2:11" x14ac:dyDescent="0.3">
      <c r="B62" s="57">
        <f t="shared" si="6"/>
        <v>7</v>
      </c>
      <c r="C62" s="58">
        <f t="shared" si="9"/>
        <v>45174</v>
      </c>
      <c r="D62" s="59">
        <f t="shared" si="7"/>
        <v>696384</v>
      </c>
      <c r="E62" s="59">
        <f t="shared" si="2"/>
        <v>2976</v>
      </c>
      <c r="F62" s="96"/>
      <c r="G62" s="59">
        <f t="shared" si="3"/>
        <v>2976</v>
      </c>
      <c r="H62" s="59">
        <f t="shared" si="8"/>
        <v>0</v>
      </c>
      <c r="I62" s="59">
        <f t="shared" si="4"/>
        <v>2976</v>
      </c>
      <c r="J62" s="59">
        <f t="shared" si="5"/>
        <v>693408</v>
      </c>
    </row>
    <row r="63" spans="2:11" x14ac:dyDescent="0.3">
      <c r="B63" s="57">
        <f t="shared" si="6"/>
        <v>8</v>
      </c>
      <c r="C63" s="58">
        <f t="shared" si="9"/>
        <v>45204</v>
      </c>
      <c r="D63" s="59">
        <f t="shared" si="7"/>
        <v>693408</v>
      </c>
      <c r="E63" s="59">
        <f t="shared" si="2"/>
        <v>2976</v>
      </c>
      <c r="F63" s="96"/>
      <c r="G63" s="59">
        <f t="shared" si="3"/>
        <v>2976</v>
      </c>
      <c r="H63" s="59">
        <f t="shared" si="8"/>
        <v>0</v>
      </c>
      <c r="I63" s="59">
        <f t="shared" si="4"/>
        <v>2976</v>
      </c>
      <c r="J63" s="59">
        <f t="shared" si="5"/>
        <v>690432</v>
      </c>
    </row>
    <row r="64" spans="2:11" x14ac:dyDescent="0.3">
      <c r="B64" s="57">
        <f t="shared" si="6"/>
        <v>9</v>
      </c>
      <c r="C64" s="58">
        <f t="shared" si="9"/>
        <v>45235</v>
      </c>
      <c r="D64" s="59">
        <f t="shared" si="7"/>
        <v>690432</v>
      </c>
      <c r="E64" s="59">
        <f t="shared" si="2"/>
        <v>2976</v>
      </c>
      <c r="F64" s="96"/>
      <c r="G64" s="59">
        <f t="shared" si="3"/>
        <v>2976</v>
      </c>
      <c r="H64" s="59">
        <f t="shared" si="8"/>
        <v>0</v>
      </c>
      <c r="I64" s="59">
        <f t="shared" si="4"/>
        <v>2976</v>
      </c>
      <c r="J64" s="59">
        <f t="shared" si="5"/>
        <v>687456</v>
      </c>
    </row>
    <row r="65" spans="2:10" x14ac:dyDescent="0.3">
      <c r="B65" s="57">
        <f t="shared" si="6"/>
        <v>10</v>
      </c>
      <c r="C65" s="58">
        <f t="shared" si="9"/>
        <v>45265</v>
      </c>
      <c r="D65" s="59">
        <f t="shared" si="7"/>
        <v>687456</v>
      </c>
      <c r="E65" s="59">
        <f t="shared" si="2"/>
        <v>2976</v>
      </c>
      <c r="F65" s="96"/>
      <c r="G65" s="59">
        <f t="shared" si="3"/>
        <v>2976</v>
      </c>
      <c r="H65" s="59">
        <f t="shared" si="8"/>
        <v>0</v>
      </c>
      <c r="I65" s="59">
        <f t="shared" si="4"/>
        <v>2976</v>
      </c>
      <c r="J65" s="59">
        <f t="shared" si="5"/>
        <v>684480</v>
      </c>
    </row>
    <row r="66" spans="2:10" x14ac:dyDescent="0.3">
      <c r="B66" s="57">
        <f t="shared" si="6"/>
        <v>11</v>
      </c>
      <c r="C66" s="58">
        <f t="shared" si="9"/>
        <v>45296</v>
      </c>
      <c r="D66" s="59">
        <f t="shared" si="7"/>
        <v>684480</v>
      </c>
      <c r="E66" s="59">
        <f t="shared" si="2"/>
        <v>2976</v>
      </c>
      <c r="F66" s="96"/>
      <c r="G66" s="59">
        <f t="shared" si="3"/>
        <v>2976</v>
      </c>
      <c r="H66" s="59">
        <f t="shared" si="8"/>
        <v>0</v>
      </c>
      <c r="I66" s="59">
        <f t="shared" si="4"/>
        <v>2976</v>
      </c>
      <c r="J66" s="59">
        <f t="shared" si="5"/>
        <v>681504</v>
      </c>
    </row>
    <row r="67" spans="2:10" x14ac:dyDescent="0.3">
      <c r="B67" s="57">
        <f t="shared" si="6"/>
        <v>12</v>
      </c>
      <c r="C67" s="58">
        <f t="shared" si="9"/>
        <v>45327</v>
      </c>
      <c r="D67" s="59">
        <f t="shared" si="7"/>
        <v>681504</v>
      </c>
      <c r="E67" s="59">
        <f t="shared" si="2"/>
        <v>2976</v>
      </c>
      <c r="F67" s="96"/>
      <c r="G67" s="59">
        <f t="shared" si="3"/>
        <v>2976</v>
      </c>
      <c r="H67" s="59">
        <f t="shared" si="8"/>
        <v>0</v>
      </c>
      <c r="I67" s="59">
        <f t="shared" si="4"/>
        <v>2976</v>
      </c>
      <c r="J67" s="59">
        <f t="shared" si="5"/>
        <v>678528</v>
      </c>
    </row>
    <row r="68" spans="2:10" x14ac:dyDescent="0.3">
      <c r="B68" s="57">
        <f t="shared" si="6"/>
        <v>13</v>
      </c>
      <c r="C68" s="58">
        <f t="shared" si="9"/>
        <v>45356</v>
      </c>
      <c r="D68" s="59">
        <f t="shared" si="7"/>
        <v>678528</v>
      </c>
      <c r="E68" s="59">
        <f t="shared" si="2"/>
        <v>2976</v>
      </c>
      <c r="F68" s="96"/>
      <c r="G68" s="59">
        <f t="shared" si="3"/>
        <v>2976</v>
      </c>
      <c r="H68" s="59">
        <f t="shared" si="8"/>
        <v>0</v>
      </c>
      <c r="I68" s="59">
        <f t="shared" si="4"/>
        <v>2976</v>
      </c>
      <c r="J68" s="59">
        <f t="shared" si="5"/>
        <v>675552</v>
      </c>
    </row>
    <row r="69" spans="2:10" x14ac:dyDescent="0.3">
      <c r="B69" s="57">
        <f t="shared" si="6"/>
        <v>14</v>
      </c>
      <c r="C69" s="58">
        <f t="shared" si="9"/>
        <v>45387</v>
      </c>
      <c r="D69" s="59">
        <f t="shared" si="7"/>
        <v>675552</v>
      </c>
      <c r="E69" s="59">
        <f t="shared" si="2"/>
        <v>2976</v>
      </c>
      <c r="F69" s="96"/>
      <c r="G69" s="59">
        <f t="shared" si="3"/>
        <v>2976</v>
      </c>
      <c r="H69" s="59">
        <f t="shared" si="8"/>
        <v>0</v>
      </c>
      <c r="I69" s="59">
        <f t="shared" si="4"/>
        <v>2976</v>
      </c>
      <c r="J69" s="59">
        <f t="shared" si="5"/>
        <v>672576</v>
      </c>
    </row>
    <row r="70" spans="2:10" x14ac:dyDescent="0.3">
      <c r="B70" s="57">
        <f t="shared" si="6"/>
        <v>15</v>
      </c>
      <c r="C70" s="58">
        <f t="shared" si="9"/>
        <v>45417</v>
      </c>
      <c r="D70" s="59">
        <f t="shared" si="7"/>
        <v>672576</v>
      </c>
      <c r="E70" s="59">
        <f t="shared" si="2"/>
        <v>2976</v>
      </c>
      <c r="F70" s="96"/>
      <c r="G70" s="59">
        <f t="shared" si="3"/>
        <v>2976</v>
      </c>
      <c r="H70" s="59">
        <f t="shared" si="8"/>
        <v>0</v>
      </c>
      <c r="I70" s="59">
        <f t="shared" si="4"/>
        <v>2976</v>
      </c>
      <c r="J70" s="59">
        <f t="shared" si="5"/>
        <v>669600</v>
      </c>
    </row>
    <row r="71" spans="2:10" x14ac:dyDescent="0.3">
      <c r="B71" s="57">
        <f t="shared" si="6"/>
        <v>16</v>
      </c>
      <c r="C71" s="58">
        <f t="shared" si="9"/>
        <v>45448</v>
      </c>
      <c r="D71" s="59">
        <f t="shared" si="7"/>
        <v>669600</v>
      </c>
      <c r="E71" s="59">
        <f t="shared" si="2"/>
        <v>2976</v>
      </c>
      <c r="F71" s="96"/>
      <c r="G71" s="59">
        <f t="shared" si="3"/>
        <v>2976</v>
      </c>
      <c r="H71" s="59">
        <f t="shared" si="8"/>
        <v>0</v>
      </c>
      <c r="I71" s="59">
        <f t="shared" si="4"/>
        <v>2976</v>
      </c>
      <c r="J71" s="59">
        <f t="shared" si="5"/>
        <v>666624</v>
      </c>
    </row>
    <row r="72" spans="2:10" x14ac:dyDescent="0.3">
      <c r="B72" s="57">
        <f t="shared" si="6"/>
        <v>17</v>
      </c>
      <c r="C72" s="58">
        <f t="shared" si="9"/>
        <v>45478</v>
      </c>
      <c r="D72" s="59">
        <f t="shared" si="7"/>
        <v>666624</v>
      </c>
      <c r="E72" s="59">
        <f t="shared" si="2"/>
        <v>2976</v>
      </c>
      <c r="F72" s="96"/>
      <c r="G72" s="59">
        <f t="shared" si="3"/>
        <v>2976</v>
      </c>
      <c r="H72" s="59">
        <f t="shared" si="8"/>
        <v>0</v>
      </c>
      <c r="I72" s="59">
        <f t="shared" si="4"/>
        <v>2976</v>
      </c>
      <c r="J72" s="59">
        <f t="shared" si="5"/>
        <v>663648</v>
      </c>
    </row>
    <row r="73" spans="2:10" x14ac:dyDescent="0.3">
      <c r="B73" s="57">
        <f t="shared" si="6"/>
        <v>18</v>
      </c>
      <c r="C73" s="58">
        <f t="shared" si="9"/>
        <v>45509</v>
      </c>
      <c r="D73" s="59">
        <f t="shared" si="7"/>
        <v>663648</v>
      </c>
      <c r="E73" s="59">
        <f t="shared" si="2"/>
        <v>2976</v>
      </c>
      <c r="F73" s="96"/>
      <c r="G73" s="59">
        <f t="shared" si="3"/>
        <v>2976</v>
      </c>
      <c r="H73" s="59">
        <f t="shared" si="8"/>
        <v>0</v>
      </c>
      <c r="I73" s="59">
        <f t="shared" si="4"/>
        <v>2976</v>
      </c>
      <c r="J73" s="59">
        <f t="shared" si="5"/>
        <v>660672</v>
      </c>
    </row>
    <row r="74" spans="2:10" x14ac:dyDescent="0.3">
      <c r="B74" s="57">
        <f t="shared" si="6"/>
        <v>19</v>
      </c>
      <c r="C74" s="58">
        <f t="shared" si="9"/>
        <v>45540</v>
      </c>
      <c r="D74" s="59">
        <f t="shared" si="7"/>
        <v>660672</v>
      </c>
      <c r="E74" s="59">
        <f t="shared" si="2"/>
        <v>2976</v>
      </c>
      <c r="F74" s="96"/>
      <c r="G74" s="59">
        <f t="shared" si="3"/>
        <v>2976</v>
      </c>
      <c r="H74" s="59">
        <f t="shared" si="8"/>
        <v>0</v>
      </c>
      <c r="I74" s="59">
        <f t="shared" si="4"/>
        <v>2976</v>
      </c>
      <c r="J74" s="59">
        <f t="shared" si="5"/>
        <v>657696</v>
      </c>
    </row>
    <row r="75" spans="2:10" x14ac:dyDescent="0.3">
      <c r="B75" s="57">
        <f t="shared" si="6"/>
        <v>20</v>
      </c>
      <c r="C75" s="58">
        <f t="shared" si="9"/>
        <v>45570</v>
      </c>
      <c r="D75" s="59">
        <f t="shared" si="7"/>
        <v>657696</v>
      </c>
      <c r="E75" s="59">
        <f t="shared" si="2"/>
        <v>2976</v>
      </c>
      <c r="F75" s="96"/>
      <c r="G75" s="59">
        <f t="shared" si="3"/>
        <v>2976</v>
      </c>
      <c r="H75" s="59">
        <f t="shared" si="8"/>
        <v>0</v>
      </c>
      <c r="I75" s="59">
        <f t="shared" si="4"/>
        <v>2976</v>
      </c>
      <c r="J75" s="59">
        <f t="shared" si="5"/>
        <v>654720</v>
      </c>
    </row>
    <row r="76" spans="2:10" x14ac:dyDescent="0.3">
      <c r="B76" s="57">
        <f t="shared" si="6"/>
        <v>21</v>
      </c>
      <c r="C76" s="58">
        <f t="shared" si="9"/>
        <v>45601</v>
      </c>
      <c r="D76" s="59">
        <f t="shared" si="7"/>
        <v>654720</v>
      </c>
      <c r="E76" s="59">
        <f t="shared" si="2"/>
        <v>2976</v>
      </c>
      <c r="F76" s="96"/>
      <c r="G76" s="59">
        <f t="shared" si="3"/>
        <v>2976</v>
      </c>
      <c r="H76" s="59">
        <f t="shared" si="8"/>
        <v>0</v>
      </c>
      <c r="I76" s="59">
        <f t="shared" si="4"/>
        <v>2976</v>
      </c>
      <c r="J76" s="59">
        <f t="shared" si="5"/>
        <v>651744</v>
      </c>
    </row>
    <row r="77" spans="2:10" x14ac:dyDescent="0.3">
      <c r="B77" s="57">
        <f t="shared" si="6"/>
        <v>22</v>
      </c>
      <c r="C77" s="58">
        <f t="shared" si="9"/>
        <v>45631</v>
      </c>
      <c r="D77" s="59">
        <f t="shared" si="7"/>
        <v>651744</v>
      </c>
      <c r="E77" s="59">
        <f t="shared" si="2"/>
        <v>2976</v>
      </c>
      <c r="F77" s="96"/>
      <c r="G77" s="59">
        <f t="shared" si="3"/>
        <v>2976</v>
      </c>
      <c r="H77" s="59">
        <f t="shared" si="8"/>
        <v>0</v>
      </c>
      <c r="I77" s="59">
        <f t="shared" si="4"/>
        <v>2976</v>
      </c>
      <c r="J77" s="59">
        <f t="shared" si="5"/>
        <v>648768</v>
      </c>
    </row>
    <row r="78" spans="2:10" x14ac:dyDescent="0.3">
      <c r="B78" s="57">
        <f t="shared" si="6"/>
        <v>23</v>
      </c>
      <c r="C78" s="58">
        <f t="shared" si="9"/>
        <v>45662</v>
      </c>
      <c r="D78" s="59">
        <f t="shared" si="7"/>
        <v>648768</v>
      </c>
      <c r="E78" s="59">
        <f t="shared" si="2"/>
        <v>2976</v>
      </c>
      <c r="F78" s="96"/>
      <c r="G78" s="59">
        <f t="shared" si="3"/>
        <v>2976</v>
      </c>
      <c r="H78" s="59">
        <f t="shared" si="8"/>
        <v>0</v>
      </c>
      <c r="I78" s="59">
        <f t="shared" si="4"/>
        <v>2976</v>
      </c>
      <c r="J78" s="59">
        <f t="shared" si="5"/>
        <v>645792</v>
      </c>
    </row>
    <row r="79" spans="2:10" x14ac:dyDescent="0.3">
      <c r="B79" s="57">
        <f t="shared" si="6"/>
        <v>24</v>
      </c>
      <c r="C79" s="58">
        <f t="shared" si="9"/>
        <v>45693</v>
      </c>
      <c r="D79" s="59">
        <f t="shared" si="7"/>
        <v>645792</v>
      </c>
      <c r="E79" s="59">
        <f t="shared" si="2"/>
        <v>2976</v>
      </c>
      <c r="F79" s="96"/>
      <c r="G79" s="59">
        <f t="shared" si="3"/>
        <v>2976</v>
      </c>
      <c r="H79" s="59">
        <f t="shared" si="8"/>
        <v>0</v>
      </c>
      <c r="I79" s="59">
        <f t="shared" si="4"/>
        <v>2976</v>
      </c>
      <c r="J79" s="59">
        <f t="shared" si="5"/>
        <v>642816</v>
      </c>
    </row>
    <row r="80" spans="2:10" x14ac:dyDescent="0.3">
      <c r="B80" s="57">
        <f t="shared" si="6"/>
        <v>25</v>
      </c>
      <c r="C80" s="58">
        <f t="shared" si="9"/>
        <v>45721</v>
      </c>
      <c r="D80" s="59">
        <f t="shared" si="7"/>
        <v>642816</v>
      </c>
      <c r="E80" s="59">
        <f t="shared" si="2"/>
        <v>2976</v>
      </c>
      <c r="F80" s="96"/>
      <c r="G80" s="59">
        <f t="shared" si="3"/>
        <v>2976</v>
      </c>
      <c r="H80" s="59">
        <f t="shared" si="8"/>
        <v>0</v>
      </c>
      <c r="I80" s="59">
        <f t="shared" si="4"/>
        <v>2976</v>
      </c>
      <c r="J80" s="59">
        <f t="shared" si="5"/>
        <v>639840</v>
      </c>
    </row>
    <row r="81" spans="2:10" x14ac:dyDescent="0.3">
      <c r="B81" s="57">
        <f t="shared" si="6"/>
        <v>26</v>
      </c>
      <c r="C81" s="58">
        <f t="shared" si="9"/>
        <v>45752</v>
      </c>
      <c r="D81" s="59">
        <f t="shared" si="7"/>
        <v>639840</v>
      </c>
      <c r="E81" s="59">
        <f t="shared" si="2"/>
        <v>2976</v>
      </c>
      <c r="F81" s="96"/>
      <c r="G81" s="59">
        <f t="shared" si="3"/>
        <v>2976</v>
      </c>
      <c r="H81" s="59">
        <f t="shared" si="8"/>
        <v>0</v>
      </c>
      <c r="I81" s="59">
        <f t="shared" si="4"/>
        <v>2976</v>
      </c>
      <c r="J81" s="59">
        <f t="shared" si="5"/>
        <v>636864</v>
      </c>
    </row>
    <row r="82" spans="2:10" x14ac:dyDescent="0.3">
      <c r="B82" s="57">
        <f t="shared" si="6"/>
        <v>27</v>
      </c>
      <c r="C82" s="58">
        <f t="shared" si="9"/>
        <v>45782</v>
      </c>
      <c r="D82" s="59">
        <f t="shared" si="7"/>
        <v>636864</v>
      </c>
      <c r="E82" s="59">
        <f t="shared" si="2"/>
        <v>2976</v>
      </c>
      <c r="F82" s="96"/>
      <c r="G82" s="59">
        <f t="shared" si="3"/>
        <v>2976</v>
      </c>
      <c r="H82" s="59">
        <f t="shared" si="8"/>
        <v>0</v>
      </c>
      <c r="I82" s="59">
        <f t="shared" si="4"/>
        <v>2976</v>
      </c>
      <c r="J82" s="59">
        <f t="shared" si="5"/>
        <v>633888</v>
      </c>
    </row>
    <row r="83" spans="2:10" x14ac:dyDescent="0.3">
      <c r="B83" s="57">
        <f t="shared" si="6"/>
        <v>28</v>
      </c>
      <c r="C83" s="58">
        <f t="shared" si="9"/>
        <v>45813</v>
      </c>
      <c r="D83" s="59">
        <f t="shared" si="7"/>
        <v>633888</v>
      </c>
      <c r="E83" s="59">
        <f t="shared" si="2"/>
        <v>2976</v>
      </c>
      <c r="F83" s="96"/>
      <c r="G83" s="59">
        <f t="shared" si="3"/>
        <v>2976</v>
      </c>
      <c r="H83" s="59">
        <f t="shared" si="8"/>
        <v>0</v>
      </c>
      <c r="I83" s="59">
        <f t="shared" si="4"/>
        <v>2976</v>
      </c>
      <c r="J83" s="59">
        <f t="shared" si="5"/>
        <v>630912</v>
      </c>
    </row>
    <row r="84" spans="2:10" x14ac:dyDescent="0.3">
      <c r="B84" s="57">
        <f t="shared" si="6"/>
        <v>29</v>
      </c>
      <c r="C84" s="58">
        <f t="shared" si="9"/>
        <v>45843</v>
      </c>
      <c r="D84" s="59">
        <f t="shared" si="7"/>
        <v>630912</v>
      </c>
      <c r="E84" s="59">
        <f t="shared" si="2"/>
        <v>2976</v>
      </c>
      <c r="F84" s="96"/>
      <c r="G84" s="59">
        <f t="shared" si="3"/>
        <v>2976</v>
      </c>
      <c r="H84" s="59">
        <f t="shared" si="8"/>
        <v>0</v>
      </c>
      <c r="I84" s="59">
        <f t="shared" si="4"/>
        <v>2976</v>
      </c>
      <c r="J84" s="59">
        <f t="shared" si="5"/>
        <v>627936</v>
      </c>
    </row>
    <row r="85" spans="2:10" x14ac:dyDescent="0.3">
      <c r="B85" s="57">
        <f t="shared" si="6"/>
        <v>30</v>
      </c>
      <c r="C85" s="58">
        <f t="shared" si="9"/>
        <v>45874</v>
      </c>
      <c r="D85" s="59">
        <f t="shared" si="7"/>
        <v>627936</v>
      </c>
      <c r="E85" s="59">
        <f t="shared" si="2"/>
        <v>2976</v>
      </c>
      <c r="F85" s="96"/>
      <c r="G85" s="59">
        <f t="shared" si="3"/>
        <v>2976</v>
      </c>
      <c r="H85" s="59">
        <f t="shared" si="8"/>
        <v>0</v>
      </c>
      <c r="I85" s="59">
        <f t="shared" si="4"/>
        <v>2976</v>
      </c>
      <c r="J85" s="59">
        <f t="shared" si="5"/>
        <v>624960</v>
      </c>
    </row>
    <row r="86" spans="2:10" x14ac:dyDescent="0.3">
      <c r="B86" s="57">
        <f t="shared" si="6"/>
        <v>31</v>
      </c>
      <c r="C86" s="58">
        <f t="shared" si="9"/>
        <v>45905</v>
      </c>
      <c r="D86" s="59">
        <f t="shared" si="7"/>
        <v>624960</v>
      </c>
      <c r="E86" s="59">
        <f t="shared" si="2"/>
        <v>2976</v>
      </c>
      <c r="F86" s="96"/>
      <c r="G86" s="59">
        <f t="shared" si="3"/>
        <v>2976</v>
      </c>
      <c r="H86" s="59">
        <f t="shared" si="8"/>
        <v>0</v>
      </c>
      <c r="I86" s="59">
        <f t="shared" si="4"/>
        <v>2976</v>
      </c>
      <c r="J86" s="59">
        <f t="shared" si="5"/>
        <v>621984</v>
      </c>
    </row>
    <row r="87" spans="2:10" x14ac:dyDescent="0.3">
      <c r="B87" s="57">
        <f t="shared" si="6"/>
        <v>32</v>
      </c>
      <c r="C87" s="58">
        <f t="shared" si="9"/>
        <v>45935</v>
      </c>
      <c r="D87" s="59">
        <f t="shared" si="7"/>
        <v>621984</v>
      </c>
      <c r="E87" s="59">
        <f t="shared" si="2"/>
        <v>2976</v>
      </c>
      <c r="F87" s="96"/>
      <c r="G87" s="59">
        <f t="shared" si="3"/>
        <v>2976</v>
      </c>
      <c r="H87" s="59">
        <f t="shared" si="8"/>
        <v>0</v>
      </c>
      <c r="I87" s="59">
        <f t="shared" si="4"/>
        <v>2976</v>
      </c>
      <c r="J87" s="59">
        <f t="shared" si="5"/>
        <v>619008</v>
      </c>
    </row>
    <row r="88" spans="2:10" x14ac:dyDescent="0.3">
      <c r="B88" s="57">
        <f t="shared" si="6"/>
        <v>33</v>
      </c>
      <c r="C88" s="58">
        <f t="shared" si="9"/>
        <v>45966</v>
      </c>
      <c r="D88" s="59">
        <f t="shared" si="7"/>
        <v>619008</v>
      </c>
      <c r="E88" s="59">
        <f t="shared" si="2"/>
        <v>2976</v>
      </c>
      <c r="F88" s="96"/>
      <c r="G88" s="59">
        <f t="shared" ref="G88:G103" si="10">SUM(E88:F88)</f>
        <v>2976</v>
      </c>
      <c r="H88" s="59">
        <f t="shared" si="8"/>
        <v>0</v>
      </c>
      <c r="I88" s="59">
        <f t="shared" ref="I88:I103" si="11">G88-H88</f>
        <v>2976</v>
      </c>
      <c r="J88" s="59">
        <f t="shared" ref="J88:J103" si="12">D88-I88</f>
        <v>616032</v>
      </c>
    </row>
    <row r="89" spans="2:10" x14ac:dyDescent="0.3">
      <c r="B89" s="57">
        <f t="shared" si="6"/>
        <v>34</v>
      </c>
      <c r="C89" s="58">
        <f t="shared" ref="C89:C103" si="13">IF(B88&lt;$D$19,DATE(YEAR(C88),MONTH(C88)+1,DAY(C88)),"")</f>
        <v>45996</v>
      </c>
      <c r="D89" s="59">
        <f t="shared" si="7"/>
        <v>616032</v>
      </c>
      <c r="E89" s="59">
        <f t="shared" si="2"/>
        <v>2976</v>
      </c>
      <c r="F89" s="96"/>
      <c r="G89" s="59">
        <f t="shared" si="10"/>
        <v>2976</v>
      </c>
      <c r="H89" s="59">
        <f t="shared" ref="H89:H103" si="14">IF(B89&lt;=48,(D89*$D$52),0)</f>
        <v>0</v>
      </c>
      <c r="I89" s="59">
        <f t="shared" si="11"/>
        <v>2976</v>
      </c>
      <c r="J89" s="59">
        <f t="shared" si="12"/>
        <v>613056</v>
      </c>
    </row>
    <row r="90" spans="2:10" x14ac:dyDescent="0.3">
      <c r="B90" s="57">
        <f t="shared" si="6"/>
        <v>35</v>
      </c>
      <c r="C90" s="58">
        <f t="shared" si="13"/>
        <v>46027</v>
      </c>
      <c r="D90" s="59">
        <f t="shared" si="7"/>
        <v>613056</v>
      </c>
      <c r="E90" s="59">
        <f t="shared" si="2"/>
        <v>2976</v>
      </c>
      <c r="F90" s="96"/>
      <c r="G90" s="59">
        <f t="shared" si="10"/>
        <v>2976</v>
      </c>
      <c r="H90" s="59">
        <f t="shared" si="14"/>
        <v>0</v>
      </c>
      <c r="I90" s="59">
        <f t="shared" si="11"/>
        <v>2976</v>
      </c>
      <c r="J90" s="59">
        <f t="shared" si="12"/>
        <v>610080</v>
      </c>
    </row>
    <row r="91" spans="2:10" x14ac:dyDescent="0.3">
      <c r="B91" s="57">
        <f t="shared" si="6"/>
        <v>36</v>
      </c>
      <c r="C91" s="58">
        <f t="shared" si="13"/>
        <v>46058</v>
      </c>
      <c r="D91" s="59">
        <f t="shared" si="7"/>
        <v>610080</v>
      </c>
      <c r="E91" s="59">
        <f t="shared" si="2"/>
        <v>2976</v>
      </c>
      <c r="F91" s="96"/>
      <c r="G91" s="59">
        <f t="shared" si="10"/>
        <v>2976</v>
      </c>
      <c r="H91" s="59">
        <f t="shared" si="14"/>
        <v>0</v>
      </c>
      <c r="I91" s="59">
        <f t="shared" si="11"/>
        <v>2976</v>
      </c>
      <c r="J91" s="59">
        <f t="shared" si="12"/>
        <v>607104</v>
      </c>
    </row>
    <row r="92" spans="2:10" x14ac:dyDescent="0.3">
      <c r="B92" s="57">
        <f t="shared" si="6"/>
        <v>37</v>
      </c>
      <c r="C92" s="58">
        <f t="shared" si="13"/>
        <v>46086</v>
      </c>
      <c r="D92" s="59">
        <f t="shared" si="7"/>
        <v>607104</v>
      </c>
      <c r="E92" s="59">
        <f t="shared" si="2"/>
        <v>2976</v>
      </c>
      <c r="F92" s="96"/>
      <c r="G92" s="59">
        <f t="shared" si="10"/>
        <v>2976</v>
      </c>
      <c r="H92" s="59">
        <f t="shared" si="14"/>
        <v>0</v>
      </c>
      <c r="I92" s="59">
        <f t="shared" si="11"/>
        <v>2976</v>
      </c>
      <c r="J92" s="59">
        <f t="shared" si="12"/>
        <v>604128</v>
      </c>
    </row>
    <row r="93" spans="2:10" x14ac:dyDescent="0.3">
      <c r="B93" s="57">
        <f t="shared" si="6"/>
        <v>38</v>
      </c>
      <c r="C93" s="58">
        <f t="shared" si="13"/>
        <v>46117</v>
      </c>
      <c r="D93" s="59">
        <f t="shared" si="7"/>
        <v>604128</v>
      </c>
      <c r="E93" s="59">
        <f t="shared" si="2"/>
        <v>2976</v>
      </c>
      <c r="F93" s="96"/>
      <c r="G93" s="59">
        <f t="shared" si="10"/>
        <v>2976</v>
      </c>
      <c r="H93" s="59">
        <f t="shared" si="14"/>
        <v>0</v>
      </c>
      <c r="I93" s="59">
        <f t="shared" si="11"/>
        <v>2976</v>
      </c>
      <c r="J93" s="59">
        <f t="shared" si="12"/>
        <v>601152</v>
      </c>
    </row>
    <row r="94" spans="2:10" x14ac:dyDescent="0.3">
      <c r="B94" s="57">
        <f t="shared" si="6"/>
        <v>39</v>
      </c>
      <c r="C94" s="58">
        <f t="shared" si="13"/>
        <v>46147</v>
      </c>
      <c r="D94" s="59">
        <f t="shared" si="7"/>
        <v>601152</v>
      </c>
      <c r="E94" s="59">
        <f t="shared" si="2"/>
        <v>2976</v>
      </c>
      <c r="F94" s="96"/>
      <c r="G94" s="59">
        <f t="shared" si="10"/>
        <v>2976</v>
      </c>
      <c r="H94" s="59">
        <f t="shared" si="14"/>
        <v>0</v>
      </c>
      <c r="I94" s="59">
        <f t="shared" si="11"/>
        <v>2976</v>
      </c>
      <c r="J94" s="59">
        <f t="shared" si="12"/>
        <v>598176</v>
      </c>
    </row>
    <row r="95" spans="2:10" x14ac:dyDescent="0.3">
      <c r="B95" s="57">
        <f t="shared" si="6"/>
        <v>40</v>
      </c>
      <c r="C95" s="58">
        <f t="shared" si="13"/>
        <v>46178</v>
      </c>
      <c r="D95" s="59">
        <f t="shared" si="7"/>
        <v>598176</v>
      </c>
      <c r="E95" s="59">
        <f t="shared" si="2"/>
        <v>2976</v>
      </c>
      <c r="F95" s="96"/>
      <c r="G95" s="59">
        <f t="shared" si="10"/>
        <v>2976</v>
      </c>
      <c r="H95" s="59">
        <f t="shared" si="14"/>
        <v>0</v>
      </c>
      <c r="I95" s="59">
        <f t="shared" si="11"/>
        <v>2976</v>
      </c>
      <c r="J95" s="59">
        <f t="shared" si="12"/>
        <v>595200</v>
      </c>
    </row>
    <row r="96" spans="2:10" x14ac:dyDescent="0.3">
      <c r="B96" s="57">
        <f t="shared" si="6"/>
        <v>41</v>
      </c>
      <c r="C96" s="58">
        <f t="shared" si="13"/>
        <v>46208</v>
      </c>
      <c r="D96" s="59">
        <f t="shared" si="7"/>
        <v>595200</v>
      </c>
      <c r="E96" s="59">
        <f t="shared" si="2"/>
        <v>2976</v>
      </c>
      <c r="F96" s="96"/>
      <c r="G96" s="59">
        <f t="shared" si="10"/>
        <v>2976</v>
      </c>
      <c r="H96" s="59">
        <f t="shared" si="14"/>
        <v>0</v>
      </c>
      <c r="I96" s="59">
        <f t="shared" si="11"/>
        <v>2976</v>
      </c>
      <c r="J96" s="59">
        <f t="shared" si="12"/>
        <v>592224</v>
      </c>
    </row>
    <row r="97" spans="2:10" x14ac:dyDescent="0.3">
      <c r="B97" s="57">
        <f t="shared" si="6"/>
        <v>42</v>
      </c>
      <c r="C97" s="58">
        <f t="shared" si="13"/>
        <v>46239</v>
      </c>
      <c r="D97" s="59">
        <f t="shared" si="7"/>
        <v>592224</v>
      </c>
      <c r="E97" s="59">
        <f t="shared" si="2"/>
        <v>2976</v>
      </c>
      <c r="F97" s="96"/>
      <c r="G97" s="59">
        <f t="shared" si="10"/>
        <v>2976</v>
      </c>
      <c r="H97" s="59">
        <f t="shared" si="14"/>
        <v>0</v>
      </c>
      <c r="I97" s="59">
        <f t="shared" si="11"/>
        <v>2976</v>
      </c>
      <c r="J97" s="59">
        <f t="shared" si="12"/>
        <v>589248</v>
      </c>
    </row>
    <row r="98" spans="2:10" x14ac:dyDescent="0.3">
      <c r="B98" s="57">
        <f t="shared" si="6"/>
        <v>43</v>
      </c>
      <c r="C98" s="58">
        <f t="shared" si="13"/>
        <v>46270</v>
      </c>
      <c r="D98" s="59">
        <f t="shared" si="7"/>
        <v>589248</v>
      </c>
      <c r="E98" s="59">
        <f t="shared" si="2"/>
        <v>2976</v>
      </c>
      <c r="F98" s="96"/>
      <c r="G98" s="59">
        <f t="shared" si="10"/>
        <v>2976</v>
      </c>
      <c r="H98" s="59">
        <f t="shared" si="14"/>
        <v>0</v>
      </c>
      <c r="I98" s="59">
        <f t="shared" si="11"/>
        <v>2976</v>
      </c>
      <c r="J98" s="59">
        <f t="shared" si="12"/>
        <v>586272</v>
      </c>
    </row>
    <row r="99" spans="2:10" x14ac:dyDescent="0.3">
      <c r="B99" s="57">
        <f t="shared" si="6"/>
        <v>44</v>
      </c>
      <c r="C99" s="58">
        <f t="shared" si="13"/>
        <v>46300</v>
      </c>
      <c r="D99" s="59">
        <f t="shared" si="7"/>
        <v>586272</v>
      </c>
      <c r="E99" s="59">
        <f t="shared" si="2"/>
        <v>2976</v>
      </c>
      <c r="F99" s="96"/>
      <c r="G99" s="59">
        <f t="shared" si="10"/>
        <v>2976</v>
      </c>
      <c r="H99" s="59">
        <f t="shared" si="14"/>
        <v>0</v>
      </c>
      <c r="I99" s="59">
        <f t="shared" si="11"/>
        <v>2976</v>
      </c>
      <c r="J99" s="59">
        <f t="shared" si="12"/>
        <v>583296</v>
      </c>
    </row>
    <row r="100" spans="2:10" x14ac:dyDescent="0.3">
      <c r="B100" s="57">
        <f t="shared" si="6"/>
        <v>45</v>
      </c>
      <c r="C100" s="58">
        <f t="shared" si="13"/>
        <v>46331</v>
      </c>
      <c r="D100" s="59">
        <f t="shared" si="7"/>
        <v>583296</v>
      </c>
      <c r="E100" s="59">
        <f t="shared" si="2"/>
        <v>2976</v>
      </c>
      <c r="F100" s="96"/>
      <c r="G100" s="59">
        <f t="shared" si="10"/>
        <v>2976</v>
      </c>
      <c r="H100" s="59">
        <f t="shared" si="14"/>
        <v>0</v>
      </c>
      <c r="I100" s="59">
        <f t="shared" si="11"/>
        <v>2976</v>
      </c>
      <c r="J100" s="59">
        <f t="shared" si="12"/>
        <v>580320</v>
      </c>
    </row>
    <row r="101" spans="2:10" x14ac:dyDescent="0.3">
      <c r="B101" s="57">
        <f t="shared" si="6"/>
        <v>46</v>
      </c>
      <c r="C101" s="58">
        <f t="shared" si="13"/>
        <v>46361</v>
      </c>
      <c r="D101" s="59">
        <f t="shared" si="7"/>
        <v>580320</v>
      </c>
      <c r="E101" s="59">
        <f t="shared" si="2"/>
        <v>2976</v>
      </c>
      <c r="F101" s="96"/>
      <c r="G101" s="59">
        <f t="shared" si="10"/>
        <v>2976</v>
      </c>
      <c r="H101" s="59">
        <f t="shared" si="14"/>
        <v>0</v>
      </c>
      <c r="I101" s="59">
        <f t="shared" si="11"/>
        <v>2976</v>
      </c>
      <c r="J101" s="59">
        <f t="shared" si="12"/>
        <v>577344</v>
      </c>
    </row>
    <row r="102" spans="2:10" x14ac:dyDescent="0.3">
      <c r="B102" s="57">
        <f t="shared" si="6"/>
        <v>47</v>
      </c>
      <c r="C102" s="58">
        <f t="shared" si="13"/>
        <v>46392</v>
      </c>
      <c r="D102" s="59">
        <f t="shared" si="7"/>
        <v>577344</v>
      </c>
      <c r="E102" s="59">
        <f t="shared" si="2"/>
        <v>2976</v>
      </c>
      <c r="F102" s="96"/>
      <c r="G102" s="59">
        <f t="shared" si="10"/>
        <v>2976</v>
      </c>
      <c r="H102" s="59">
        <f t="shared" si="14"/>
        <v>0</v>
      </c>
      <c r="I102" s="59">
        <f t="shared" si="11"/>
        <v>2976</v>
      </c>
      <c r="J102" s="59">
        <f t="shared" si="12"/>
        <v>574368</v>
      </c>
    </row>
    <row r="103" spans="2:10" x14ac:dyDescent="0.3">
      <c r="B103" s="57">
        <f t="shared" si="6"/>
        <v>48</v>
      </c>
      <c r="C103" s="58">
        <f t="shared" si="13"/>
        <v>46423</v>
      </c>
      <c r="D103" s="59">
        <f t="shared" si="7"/>
        <v>574368</v>
      </c>
      <c r="E103" s="59">
        <f t="shared" si="2"/>
        <v>2976</v>
      </c>
      <c r="F103" s="96"/>
      <c r="G103" s="64">
        <f t="shared" si="10"/>
        <v>2976</v>
      </c>
      <c r="H103" s="64">
        <f t="shared" si="14"/>
        <v>0</v>
      </c>
      <c r="I103" s="64">
        <f t="shared" si="11"/>
        <v>2976</v>
      </c>
      <c r="J103" s="64">
        <f t="shared" si="12"/>
        <v>571392</v>
      </c>
    </row>
    <row r="104" spans="2:10" hidden="1" x14ac:dyDescent="0.3">
      <c r="B104" s="65">
        <f>_xlfn.AGGREGATE(2,6,Tabla1141634817[PERIODO])</f>
        <v>48</v>
      </c>
      <c r="C104" s="66">
        <f>VLOOKUP(Tabla1141634817[[#Totals],[PERIODO]],Tabla1141634817[[#Headers],[#Data]],2)</f>
        <v>46423</v>
      </c>
      <c r="D104" s="67"/>
      <c r="E104" s="68"/>
      <c r="F104" s="97">
        <f>SUM(F56:F103)</f>
        <v>0</v>
      </c>
      <c r="G104" s="68"/>
      <c r="H104" s="67"/>
      <c r="I104" s="68">
        <f>SUBTOTAL(109,Tabla1141634817[ABONO A CAPITAL])</f>
        <v>142848</v>
      </c>
      <c r="J104" s="68">
        <f>VLOOKUP(Tabla1141634817[[#Totals],[PERIODO]],Tabla1141634817[[#Headers],[#Data]],9)</f>
        <v>571392</v>
      </c>
    </row>
    <row r="105" spans="2:10" x14ac:dyDescent="0.3">
      <c r="B105" s="33"/>
      <c r="C105" s="33"/>
      <c r="D105" s="69"/>
      <c r="E105" s="33"/>
      <c r="F105" s="3"/>
      <c r="G105" s="33"/>
      <c r="H105" s="33"/>
      <c r="I105" s="33"/>
      <c r="J105" s="46"/>
    </row>
    <row r="106" spans="2:10" ht="20.25" x14ac:dyDescent="0.3">
      <c r="B106" s="175" t="s">
        <v>129</v>
      </c>
      <c r="C106" s="33"/>
      <c r="D106" s="69"/>
      <c r="E106" s="33"/>
      <c r="F106" s="33"/>
      <c r="G106" s="33"/>
      <c r="H106" s="33"/>
      <c r="I106" s="33"/>
      <c r="J106" s="46"/>
    </row>
    <row r="107" spans="2:10" hidden="1" x14ac:dyDescent="0.3">
      <c r="B107" s="47"/>
      <c r="C107" s="60" t="s">
        <v>16</v>
      </c>
      <c r="D107" s="70">
        <f>$I$104</f>
        <v>142848</v>
      </c>
      <c r="E107" s="47"/>
      <c r="F107" s="47"/>
      <c r="G107" s="47"/>
      <c r="H107" s="47"/>
      <c r="I107" s="47"/>
      <c r="J107" s="46"/>
    </row>
    <row r="108" spans="2:10" hidden="1" x14ac:dyDescent="0.3">
      <c r="B108" s="47"/>
      <c r="C108" s="60" t="s">
        <v>20</v>
      </c>
      <c r="D108" s="71">
        <f>$D$47-$D$107</f>
        <v>571392</v>
      </c>
      <c r="E108" s="47"/>
      <c r="F108" s="47"/>
      <c r="G108" s="47"/>
      <c r="H108" s="47"/>
      <c r="I108" s="47"/>
      <c r="J108" s="46"/>
    </row>
    <row r="109" spans="2:10" hidden="1" x14ac:dyDescent="0.3">
      <c r="B109" s="47"/>
      <c r="C109" s="60" t="s">
        <v>21</v>
      </c>
      <c r="D109" s="276">
        <f>$D$49-$D$51</f>
        <v>192</v>
      </c>
      <c r="E109" s="198"/>
      <c r="F109" s="47"/>
      <c r="G109" s="47"/>
      <c r="H109" s="47"/>
      <c r="I109" s="47"/>
      <c r="J109" s="46"/>
    </row>
    <row r="110" spans="2:10" hidden="1" x14ac:dyDescent="0.3">
      <c r="B110" s="47"/>
      <c r="C110" s="60" t="s">
        <v>22</v>
      </c>
      <c r="D110" s="72">
        <f>$D$111/12</f>
        <v>6</v>
      </c>
      <c r="E110" s="47"/>
      <c r="F110" s="47"/>
      <c r="G110" s="47"/>
      <c r="H110" s="47"/>
      <c r="I110" s="47"/>
      <c r="J110" s="46"/>
    </row>
    <row r="111" spans="2:10" hidden="1" x14ac:dyDescent="0.3">
      <c r="B111" s="47"/>
      <c r="C111" s="60" t="s">
        <v>23</v>
      </c>
      <c r="D111" s="73">
        <f>$D$20</f>
        <v>72</v>
      </c>
      <c r="E111" s="47"/>
      <c r="F111" s="47"/>
      <c r="G111" s="47"/>
      <c r="H111" s="47"/>
      <c r="I111" s="47"/>
      <c r="J111" s="46"/>
    </row>
    <row r="112" spans="2:10" hidden="1" x14ac:dyDescent="0.3">
      <c r="B112" s="47"/>
      <c r="C112" s="60" t="s">
        <v>9</v>
      </c>
      <c r="D112" s="74">
        <f>$E$20</f>
        <v>0.01</v>
      </c>
      <c r="E112" s="47"/>
      <c r="F112" s="47"/>
      <c r="G112" s="47"/>
      <c r="H112" s="47"/>
      <c r="I112" s="47"/>
      <c r="J112" s="46"/>
    </row>
    <row r="113" spans="2:10" hidden="1" x14ac:dyDescent="0.3">
      <c r="B113" s="47"/>
      <c r="C113" s="60" t="s">
        <v>24</v>
      </c>
      <c r="D113" s="61">
        <f>-PMT(D112,D109,D108)</f>
        <v>6706.5714720692931</v>
      </c>
      <c r="E113" s="47"/>
      <c r="F113" s="47"/>
      <c r="G113" s="47"/>
      <c r="H113" s="47"/>
      <c r="I113" s="47"/>
      <c r="J113" s="46"/>
    </row>
    <row r="114" spans="2:10" hidden="1" x14ac:dyDescent="0.3">
      <c r="B114" s="47"/>
      <c r="C114" s="47"/>
      <c r="D114" s="61">
        <f>$D$113*$D$111</f>
        <v>482873.1459889891</v>
      </c>
      <c r="E114" s="47"/>
      <c r="F114" s="47"/>
      <c r="G114" s="47"/>
      <c r="H114" s="47"/>
      <c r="I114" s="45"/>
      <c r="J114" s="46"/>
    </row>
    <row r="115" spans="2:10" x14ac:dyDescent="0.3">
      <c r="B115" s="62" t="s">
        <v>11</v>
      </c>
      <c r="C115" s="75" t="s">
        <v>12</v>
      </c>
      <c r="D115" s="75" t="s">
        <v>13</v>
      </c>
      <c r="E115" s="76" t="s">
        <v>25</v>
      </c>
      <c r="F115" s="75" t="s">
        <v>15</v>
      </c>
      <c r="G115" s="75" t="s">
        <v>16</v>
      </c>
      <c r="H115" s="75" t="s">
        <v>17</v>
      </c>
      <c r="I115" s="75" t="s">
        <v>18</v>
      </c>
      <c r="J115" s="76" t="s">
        <v>19</v>
      </c>
    </row>
    <row r="116" spans="2:10" hidden="1" x14ac:dyDescent="0.3">
      <c r="B116" s="57">
        <f>B104</f>
        <v>48</v>
      </c>
      <c r="C116" s="77">
        <f>C104</f>
        <v>46423</v>
      </c>
      <c r="D116" s="78">
        <f>D108</f>
        <v>571392</v>
      </c>
      <c r="E116" s="79"/>
      <c r="F116" s="98">
        <f>Tabla1141634817[[#Totals],[ABONOS]]</f>
        <v>0</v>
      </c>
      <c r="G116" s="80">
        <f t="shared" ref="G116:G180" si="15">SUM(E116:F116)</f>
        <v>0</v>
      </c>
      <c r="H116" s="78"/>
      <c r="I116" s="80">
        <f t="shared" ref="I116:I147" si="16">E116-H116</f>
        <v>0</v>
      </c>
      <c r="J116" s="80">
        <f t="shared" ref="J116:J180" si="17">D116-I116</f>
        <v>571392</v>
      </c>
    </row>
    <row r="117" spans="2:10" x14ac:dyDescent="0.3">
      <c r="B117" s="57">
        <f>IF(B116&lt;SUM($D$19:$D$20),B116+1,"")</f>
        <v>49</v>
      </c>
      <c r="C117" s="58">
        <f>IF(B116&lt;SUM($D$19:$D$20),DATE(YEAR(C116),MONTH(C116)+1,DAY(C116)),"")</f>
        <v>46451</v>
      </c>
      <c r="D117" s="59">
        <f>IF(B117&lt;=$E$18,J116)</f>
        <v>571392</v>
      </c>
      <c r="E117" s="59">
        <f t="shared" ref="E117:E180" si="18">IF(B117&lt;121,(-PMT($D$112,$D$109,$D$108)))</f>
        <v>6706.5714720692931</v>
      </c>
      <c r="F117" s="100"/>
      <c r="G117" s="59">
        <f t="shared" si="15"/>
        <v>6706.5714720692931</v>
      </c>
      <c r="H117" s="59">
        <f t="shared" ref="H117:H148" si="19">IF(B117&gt;$D$19,(D117*$D$112),0)</f>
        <v>5713.92</v>
      </c>
      <c r="I117" s="59">
        <f t="shared" si="16"/>
        <v>992.65147206929305</v>
      </c>
      <c r="J117" s="59">
        <f t="shared" si="17"/>
        <v>570399.34852793068</v>
      </c>
    </row>
    <row r="118" spans="2:10" x14ac:dyDescent="0.3">
      <c r="B118" s="57">
        <f t="shared" ref="B118:B181" si="20">IF(B117&lt;SUM($D$19:$D$20),B117+1,"")</f>
        <v>50</v>
      </c>
      <c r="C118" s="58">
        <f t="shared" ref="C118:C181" si="21">IF(B117&lt;SUM($D$19:$D$20),DATE(YEAR(C117),MONTH(C117)+1,DAY(C117)),"")</f>
        <v>46482</v>
      </c>
      <c r="D118" s="59">
        <f t="shared" ref="D118:D181" si="22">IF(B118&lt;=$E$18,J117)</f>
        <v>570399.34852793068</v>
      </c>
      <c r="E118" s="59">
        <f t="shared" si="18"/>
        <v>6706.5714720692931</v>
      </c>
      <c r="F118" s="96"/>
      <c r="G118" s="59">
        <f t="shared" si="15"/>
        <v>6706.5714720692931</v>
      </c>
      <c r="H118" s="59">
        <f t="shared" si="19"/>
        <v>5703.9934852793067</v>
      </c>
      <c r="I118" s="59">
        <f t="shared" si="16"/>
        <v>1002.5779867899864</v>
      </c>
      <c r="J118" s="59">
        <f t="shared" si="17"/>
        <v>569396.77054114069</v>
      </c>
    </row>
    <row r="119" spans="2:10" x14ac:dyDescent="0.3">
      <c r="B119" s="57">
        <f>IF(B118&lt;SUM($D$19:$D$20),B118+1,"")</f>
        <v>51</v>
      </c>
      <c r="C119" s="58">
        <f t="shared" si="21"/>
        <v>46512</v>
      </c>
      <c r="D119" s="59">
        <f t="shared" si="22"/>
        <v>569396.77054114069</v>
      </c>
      <c r="E119" s="59">
        <f t="shared" si="18"/>
        <v>6706.5714720692931</v>
      </c>
      <c r="F119" s="96"/>
      <c r="G119" s="59">
        <f t="shared" si="15"/>
        <v>6706.5714720692931</v>
      </c>
      <c r="H119" s="59">
        <f t="shared" si="19"/>
        <v>5693.9677054114072</v>
      </c>
      <c r="I119" s="59">
        <f t="shared" si="16"/>
        <v>1012.6037666578859</v>
      </c>
      <c r="J119" s="59">
        <f t="shared" si="17"/>
        <v>568384.16677448282</v>
      </c>
    </row>
    <row r="120" spans="2:10" x14ac:dyDescent="0.3">
      <c r="B120" s="57">
        <f t="shared" si="20"/>
        <v>52</v>
      </c>
      <c r="C120" s="58">
        <f t="shared" si="21"/>
        <v>46543</v>
      </c>
      <c r="D120" s="59">
        <f t="shared" si="22"/>
        <v>568384.16677448282</v>
      </c>
      <c r="E120" s="59">
        <f t="shared" si="18"/>
        <v>6706.5714720692931</v>
      </c>
      <c r="F120" s="96"/>
      <c r="G120" s="59">
        <f t="shared" si="15"/>
        <v>6706.5714720692931</v>
      </c>
      <c r="H120" s="59">
        <f t="shared" si="19"/>
        <v>5683.8416677448286</v>
      </c>
      <c r="I120" s="59">
        <f t="shared" si="16"/>
        <v>1022.7298043244646</v>
      </c>
      <c r="J120" s="59">
        <f t="shared" si="17"/>
        <v>567361.43697015836</v>
      </c>
    </row>
    <row r="121" spans="2:10" x14ac:dyDescent="0.3">
      <c r="B121" s="57">
        <f t="shared" si="20"/>
        <v>53</v>
      </c>
      <c r="C121" s="58">
        <f t="shared" si="21"/>
        <v>46573</v>
      </c>
      <c r="D121" s="59">
        <f t="shared" si="22"/>
        <v>567361.43697015836</v>
      </c>
      <c r="E121" s="59">
        <f t="shared" si="18"/>
        <v>6706.5714720692931</v>
      </c>
      <c r="F121" s="96"/>
      <c r="G121" s="59">
        <f t="shared" si="15"/>
        <v>6706.5714720692931</v>
      </c>
      <c r="H121" s="59">
        <f t="shared" si="19"/>
        <v>5673.6143697015841</v>
      </c>
      <c r="I121" s="59">
        <f t="shared" si="16"/>
        <v>1032.957102367709</v>
      </c>
      <c r="J121" s="59">
        <f t="shared" si="17"/>
        <v>566328.47986779071</v>
      </c>
    </row>
    <row r="122" spans="2:10" x14ac:dyDescent="0.3">
      <c r="B122" s="57">
        <f t="shared" si="20"/>
        <v>54</v>
      </c>
      <c r="C122" s="58">
        <f t="shared" si="21"/>
        <v>46604</v>
      </c>
      <c r="D122" s="59">
        <f t="shared" si="22"/>
        <v>566328.47986779071</v>
      </c>
      <c r="E122" s="59">
        <f t="shared" si="18"/>
        <v>6706.5714720692931</v>
      </c>
      <c r="F122" s="96"/>
      <c r="G122" s="59">
        <f t="shared" si="15"/>
        <v>6706.5714720692931</v>
      </c>
      <c r="H122" s="59">
        <f t="shared" si="19"/>
        <v>5663.284798677907</v>
      </c>
      <c r="I122" s="59">
        <f t="shared" si="16"/>
        <v>1043.2866733913861</v>
      </c>
      <c r="J122" s="59">
        <f t="shared" si="17"/>
        <v>565285.19319439935</v>
      </c>
    </row>
    <row r="123" spans="2:10" x14ac:dyDescent="0.3">
      <c r="B123" s="57">
        <f t="shared" si="20"/>
        <v>55</v>
      </c>
      <c r="C123" s="58">
        <f t="shared" si="21"/>
        <v>46635</v>
      </c>
      <c r="D123" s="59">
        <f t="shared" si="22"/>
        <v>565285.19319439935</v>
      </c>
      <c r="E123" s="59">
        <f t="shared" si="18"/>
        <v>6706.5714720692931</v>
      </c>
      <c r="F123" s="96"/>
      <c r="G123" s="59">
        <f t="shared" si="15"/>
        <v>6706.5714720692931</v>
      </c>
      <c r="H123" s="59">
        <f t="shared" si="19"/>
        <v>5652.8519319439938</v>
      </c>
      <c r="I123" s="59">
        <f t="shared" si="16"/>
        <v>1053.7195401252993</v>
      </c>
      <c r="J123" s="59">
        <f t="shared" si="17"/>
        <v>564231.47365427401</v>
      </c>
    </row>
    <row r="124" spans="2:10" x14ac:dyDescent="0.3">
      <c r="B124" s="57">
        <f t="shared" si="20"/>
        <v>56</v>
      </c>
      <c r="C124" s="58">
        <f t="shared" si="21"/>
        <v>46665</v>
      </c>
      <c r="D124" s="59">
        <f t="shared" si="22"/>
        <v>564231.47365427401</v>
      </c>
      <c r="E124" s="59">
        <f t="shared" si="18"/>
        <v>6706.5714720692931</v>
      </c>
      <c r="F124" s="96"/>
      <c r="G124" s="59">
        <f t="shared" si="15"/>
        <v>6706.5714720692931</v>
      </c>
      <c r="H124" s="59">
        <f t="shared" si="19"/>
        <v>5642.3147365427403</v>
      </c>
      <c r="I124" s="59">
        <f t="shared" si="16"/>
        <v>1064.2567355265528</v>
      </c>
      <c r="J124" s="59">
        <f t="shared" si="17"/>
        <v>563167.21691874741</v>
      </c>
    </row>
    <row r="125" spans="2:10" x14ac:dyDescent="0.3">
      <c r="B125" s="57">
        <f t="shared" si="20"/>
        <v>57</v>
      </c>
      <c r="C125" s="58">
        <f t="shared" si="21"/>
        <v>46696</v>
      </c>
      <c r="D125" s="59">
        <f t="shared" si="22"/>
        <v>563167.21691874741</v>
      </c>
      <c r="E125" s="59">
        <f t="shared" si="18"/>
        <v>6706.5714720692931</v>
      </c>
      <c r="F125" s="96"/>
      <c r="G125" s="59">
        <f t="shared" si="15"/>
        <v>6706.5714720692931</v>
      </c>
      <c r="H125" s="59">
        <f t="shared" si="19"/>
        <v>5631.6721691874745</v>
      </c>
      <c r="I125" s="59">
        <f t="shared" si="16"/>
        <v>1074.8993028818186</v>
      </c>
      <c r="J125" s="59">
        <f t="shared" si="17"/>
        <v>562092.31761586561</v>
      </c>
    </row>
    <row r="126" spans="2:10" x14ac:dyDescent="0.3">
      <c r="B126" s="57">
        <f t="shared" si="20"/>
        <v>58</v>
      </c>
      <c r="C126" s="58">
        <f t="shared" si="21"/>
        <v>46726</v>
      </c>
      <c r="D126" s="59">
        <f t="shared" si="22"/>
        <v>562092.31761586561</v>
      </c>
      <c r="E126" s="59">
        <f t="shared" si="18"/>
        <v>6706.5714720692931</v>
      </c>
      <c r="F126" s="96"/>
      <c r="G126" s="59">
        <f t="shared" si="15"/>
        <v>6706.5714720692931</v>
      </c>
      <c r="H126" s="59">
        <f t="shared" si="19"/>
        <v>5620.9231761586561</v>
      </c>
      <c r="I126" s="59">
        <f t="shared" si="16"/>
        <v>1085.648295910637</v>
      </c>
      <c r="J126" s="59">
        <f t="shared" si="17"/>
        <v>561006.66931995493</v>
      </c>
    </row>
    <row r="127" spans="2:10" x14ac:dyDescent="0.3">
      <c r="B127" s="57">
        <f t="shared" si="20"/>
        <v>59</v>
      </c>
      <c r="C127" s="58">
        <f t="shared" si="21"/>
        <v>46757</v>
      </c>
      <c r="D127" s="59">
        <f t="shared" si="22"/>
        <v>561006.66931995493</v>
      </c>
      <c r="E127" s="59">
        <f t="shared" si="18"/>
        <v>6706.5714720692931</v>
      </c>
      <c r="F127" s="96"/>
      <c r="G127" s="59">
        <f t="shared" si="15"/>
        <v>6706.5714720692931</v>
      </c>
      <c r="H127" s="59">
        <f t="shared" si="19"/>
        <v>5610.0666931995493</v>
      </c>
      <c r="I127" s="59">
        <f t="shared" si="16"/>
        <v>1096.5047788697439</v>
      </c>
      <c r="J127" s="59">
        <f t="shared" si="17"/>
        <v>559910.16454108513</v>
      </c>
    </row>
    <row r="128" spans="2:10" x14ac:dyDescent="0.3">
      <c r="B128" s="57">
        <f t="shared" si="20"/>
        <v>60</v>
      </c>
      <c r="C128" s="58">
        <f t="shared" si="21"/>
        <v>46788</v>
      </c>
      <c r="D128" s="59">
        <f t="shared" si="22"/>
        <v>559910.16454108513</v>
      </c>
      <c r="E128" s="59">
        <f t="shared" si="18"/>
        <v>6706.5714720692931</v>
      </c>
      <c r="F128" s="96"/>
      <c r="G128" s="59">
        <f t="shared" si="15"/>
        <v>6706.5714720692931</v>
      </c>
      <c r="H128" s="59">
        <f t="shared" si="19"/>
        <v>5599.1016454108512</v>
      </c>
      <c r="I128" s="59">
        <f t="shared" si="16"/>
        <v>1107.4698266584419</v>
      </c>
      <c r="J128" s="59">
        <f t="shared" si="17"/>
        <v>558802.69471442665</v>
      </c>
    </row>
    <row r="129" spans="2:10" x14ac:dyDescent="0.3">
      <c r="B129" s="57">
        <f t="shared" si="20"/>
        <v>61</v>
      </c>
      <c r="C129" s="58">
        <f t="shared" si="21"/>
        <v>46817</v>
      </c>
      <c r="D129" s="59">
        <f t="shared" si="22"/>
        <v>558802.69471442665</v>
      </c>
      <c r="E129" s="59">
        <f t="shared" si="18"/>
        <v>6706.5714720692931</v>
      </c>
      <c r="F129" s="96"/>
      <c r="G129" s="59">
        <f t="shared" si="15"/>
        <v>6706.5714720692931</v>
      </c>
      <c r="H129" s="59">
        <f t="shared" si="19"/>
        <v>5588.0269471442662</v>
      </c>
      <c r="I129" s="59">
        <f t="shared" si="16"/>
        <v>1118.544524925027</v>
      </c>
      <c r="J129" s="59">
        <f t="shared" si="17"/>
        <v>557684.15018950158</v>
      </c>
    </row>
    <row r="130" spans="2:10" x14ac:dyDescent="0.3">
      <c r="B130" s="57">
        <f t="shared" si="20"/>
        <v>62</v>
      </c>
      <c r="C130" s="58">
        <f t="shared" si="21"/>
        <v>46848</v>
      </c>
      <c r="D130" s="59">
        <f t="shared" si="22"/>
        <v>557684.15018950158</v>
      </c>
      <c r="E130" s="59">
        <f t="shared" si="18"/>
        <v>6706.5714720692931</v>
      </c>
      <c r="F130" s="96"/>
      <c r="G130" s="59">
        <f t="shared" si="15"/>
        <v>6706.5714720692931</v>
      </c>
      <c r="H130" s="59">
        <f t="shared" si="19"/>
        <v>5576.8415018950163</v>
      </c>
      <c r="I130" s="59">
        <f t="shared" si="16"/>
        <v>1129.7299701742768</v>
      </c>
      <c r="J130" s="59">
        <f t="shared" si="17"/>
        <v>556554.42021932732</v>
      </c>
    </row>
    <row r="131" spans="2:10" x14ac:dyDescent="0.3">
      <c r="B131" s="57">
        <f t="shared" si="20"/>
        <v>63</v>
      </c>
      <c r="C131" s="58">
        <f t="shared" si="21"/>
        <v>46878</v>
      </c>
      <c r="D131" s="59">
        <f t="shared" si="22"/>
        <v>556554.42021932732</v>
      </c>
      <c r="E131" s="59">
        <f t="shared" si="18"/>
        <v>6706.5714720692931</v>
      </c>
      <c r="F131" s="96"/>
      <c r="G131" s="59">
        <f t="shared" si="15"/>
        <v>6706.5714720692931</v>
      </c>
      <c r="H131" s="59">
        <f t="shared" si="19"/>
        <v>5565.5442021932731</v>
      </c>
      <c r="I131" s="59">
        <f t="shared" si="16"/>
        <v>1141.02726987602</v>
      </c>
      <c r="J131" s="59">
        <f t="shared" si="17"/>
        <v>555413.39294945134</v>
      </c>
    </row>
    <row r="132" spans="2:10" x14ac:dyDescent="0.3">
      <c r="B132" s="57">
        <f t="shared" si="20"/>
        <v>64</v>
      </c>
      <c r="C132" s="58">
        <f t="shared" si="21"/>
        <v>46909</v>
      </c>
      <c r="D132" s="59">
        <f t="shared" si="22"/>
        <v>555413.39294945134</v>
      </c>
      <c r="E132" s="59">
        <f t="shared" si="18"/>
        <v>6706.5714720692931</v>
      </c>
      <c r="F132" s="96"/>
      <c r="G132" s="59">
        <f t="shared" si="15"/>
        <v>6706.5714720692931</v>
      </c>
      <c r="H132" s="59">
        <f t="shared" si="19"/>
        <v>5554.1339294945137</v>
      </c>
      <c r="I132" s="59">
        <f t="shared" si="16"/>
        <v>1152.4375425747794</v>
      </c>
      <c r="J132" s="59">
        <f t="shared" si="17"/>
        <v>554260.95540687651</v>
      </c>
    </row>
    <row r="133" spans="2:10" x14ac:dyDescent="0.3">
      <c r="B133" s="57">
        <f t="shared" si="20"/>
        <v>65</v>
      </c>
      <c r="C133" s="58">
        <f t="shared" si="21"/>
        <v>46939</v>
      </c>
      <c r="D133" s="59">
        <f t="shared" si="22"/>
        <v>554260.95540687651</v>
      </c>
      <c r="E133" s="59">
        <f t="shared" si="18"/>
        <v>6706.5714720692931</v>
      </c>
      <c r="F133" s="96"/>
      <c r="G133" s="59">
        <f t="shared" si="15"/>
        <v>6706.5714720692931</v>
      </c>
      <c r="H133" s="59">
        <f t="shared" si="19"/>
        <v>5542.6095540687656</v>
      </c>
      <c r="I133" s="59">
        <f t="shared" si="16"/>
        <v>1163.9619180005275</v>
      </c>
      <c r="J133" s="59">
        <f t="shared" si="17"/>
        <v>553096.99348887603</v>
      </c>
    </row>
    <row r="134" spans="2:10" x14ac:dyDescent="0.3">
      <c r="B134" s="57">
        <f t="shared" si="20"/>
        <v>66</v>
      </c>
      <c r="C134" s="58">
        <f t="shared" si="21"/>
        <v>46970</v>
      </c>
      <c r="D134" s="59">
        <f t="shared" si="22"/>
        <v>553096.99348887603</v>
      </c>
      <c r="E134" s="59">
        <f t="shared" si="18"/>
        <v>6706.5714720692931</v>
      </c>
      <c r="F134" s="96"/>
      <c r="G134" s="59">
        <f t="shared" si="15"/>
        <v>6706.5714720692931</v>
      </c>
      <c r="H134" s="59">
        <f t="shared" si="19"/>
        <v>5530.9699348887607</v>
      </c>
      <c r="I134" s="59">
        <f t="shared" si="16"/>
        <v>1175.6015371805324</v>
      </c>
      <c r="J134" s="59">
        <f t="shared" si="17"/>
        <v>551921.39195169555</v>
      </c>
    </row>
    <row r="135" spans="2:10" x14ac:dyDescent="0.3">
      <c r="B135" s="57">
        <f t="shared" si="20"/>
        <v>67</v>
      </c>
      <c r="C135" s="58">
        <f t="shared" si="21"/>
        <v>47001</v>
      </c>
      <c r="D135" s="59">
        <f t="shared" si="22"/>
        <v>551921.39195169555</v>
      </c>
      <c r="E135" s="59">
        <f t="shared" si="18"/>
        <v>6706.5714720692931</v>
      </c>
      <c r="F135" s="96"/>
      <c r="G135" s="59">
        <f t="shared" si="15"/>
        <v>6706.5714720692931</v>
      </c>
      <c r="H135" s="59">
        <f t="shared" si="19"/>
        <v>5519.2139195169557</v>
      </c>
      <c r="I135" s="59">
        <f t="shared" si="16"/>
        <v>1187.3575525523374</v>
      </c>
      <c r="J135" s="59">
        <f t="shared" si="17"/>
        <v>550734.03439914319</v>
      </c>
    </row>
    <row r="136" spans="2:10" x14ac:dyDescent="0.3">
      <c r="B136" s="57">
        <f t="shared" si="20"/>
        <v>68</v>
      </c>
      <c r="C136" s="58">
        <f t="shared" si="21"/>
        <v>47031</v>
      </c>
      <c r="D136" s="59">
        <f t="shared" si="22"/>
        <v>550734.03439914319</v>
      </c>
      <c r="E136" s="59">
        <f t="shared" si="18"/>
        <v>6706.5714720692931</v>
      </c>
      <c r="F136" s="96"/>
      <c r="G136" s="59">
        <f t="shared" si="15"/>
        <v>6706.5714720692931</v>
      </c>
      <c r="H136" s="59">
        <f t="shared" si="19"/>
        <v>5507.3403439914318</v>
      </c>
      <c r="I136" s="59">
        <f t="shared" si="16"/>
        <v>1199.2311280778613</v>
      </c>
      <c r="J136" s="59">
        <f t="shared" si="17"/>
        <v>549534.80327106535</v>
      </c>
    </row>
    <row r="137" spans="2:10" x14ac:dyDescent="0.3">
      <c r="B137" s="57">
        <f t="shared" si="20"/>
        <v>69</v>
      </c>
      <c r="C137" s="58">
        <f t="shared" si="21"/>
        <v>47062</v>
      </c>
      <c r="D137" s="59">
        <f t="shared" si="22"/>
        <v>549534.80327106535</v>
      </c>
      <c r="E137" s="59">
        <f t="shared" si="18"/>
        <v>6706.5714720692931</v>
      </c>
      <c r="F137" s="96"/>
      <c r="G137" s="59">
        <f t="shared" si="15"/>
        <v>6706.5714720692931</v>
      </c>
      <c r="H137" s="59">
        <f t="shared" si="19"/>
        <v>5495.3480327106536</v>
      </c>
      <c r="I137" s="59">
        <f t="shared" si="16"/>
        <v>1211.2234393586396</v>
      </c>
      <c r="J137" s="59">
        <f t="shared" si="17"/>
        <v>548323.57983170671</v>
      </c>
    </row>
    <row r="138" spans="2:10" x14ac:dyDescent="0.3">
      <c r="B138" s="57">
        <f t="shared" si="20"/>
        <v>70</v>
      </c>
      <c r="C138" s="58">
        <f t="shared" si="21"/>
        <v>47092</v>
      </c>
      <c r="D138" s="59">
        <f t="shared" si="22"/>
        <v>548323.57983170671</v>
      </c>
      <c r="E138" s="59">
        <f t="shared" si="18"/>
        <v>6706.5714720692931</v>
      </c>
      <c r="F138" s="96"/>
      <c r="G138" s="59">
        <f t="shared" si="15"/>
        <v>6706.5714720692931</v>
      </c>
      <c r="H138" s="59">
        <f t="shared" si="19"/>
        <v>5483.2357983170668</v>
      </c>
      <c r="I138" s="59">
        <f t="shared" si="16"/>
        <v>1223.3356737522263</v>
      </c>
      <c r="J138" s="59">
        <f t="shared" si="17"/>
        <v>547100.24415795447</v>
      </c>
    </row>
    <row r="139" spans="2:10" x14ac:dyDescent="0.3">
      <c r="B139" s="57">
        <f t="shared" si="20"/>
        <v>71</v>
      </c>
      <c r="C139" s="58">
        <f t="shared" si="21"/>
        <v>47123</v>
      </c>
      <c r="D139" s="59">
        <f t="shared" si="22"/>
        <v>547100.24415795447</v>
      </c>
      <c r="E139" s="59">
        <f t="shared" si="18"/>
        <v>6706.5714720692931</v>
      </c>
      <c r="F139" s="96"/>
      <c r="G139" s="59">
        <f t="shared" si="15"/>
        <v>6706.5714720692931</v>
      </c>
      <c r="H139" s="59">
        <f t="shared" si="19"/>
        <v>5471.0024415795451</v>
      </c>
      <c r="I139" s="59">
        <f t="shared" si="16"/>
        <v>1235.569030489748</v>
      </c>
      <c r="J139" s="59">
        <f t="shared" si="17"/>
        <v>545864.6751274647</v>
      </c>
    </row>
    <row r="140" spans="2:10" x14ac:dyDescent="0.3">
      <c r="B140" s="57">
        <f t="shared" si="20"/>
        <v>72</v>
      </c>
      <c r="C140" s="58">
        <f t="shared" si="21"/>
        <v>47154</v>
      </c>
      <c r="D140" s="59">
        <f t="shared" si="22"/>
        <v>545864.6751274647</v>
      </c>
      <c r="E140" s="59">
        <f t="shared" si="18"/>
        <v>6706.5714720692931</v>
      </c>
      <c r="F140" s="96"/>
      <c r="G140" s="59">
        <f t="shared" si="15"/>
        <v>6706.5714720692931</v>
      </c>
      <c r="H140" s="59">
        <f t="shared" si="19"/>
        <v>5458.6467512746467</v>
      </c>
      <c r="I140" s="59">
        <f t="shared" si="16"/>
        <v>1247.9247207946464</v>
      </c>
      <c r="J140" s="59">
        <f t="shared" si="17"/>
        <v>544616.75040667003</v>
      </c>
    </row>
    <row r="141" spans="2:10" x14ac:dyDescent="0.3">
      <c r="B141" s="57">
        <f t="shared" si="20"/>
        <v>73</v>
      </c>
      <c r="C141" s="58">
        <f t="shared" si="21"/>
        <v>47182</v>
      </c>
      <c r="D141" s="59">
        <f t="shared" si="22"/>
        <v>544616.75040667003</v>
      </c>
      <c r="E141" s="59">
        <f t="shared" si="18"/>
        <v>6706.5714720692931</v>
      </c>
      <c r="F141" s="96"/>
      <c r="G141" s="59">
        <f t="shared" si="15"/>
        <v>6706.5714720692931</v>
      </c>
      <c r="H141" s="59">
        <f t="shared" si="19"/>
        <v>5446.1675040667005</v>
      </c>
      <c r="I141" s="59">
        <f t="shared" si="16"/>
        <v>1260.4039680025926</v>
      </c>
      <c r="J141" s="59">
        <f t="shared" si="17"/>
        <v>543356.34643866739</v>
      </c>
    </row>
    <row r="142" spans="2:10" x14ac:dyDescent="0.3">
      <c r="B142" s="57">
        <f t="shared" si="20"/>
        <v>74</v>
      </c>
      <c r="C142" s="58">
        <f t="shared" si="21"/>
        <v>47213</v>
      </c>
      <c r="D142" s="59">
        <f t="shared" si="22"/>
        <v>543356.34643866739</v>
      </c>
      <c r="E142" s="59">
        <f t="shared" si="18"/>
        <v>6706.5714720692931</v>
      </c>
      <c r="F142" s="96"/>
      <c r="G142" s="59">
        <f t="shared" si="15"/>
        <v>6706.5714720692931</v>
      </c>
      <c r="H142" s="59">
        <f t="shared" si="19"/>
        <v>5433.5634643866742</v>
      </c>
      <c r="I142" s="59">
        <f t="shared" si="16"/>
        <v>1273.0080076826189</v>
      </c>
      <c r="J142" s="59">
        <f t="shared" si="17"/>
        <v>542083.33843098476</v>
      </c>
    </row>
    <row r="143" spans="2:10" x14ac:dyDescent="0.3">
      <c r="B143" s="57">
        <f t="shared" si="20"/>
        <v>75</v>
      </c>
      <c r="C143" s="58">
        <f t="shared" si="21"/>
        <v>47243</v>
      </c>
      <c r="D143" s="59">
        <f t="shared" si="22"/>
        <v>542083.33843098476</v>
      </c>
      <c r="E143" s="59">
        <f t="shared" si="18"/>
        <v>6706.5714720692931</v>
      </c>
      <c r="F143" s="96"/>
      <c r="G143" s="59">
        <f t="shared" si="15"/>
        <v>6706.5714720692931</v>
      </c>
      <c r="H143" s="59">
        <f t="shared" si="19"/>
        <v>5420.833384309848</v>
      </c>
      <c r="I143" s="59">
        <f t="shared" si="16"/>
        <v>1285.7380877594451</v>
      </c>
      <c r="J143" s="59">
        <f t="shared" si="17"/>
        <v>540797.60034322529</v>
      </c>
    </row>
    <row r="144" spans="2:10" x14ac:dyDescent="0.3">
      <c r="B144" s="57">
        <f t="shared" si="20"/>
        <v>76</v>
      </c>
      <c r="C144" s="58">
        <f t="shared" si="21"/>
        <v>47274</v>
      </c>
      <c r="D144" s="59">
        <f t="shared" si="22"/>
        <v>540797.60034322529</v>
      </c>
      <c r="E144" s="59">
        <f t="shared" si="18"/>
        <v>6706.5714720692931</v>
      </c>
      <c r="F144" s="96"/>
      <c r="G144" s="59">
        <f t="shared" si="15"/>
        <v>6706.5714720692931</v>
      </c>
      <c r="H144" s="59">
        <f t="shared" si="19"/>
        <v>5407.9760034322526</v>
      </c>
      <c r="I144" s="59">
        <f t="shared" si="16"/>
        <v>1298.5954686370405</v>
      </c>
      <c r="J144" s="59">
        <f t="shared" si="17"/>
        <v>539499.00487458822</v>
      </c>
    </row>
    <row r="145" spans="2:10" x14ac:dyDescent="0.3">
      <c r="B145" s="57">
        <f t="shared" si="20"/>
        <v>77</v>
      </c>
      <c r="C145" s="58">
        <f t="shared" si="21"/>
        <v>47304</v>
      </c>
      <c r="D145" s="59">
        <f t="shared" si="22"/>
        <v>539499.00487458822</v>
      </c>
      <c r="E145" s="59">
        <f t="shared" si="18"/>
        <v>6706.5714720692931</v>
      </c>
      <c r="F145" s="96"/>
      <c r="G145" s="59">
        <f t="shared" si="15"/>
        <v>6706.5714720692931</v>
      </c>
      <c r="H145" s="59">
        <f t="shared" si="19"/>
        <v>5394.9900487458826</v>
      </c>
      <c r="I145" s="59">
        <f t="shared" si="16"/>
        <v>1311.5814233234105</v>
      </c>
      <c r="J145" s="59">
        <f t="shared" si="17"/>
        <v>538187.42345126485</v>
      </c>
    </row>
    <row r="146" spans="2:10" x14ac:dyDescent="0.3">
      <c r="B146" s="57">
        <f t="shared" si="20"/>
        <v>78</v>
      </c>
      <c r="C146" s="58">
        <f t="shared" si="21"/>
        <v>47335</v>
      </c>
      <c r="D146" s="59">
        <f t="shared" si="22"/>
        <v>538187.42345126485</v>
      </c>
      <c r="E146" s="59">
        <f t="shared" si="18"/>
        <v>6706.5714720692931</v>
      </c>
      <c r="F146" s="96"/>
      <c r="G146" s="59">
        <f t="shared" si="15"/>
        <v>6706.5714720692931</v>
      </c>
      <c r="H146" s="59">
        <f t="shared" si="19"/>
        <v>5381.8742345126484</v>
      </c>
      <c r="I146" s="59">
        <f t="shared" si="16"/>
        <v>1324.6972375566447</v>
      </c>
      <c r="J146" s="59">
        <f t="shared" si="17"/>
        <v>536862.72621370817</v>
      </c>
    </row>
    <row r="147" spans="2:10" x14ac:dyDescent="0.3">
      <c r="B147" s="57">
        <f t="shared" si="20"/>
        <v>79</v>
      </c>
      <c r="C147" s="58">
        <f t="shared" si="21"/>
        <v>47366</v>
      </c>
      <c r="D147" s="59">
        <f t="shared" si="22"/>
        <v>536862.72621370817</v>
      </c>
      <c r="E147" s="59">
        <f t="shared" si="18"/>
        <v>6706.5714720692931</v>
      </c>
      <c r="F147" s="96"/>
      <c r="G147" s="59">
        <f t="shared" si="15"/>
        <v>6706.5714720692931</v>
      </c>
      <c r="H147" s="59">
        <f t="shared" si="19"/>
        <v>5368.6272621370817</v>
      </c>
      <c r="I147" s="59">
        <f t="shared" si="16"/>
        <v>1337.9442099322114</v>
      </c>
      <c r="J147" s="59">
        <f t="shared" si="17"/>
        <v>535524.78200377594</v>
      </c>
    </row>
    <row r="148" spans="2:10" x14ac:dyDescent="0.3">
      <c r="B148" s="57">
        <f t="shared" si="20"/>
        <v>80</v>
      </c>
      <c r="C148" s="58">
        <f t="shared" si="21"/>
        <v>47396</v>
      </c>
      <c r="D148" s="59">
        <f t="shared" si="22"/>
        <v>535524.78200377594</v>
      </c>
      <c r="E148" s="59">
        <f t="shared" si="18"/>
        <v>6706.5714720692931</v>
      </c>
      <c r="F148" s="96"/>
      <c r="G148" s="59">
        <f t="shared" si="15"/>
        <v>6706.5714720692931</v>
      </c>
      <c r="H148" s="59">
        <f t="shared" si="19"/>
        <v>5355.2478200377591</v>
      </c>
      <c r="I148" s="59">
        <f t="shared" ref="I148:I179" si="23">E148-H148</f>
        <v>1351.323652031534</v>
      </c>
      <c r="J148" s="59">
        <f t="shared" si="17"/>
        <v>534173.45835174446</v>
      </c>
    </row>
    <row r="149" spans="2:10" x14ac:dyDescent="0.3">
      <c r="B149" s="57">
        <f t="shared" si="20"/>
        <v>81</v>
      </c>
      <c r="C149" s="58">
        <f t="shared" si="21"/>
        <v>47427</v>
      </c>
      <c r="D149" s="59">
        <f t="shared" si="22"/>
        <v>534173.45835174446</v>
      </c>
      <c r="E149" s="59">
        <f t="shared" si="18"/>
        <v>6706.5714720692931</v>
      </c>
      <c r="F149" s="96"/>
      <c r="G149" s="59">
        <f t="shared" si="15"/>
        <v>6706.5714720692931</v>
      </c>
      <c r="H149" s="59">
        <f t="shared" ref="H149:H180" si="24">IF(B149&gt;$D$19,(D149*$D$112),0)</f>
        <v>5341.7345835174447</v>
      </c>
      <c r="I149" s="59">
        <f t="shared" si="23"/>
        <v>1364.8368885518485</v>
      </c>
      <c r="J149" s="59">
        <f t="shared" si="17"/>
        <v>532808.62146319263</v>
      </c>
    </row>
    <row r="150" spans="2:10" x14ac:dyDescent="0.3">
      <c r="B150" s="57">
        <f t="shared" si="20"/>
        <v>82</v>
      </c>
      <c r="C150" s="58">
        <f t="shared" si="21"/>
        <v>47457</v>
      </c>
      <c r="D150" s="59">
        <f t="shared" si="22"/>
        <v>532808.62146319263</v>
      </c>
      <c r="E150" s="59">
        <f t="shared" si="18"/>
        <v>6706.5714720692931</v>
      </c>
      <c r="F150" s="96"/>
      <c r="G150" s="59">
        <f t="shared" si="15"/>
        <v>6706.5714720692931</v>
      </c>
      <c r="H150" s="59">
        <f t="shared" si="24"/>
        <v>5328.0862146319259</v>
      </c>
      <c r="I150" s="59">
        <f t="shared" si="23"/>
        <v>1378.4852574373672</v>
      </c>
      <c r="J150" s="59">
        <f t="shared" si="17"/>
        <v>531430.13620575529</v>
      </c>
    </row>
    <row r="151" spans="2:10" x14ac:dyDescent="0.3">
      <c r="B151" s="57">
        <f t="shared" si="20"/>
        <v>83</v>
      </c>
      <c r="C151" s="58">
        <f t="shared" si="21"/>
        <v>47488</v>
      </c>
      <c r="D151" s="59">
        <f t="shared" si="22"/>
        <v>531430.13620575529</v>
      </c>
      <c r="E151" s="59">
        <f t="shared" si="18"/>
        <v>6706.5714720692931</v>
      </c>
      <c r="F151" s="96"/>
      <c r="G151" s="59">
        <f t="shared" si="15"/>
        <v>6706.5714720692931</v>
      </c>
      <c r="H151" s="59">
        <f t="shared" si="24"/>
        <v>5314.301362057553</v>
      </c>
      <c r="I151" s="59">
        <f t="shared" si="23"/>
        <v>1392.2701100117401</v>
      </c>
      <c r="J151" s="59">
        <f t="shared" si="17"/>
        <v>530037.86609574361</v>
      </c>
    </row>
    <row r="152" spans="2:10" x14ac:dyDescent="0.3">
      <c r="B152" s="57">
        <f t="shared" si="20"/>
        <v>84</v>
      </c>
      <c r="C152" s="58">
        <f t="shared" si="21"/>
        <v>47519</v>
      </c>
      <c r="D152" s="59">
        <f t="shared" si="22"/>
        <v>530037.86609574361</v>
      </c>
      <c r="E152" s="59">
        <f t="shared" si="18"/>
        <v>6706.5714720692931</v>
      </c>
      <c r="F152" s="96"/>
      <c r="G152" s="59">
        <f t="shared" si="15"/>
        <v>6706.5714720692931</v>
      </c>
      <c r="H152" s="59">
        <f t="shared" si="24"/>
        <v>5300.3786609574363</v>
      </c>
      <c r="I152" s="59">
        <f t="shared" si="23"/>
        <v>1406.1928111118568</v>
      </c>
      <c r="J152" s="59">
        <f t="shared" si="17"/>
        <v>528631.6732846318</v>
      </c>
    </row>
    <row r="153" spans="2:10" x14ac:dyDescent="0.3">
      <c r="B153" s="57">
        <f t="shared" si="20"/>
        <v>85</v>
      </c>
      <c r="C153" s="58">
        <f t="shared" si="21"/>
        <v>47547</v>
      </c>
      <c r="D153" s="59">
        <f t="shared" si="22"/>
        <v>528631.6732846318</v>
      </c>
      <c r="E153" s="59">
        <f t="shared" si="18"/>
        <v>6706.5714720692931</v>
      </c>
      <c r="F153" s="96"/>
      <c r="G153" s="59">
        <f t="shared" si="15"/>
        <v>6706.5714720692931</v>
      </c>
      <c r="H153" s="59">
        <f t="shared" si="24"/>
        <v>5286.3167328463178</v>
      </c>
      <c r="I153" s="59">
        <f t="shared" si="23"/>
        <v>1420.2547392229753</v>
      </c>
      <c r="J153" s="59">
        <f t="shared" si="17"/>
        <v>527211.41854540887</v>
      </c>
    </row>
    <row r="154" spans="2:10" x14ac:dyDescent="0.3">
      <c r="B154" s="57">
        <f t="shared" si="20"/>
        <v>86</v>
      </c>
      <c r="C154" s="58">
        <f t="shared" si="21"/>
        <v>47578</v>
      </c>
      <c r="D154" s="59">
        <f t="shared" si="22"/>
        <v>527211.41854540887</v>
      </c>
      <c r="E154" s="59">
        <f t="shared" si="18"/>
        <v>6706.5714720692931</v>
      </c>
      <c r="F154" s="96"/>
      <c r="G154" s="59">
        <f t="shared" si="15"/>
        <v>6706.5714720692931</v>
      </c>
      <c r="H154" s="59">
        <f t="shared" si="24"/>
        <v>5272.1141854540892</v>
      </c>
      <c r="I154" s="59">
        <f t="shared" si="23"/>
        <v>1434.4572866152039</v>
      </c>
      <c r="J154" s="59">
        <f t="shared" si="17"/>
        <v>525776.96125879372</v>
      </c>
    </row>
    <row r="155" spans="2:10" x14ac:dyDescent="0.3">
      <c r="B155" s="57">
        <f t="shared" si="20"/>
        <v>87</v>
      </c>
      <c r="C155" s="58">
        <f t="shared" si="21"/>
        <v>47608</v>
      </c>
      <c r="D155" s="59">
        <f t="shared" si="22"/>
        <v>525776.96125879372</v>
      </c>
      <c r="E155" s="59">
        <f t="shared" si="18"/>
        <v>6706.5714720692931</v>
      </c>
      <c r="F155" s="96"/>
      <c r="G155" s="59">
        <f t="shared" si="15"/>
        <v>6706.5714720692931</v>
      </c>
      <c r="H155" s="59">
        <f t="shared" si="24"/>
        <v>5257.7696125879374</v>
      </c>
      <c r="I155" s="59">
        <f t="shared" si="23"/>
        <v>1448.8018594813557</v>
      </c>
      <c r="J155" s="59">
        <f t="shared" si="17"/>
        <v>524328.15939931234</v>
      </c>
    </row>
    <row r="156" spans="2:10" x14ac:dyDescent="0.3">
      <c r="B156" s="57">
        <f t="shared" si="20"/>
        <v>88</v>
      </c>
      <c r="C156" s="58">
        <f t="shared" si="21"/>
        <v>47639</v>
      </c>
      <c r="D156" s="59">
        <f t="shared" si="22"/>
        <v>524328.15939931234</v>
      </c>
      <c r="E156" s="59">
        <f t="shared" si="18"/>
        <v>6706.5714720692931</v>
      </c>
      <c r="F156" s="96"/>
      <c r="G156" s="59">
        <f t="shared" si="15"/>
        <v>6706.5714720692931</v>
      </c>
      <c r="H156" s="59">
        <f t="shared" si="24"/>
        <v>5243.2815939931234</v>
      </c>
      <c r="I156" s="59">
        <f t="shared" si="23"/>
        <v>1463.2898780761698</v>
      </c>
      <c r="J156" s="59">
        <f t="shared" si="17"/>
        <v>522864.86952123616</v>
      </c>
    </row>
    <row r="157" spans="2:10" x14ac:dyDescent="0.3">
      <c r="B157" s="57">
        <f t="shared" si="20"/>
        <v>89</v>
      </c>
      <c r="C157" s="58">
        <f t="shared" si="21"/>
        <v>47669</v>
      </c>
      <c r="D157" s="59">
        <f t="shared" si="22"/>
        <v>522864.86952123616</v>
      </c>
      <c r="E157" s="59">
        <f t="shared" si="18"/>
        <v>6706.5714720692931</v>
      </c>
      <c r="F157" s="96"/>
      <c r="G157" s="59">
        <f t="shared" si="15"/>
        <v>6706.5714720692931</v>
      </c>
      <c r="H157" s="59">
        <f t="shared" si="24"/>
        <v>5228.6486952123614</v>
      </c>
      <c r="I157" s="59">
        <f t="shared" si="23"/>
        <v>1477.9227768569317</v>
      </c>
      <c r="J157" s="59">
        <f t="shared" si="17"/>
        <v>521386.94674437924</v>
      </c>
    </row>
    <row r="158" spans="2:10" x14ac:dyDescent="0.3">
      <c r="B158" s="57">
        <f t="shared" si="20"/>
        <v>90</v>
      </c>
      <c r="C158" s="58">
        <f t="shared" si="21"/>
        <v>47700</v>
      </c>
      <c r="D158" s="59">
        <f t="shared" si="22"/>
        <v>521386.94674437924</v>
      </c>
      <c r="E158" s="59">
        <f t="shared" si="18"/>
        <v>6706.5714720692931</v>
      </c>
      <c r="F158" s="96"/>
      <c r="G158" s="59">
        <f t="shared" si="15"/>
        <v>6706.5714720692931</v>
      </c>
      <c r="H158" s="59">
        <f t="shared" si="24"/>
        <v>5213.8694674437929</v>
      </c>
      <c r="I158" s="59">
        <f t="shared" si="23"/>
        <v>1492.7020046255002</v>
      </c>
      <c r="J158" s="59">
        <f t="shared" si="17"/>
        <v>519894.24473975372</v>
      </c>
    </row>
    <row r="159" spans="2:10" x14ac:dyDescent="0.3">
      <c r="B159" s="57">
        <f t="shared" si="20"/>
        <v>91</v>
      </c>
      <c r="C159" s="58">
        <f t="shared" si="21"/>
        <v>47731</v>
      </c>
      <c r="D159" s="59">
        <f t="shared" si="22"/>
        <v>519894.24473975372</v>
      </c>
      <c r="E159" s="59">
        <f t="shared" si="18"/>
        <v>6706.5714720692931</v>
      </c>
      <c r="F159" s="96"/>
      <c r="G159" s="59">
        <f t="shared" si="15"/>
        <v>6706.5714720692931</v>
      </c>
      <c r="H159" s="59">
        <f t="shared" si="24"/>
        <v>5198.9424473975369</v>
      </c>
      <c r="I159" s="59">
        <f t="shared" si="23"/>
        <v>1507.6290246717563</v>
      </c>
      <c r="J159" s="59">
        <f t="shared" si="17"/>
        <v>518386.61571508198</v>
      </c>
    </row>
    <row r="160" spans="2:10" x14ac:dyDescent="0.3">
      <c r="B160" s="57">
        <f t="shared" si="20"/>
        <v>92</v>
      </c>
      <c r="C160" s="58">
        <f t="shared" si="21"/>
        <v>47761</v>
      </c>
      <c r="D160" s="59">
        <f t="shared" si="22"/>
        <v>518386.61571508198</v>
      </c>
      <c r="E160" s="59">
        <f t="shared" si="18"/>
        <v>6706.5714720692931</v>
      </c>
      <c r="F160" s="96"/>
      <c r="G160" s="59">
        <f t="shared" si="15"/>
        <v>6706.5714720692931</v>
      </c>
      <c r="H160" s="59">
        <f t="shared" si="24"/>
        <v>5183.8661571508201</v>
      </c>
      <c r="I160" s="59">
        <f t="shared" si="23"/>
        <v>1522.7053149184731</v>
      </c>
      <c r="J160" s="59">
        <f t="shared" si="17"/>
        <v>516863.9104001635</v>
      </c>
    </row>
    <row r="161" spans="2:10" x14ac:dyDescent="0.3">
      <c r="B161" s="57">
        <f t="shared" si="20"/>
        <v>93</v>
      </c>
      <c r="C161" s="58">
        <f t="shared" si="21"/>
        <v>47792</v>
      </c>
      <c r="D161" s="59">
        <f t="shared" si="22"/>
        <v>516863.9104001635</v>
      </c>
      <c r="E161" s="59">
        <f t="shared" si="18"/>
        <v>6706.5714720692931</v>
      </c>
      <c r="F161" s="96"/>
      <c r="G161" s="59">
        <f t="shared" si="15"/>
        <v>6706.5714720692931</v>
      </c>
      <c r="H161" s="59">
        <f t="shared" si="24"/>
        <v>5168.6391040016351</v>
      </c>
      <c r="I161" s="59">
        <f t="shared" si="23"/>
        <v>1537.932368067658</v>
      </c>
      <c r="J161" s="59">
        <f t="shared" si="17"/>
        <v>515325.97803209582</v>
      </c>
    </row>
    <row r="162" spans="2:10" x14ac:dyDescent="0.3">
      <c r="B162" s="57">
        <f t="shared" si="20"/>
        <v>94</v>
      </c>
      <c r="C162" s="58">
        <f t="shared" si="21"/>
        <v>47822</v>
      </c>
      <c r="D162" s="59">
        <f t="shared" si="22"/>
        <v>515325.97803209582</v>
      </c>
      <c r="E162" s="59">
        <f t="shared" si="18"/>
        <v>6706.5714720692931</v>
      </c>
      <c r="F162" s="96"/>
      <c r="G162" s="59">
        <f t="shared" si="15"/>
        <v>6706.5714720692931</v>
      </c>
      <c r="H162" s="59">
        <f t="shared" si="24"/>
        <v>5153.2597803209583</v>
      </c>
      <c r="I162" s="59">
        <f t="shared" si="23"/>
        <v>1553.3116917483349</v>
      </c>
      <c r="J162" s="59">
        <f t="shared" si="17"/>
        <v>513772.6663403475</v>
      </c>
    </row>
    <row r="163" spans="2:10" x14ac:dyDescent="0.3">
      <c r="B163" s="57">
        <f t="shared" si="20"/>
        <v>95</v>
      </c>
      <c r="C163" s="58">
        <f t="shared" si="21"/>
        <v>47853</v>
      </c>
      <c r="D163" s="59">
        <f t="shared" si="22"/>
        <v>513772.6663403475</v>
      </c>
      <c r="E163" s="59">
        <f t="shared" si="18"/>
        <v>6706.5714720692931</v>
      </c>
      <c r="F163" s="96"/>
      <c r="G163" s="59">
        <f t="shared" si="15"/>
        <v>6706.5714720692931</v>
      </c>
      <c r="H163" s="59">
        <f t="shared" si="24"/>
        <v>5137.726663403475</v>
      </c>
      <c r="I163" s="59">
        <f t="shared" si="23"/>
        <v>1568.8448086658182</v>
      </c>
      <c r="J163" s="59">
        <f t="shared" si="17"/>
        <v>512203.82153168169</v>
      </c>
    </row>
    <row r="164" spans="2:10" x14ac:dyDescent="0.3">
      <c r="B164" s="57">
        <f t="shared" si="20"/>
        <v>96</v>
      </c>
      <c r="C164" s="58">
        <f t="shared" si="21"/>
        <v>47884</v>
      </c>
      <c r="D164" s="59">
        <f t="shared" si="22"/>
        <v>512203.82153168169</v>
      </c>
      <c r="E164" s="59">
        <f t="shared" si="18"/>
        <v>6706.5714720692931</v>
      </c>
      <c r="F164" s="96"/>
      <c r="G164" s="59">
        <f t="shared" si="15"/>
        <v>6706.5714720692931</v>
      </c>
      <c r="H164" s="59">
        <f t="shared" si="24"/>
        <v>5122.0382153168166</v>
      </c>
      <c r="I164" s="59">
        <f t="shared" si="23"/>
        <v>1584.5332567524765</v>
      </c>
      <c r="J164" s="59">
        <f t="shared" si="17"/>
        <v>510619.28827492922</v>
      </c>
    </row>
    <row r="165" spans="2:10" x14ac:dyDescent="0.3">
      <c r="B165" s="57">
        <f t="shared" si="20"/>
        <v>97</v>
      </c>
      <c r="C165" s="58">
        <f t="shared" si="21"/>
        <v>47912</v>
      </c>
      <c r="D165" s="59">
        <f t="shared" si="22"/>
        <v>510619.28827492922</v>
      </c>
      <c r="E165" s="59">
        <f t="shared" si="18"/>
        <v>6706.5714720692931</v>
      </c>
      <c r="F165" s="96"/>
      <c r="G165" s="59">
        <f t="shared" si="15"/>
        <v>6706.5714720692931</v>
      </c>
      <c r="H165" s="59">
        <f t="shared" si="24"/>
        <v>5106.192882749292</v>
      </c>
      <c r="I165" s="59">
        <f t="shared" si="23"/>
        <v>1600.3785893200011</v>
      </c>
      <c r="J165" s="59">
        <f t="shared" si="17"/>
        <v>509018.90968560922</v>
      </c>
    </row>
    <row r="166" spans="2:10" x14ac:dyDescent="0.3">
      <c r="B166" s="57">
        <f t="shared" si="20"/>
        <v>98</v>
      </c>
      <c r="C166" s="58">
        <f t="shared" si="21"/>
        <v>47943</v>
      </c>
      <c r="D166" s="59">
        <f t="shared" si="22"/>
        <v>509018.90968560922</v>
      </c>
      <c r="E166" s="59">
        <f t="shared" si="18"/>
        <v>6706.5714720692931</v>
      </c>
      <c r="F166" s="96"/>
      <c r="G166" s="59">
        <f t="shared" si="15"/>
        <v>6706.5714720692931</v>
      </c>
      <c r="H166" s="59">
        <f t="shared" si="24"/>
        <v>5090.189096856092</v>
      </c>
      <c r="I166" s="59">
        <f t="shared" si="23"/>
        <v>1616.3823752132012</v>
      </c>
      <c r="J166" s="59">
        <f t="shared" si="17"/>
        <v>507402.52731039602</v>
      </c>
    </row>
    <row r="167" spans="2:10" x14ac:dyDescent="0.3">
      <c r="B167" s="57">
        <f t="shared" si="20"/>
        <v>99</v>
      </c>
      <c r="C167" s="58">
        <f t="shared" si="21"/>
        <v>47973</v>
      </c>
      <c r="D167" s="59">
        <f t="shared" si="22"/>
        <v>507402.52731039602</v>
      </c>
      <c r="E167" s="59">
        <f t="shared" si="18"/>
        <v>6706.5714720692931</v>
      </c>
      <c r="F167" s="96"/>
      <c r="G167" s="59">
        <f t="shared" si="15"/>
        <v>6706.5714720692931</v>
      </c>
      <c r="H167" s="59">
        <f t="shared" si="24"/>
        <v>5074.02527310396</v>
      </c>
      <c r="I167" s="59">
        <f t="shared" si="23"/>
        <v>1632.5461989653331</v>
      </c>
      <c r="J167" s="59">
        <f t="shared" si="17"/>
        <v>505769.98111143068</v>
      </c>
    </row>
    <row r="168" spans="2:10" x14ac:dyDescent="0.3">
      <c r="B168" s="57">
        <f t="shared" si="20"/>
        <v>100</v>
      </c>
      <c r="C168" s="58">
        <f t="shared" si="21"/>
        <v>48004</v>
      </c>
      <c r="D168" s="59">
        <f t="shared" si="22"/>
        <v>505769.98111143068</v>
      </c>
      <c r="E168" s="59">
        <f t="shared" si="18"/>
        <v>6706.5714720692931</v>
      </c>
      <c r="F168" s="96"/>
      <c r="G168" s="59">
        <f t="shared" si="15"/>
        <v>6706.5714720692931</v>
      </c>
      <c r="H168" s="59">
        <f t="shared" si="24"/>
        <v>5057.6998111143066</v>
      </c>
      <c r="I168" s="59">
        <f t="shared" si="23"/>
        <v>1648.8716609549865</v>
      </c>
      <c r="J168" s="59">
        <f t="shared" si="17"/>
        <v>504121.10945047572</v>
      </c>
    </row>
    <row r="169" spans="2:10" x14ac:dyDescent="0.3">
      <c r="B169" s="57">
        <f t="shared" si="20"/>
        <v>101</v>
      </c>
      <c r="C169" s="58">
        <f t="shared" si="21"/>
        <v>48034</v>
      </c>
      <c r="D169" s="59">
        <f t="shared" si="22"/>
        <v>504121.10945047572</v>
      </c>
      <c r="E169" s="59">
        <f t="shared" si="18"/>
        <v>6706.5714720692931</v>
      </c>
      <c r="F169" s="96"/>
      <c r="G169" s="59">
        <f t="shared" si="15"/>
        <v>6706.5714720692931</v>
      </c>
      <c r="H169" s="59">
        <f t="shared" si="24"/>
        <v>5041.2110945047571</v>
      </c>
      <c r="I169" s="59">
        <f t="shared" si="23"/>
        <v>1665.3603775645361</v>
      </c>
      <c r="J169" s="59">
        <f t="shared" si="17"/>
        <v>502455.74907291116</v>
      </c>
    </row>
    <row r="170" spans="2:10" x14ac:dyDescent="0.3">
      <c r="B170" s="57">
        <f t="shared" si="20"/>
        <v>102</v>
      </c>
      <c r="C170" s="58">
        <f t="shared" si="21"/>
        <v>48065</v>
      </c>
      <c r="D170" s="59">
        <f t="shared" si="22"/>
        <v>502455.74907291116</v>
      </c>
      <c r="E170" s="59">
        <f t="shared" si="18"/>
        <v>6706.5714720692931</v>
      </c>
      <c r="F170" s="96"/>
      <c r="G170" s="59">
        <f t="shared" si="15"/>
        <v>6706.5714720692931</v>
      </c>
      <c r="H170" s="59">
        <f t="shared" si="24"/>
        <v>5024.557490729112</v>
      </c>
      <c r="I170" s="59">
        <f t="shared" si="23"/>
        <v>1682.0139813401811</v>
      </c>
      <c r="J170" s="59">
        <f t="shared" si="17"/>
        <v>500773.735091571</v>
      </c>
    </row>
    <row r="171" spans="2:10" x14ac:dyDescent="0.3">
      <c r="B171" s="57">
        <f t="shared" si="20"/>
        <v>103</v>
      </c>
      <c r="C171" s="58">
        <f t="shared" si="21"/>
        <v>48096</v>
      </c>
      <c r="D171" s="59">
        <f t="shared" si="22"/>
        <v>500773.735091571</v>
      </c>
      <c r="E171" s="59">
        <f t="shared" si="18"/>
        <v>6706.5714720692931</v>
      </c>
      <c r="F171" s="96"/>
      <c r="G171" s="59">
        <f t="shared" si="15"/>
        <v>6706.5714720692931</v>
      </c>
      <c r="H171" s="59">
        <f t="shared" si="24"/>
        <v>5007.7373509157105</v>
      </c>
      <c r="I171" s="59">
        <f t="shared" si="23"/>
        <v>1698.8341211535826</v>
      </c>
      <c r="J171" s="59">
        <f t="shared" si="17"/>
        <v>499074.90097041742</v>
      </c>
    </row>
    <row r="172" spans="2:10" x14ac:dyDescent="0.3">
      <c r="B172" s="57">
        <f t="shared" si="20"/>
        <v>104</v>
      </c>
      <c r="C172" s="58">
        <f t="shared" si="21"/>
        <v>48126</v>
      </c>
      <c r="D172" s="59">
        <f t="shared" si="22"/>
        <v>499074.90097041742</v>
      </c>
      <c r="E172" s="59">
        <f t="shared" si="18"/>
        <v>6706.5714720692931</v>
      </c>
      <c r="F172" s="96"/>
      <c r="G172" s="59">
        <f t="shared" si="15"/>
        <v>6706.5714720692931</v>
      </c>
      <c r="H172" s="59">
        <f t="shared" si="24"/>
        <v>4990.7490097041746</v>
      </c>
      <c r="I172" s="59">
        <f t="shared" si="23"/>
        <v>1715.8224623651186</v>
      </c>
      <c r="J172" s="59">
        <f t="shared" si="17"/>
        <v>497359.07850805228</v>
      </c>
    </row>
    <row r="173" spans="2:10" x14ac:dyDescent="0.3">
      <c r="B173" s="57">
        <f t="shared" si="20"/>
        <v>105</v>
      </c>
      <c r="C173" s="58">
        <f t="shared" si="21"/>
        <v>48157</v>
      </c>
      <c r="D173" s="59">
        <f t="shared" si="22"/>
        <v>497359.07850805228</v>
      </c>
      <c r="E173" s="59">
        <f t="shared" si="18"/>
        <v>6706.5714720692931</v>
      </c>
      <c r="F173" s="96"/>
      <c r="G173" s="59">
        <f t="shared" si="15"/>
        <v>6706.5714720692931</v>
      </c>
      <c r="H173" s="59">
        <f t="shared" si="24"/>
        <v>4973.5907850805224</v>
      </c>
      <c r="I173" s="59">
        <f t="shared" si="23"/>
        <v>1732.9806869887707</v>
      </c>
      <c r="J173" s="59">
        <f t="shared" si="17"/>
        <v>495626.09782106348</v>
      </c>
    </row>
    <row r="174" spans="2:10" x14ac:dyDescent="0.3">
      <c r="B174" s="57">
        <f t="shared" si="20"/>
        <v>106</v>
      </c>
      <c r="C174" s="58">
        <f t="shared" si="21"/>
        <v>48187</v>
      </c>
      <c r="D174" s="59">
        <f t="shared" si="22"/>
        <v>495626.09782106348</v>
      </c>
      <c r="E174" s="59">
        <f t="shared" si="18"/>
        <v>6706.5714720692931</v>
      </c>
      <c r="F174" s="96"/>
      <c r="G174" s="59">
        <f t="shared" si="15"/>
        <v>6706.5714720692931</v>
      </c>
      <c r="H174" s="59">
        <f t="shared" si="24"/>
        <v>4956.2609782106347</v>
      </c>
      <c r="I174" s="59">
        <f t="shared" si="23"/>
        <v>1750.3104938586584</v>
      </c>
      <c r="J174" s="59">
        <f t="shared" si="17"/>
        <v>493875.78732720483</v>
      </c>
    </row>
    <row r="175" spans="2:10" x14ac:dyDescent="0.3">
      <c r="B175" s="57">
        <f t="shared" si="20"/>
        <v>107</v>
      </c>
      <c r="C175" s="58">
        <f t="shared" si="21"/>
        <v>48218</v>
      </c>
      <c r="D175" s="59">
        <f t="shared" si="22"/>
        <v>493875.78732720483</v>
      </c>
      <c r="E175" s="59">
        <f t="shared" si="18"/>
        <v>6706.5714720692931</v>
      </c>
      <c r="F175" s="96"/>
      <c r="G175" s="59">
        <f t="shared" si="15"/>
        <v>6706.5714720692931</v>
      </c>
      <c r="H175" s="59">
        <f t="shared" si="24"/>
        <v>4938.7578732720485</v>
      </c>
      <c r="I175" s="59">
        <f t="shared" si="23"/>
        <v>1767.8135987972446</v>
      </c>
      <c r="J175" s="59">
        <f t="shared" si="17"/>
        <v>492107.97372840758</v>
      </c>
    </row>
    <row r="176" spans="2:10" x14ac:dyDescent="0.3">
      <c r="B176" s="57">
        <f t="shared" si="20"/>
        <v>108</v>
      </c>
      <c r="C176" s="58">
        <f t="shared" si="21"/>
        <v>48249</v>
      </c>
      <c r="D176" s="59">
        <f t="shared" si="22"/>
        <v>492107.97372840758</v>
      </c>
      <c r="E176" s="59">
        <f t="shared" si="18"/>
        <v>6706.5714720692931</v>
      </c>
      <c r="F176" s="96"/>
      <c r="G176" s="59">
        <f t="shared" si="15"/>
        <v>6706.5714720692931</v>
      </c>
      <c r="H176" s="59">
        <f t="shared" si="24"/>
        <v>4921.0797372840761</v>
      </c>
      <c r="I176" s="59">
        <f t="shared" si="23"/>
        <v>1785.491734785217</v>
      </c>
      <c r="J176" s="59">
        <f t="shared" si="17"/>
        <v>490322.48199362238</v>
      </c>
    </row>
    <row r="177" spans="2:10" x14ac:dyDescent="0.3">
      <c r="B177" s="57">
        <f t="shared" si="20"/>
        <v>109</v>
      </c>
      <c r="C177" s="58">
        <f t="shared" si="21"/>
        <v>48278</v>
      </c>
      <c r="D177" s="59">
        <f t="shared" si="22"/>
        <v>490322.48199362238</v>
      </c>
      <c r="E177" s="59">
        <f t="shared" si="18"/>
        <v>6706.5714720692931</v>
      </c>
      <c r="F177" s="96"/>
      <c r="G177" s="59">
        <f t="shared" si="15"/>
        <v>6706.5714720692931</v>
      </c>
      <c r="H177" s="59">
        <f t="shared" si="24"/>
        <v>4903.2248199362239</v>
      </c>
      <c r="I177" s="59">
        <f t="shared" si="23"/>
        <v>1803.3466521330693</v>
      </c>
      <c r="J177" s="59">
        <f t="shared" si="17"/>
        <v>488519.13534148934</v>
      </c>
    </row>
    <row r="178" spans="2:10" x14ac:dyDescent="0.3">
      <c r="B178" s="57">
        <f t="shared" si="20"/>
        <v>110</v>
      </c>
      <c r="C178" s="58">
        <f t="shared" si="21"/>
        <v>48309</v>
      </c>
      <c r="D178" s="59">
        <f t="shared" si="22"/>
        <v>488519.13534148934</v>
      </c>
      <c r="E178" s="59">
        <f t="shared" si="18"/>
        <v>6706.5714720692931</v>
      </c>
      <c r="F178" s="96"/>
      <c r="G178" s="59">
        <f t="shared" si="15"/>
        <v>6706.5714720692931</v>
      </c>
      <c r="H178" s="59">
        <f t="shared" si="24"/>
        <v>4885.1913534148935</v>
      </c>
      <c r="I178" s="59">
        <f t="shared" si="23"/>
        <v>1821.3801186543997</v>
      </c>
      <c r="J178" s="59">
        <f t="shared" si="17"/>
        <v>486697.75522283494</v>
      </c>
    </row>
    <row r="179" spans="2:10" x14ac:dyDescent="0.3">
      <c r="B179" s="57">
        <f t="shared" si="20"/>
        <v>111</v>
      </c>
      <c r="C179" s="58">
        <f t="shared" si="21"/>
        <v>48339</v>
      </c>
      <c r="D179" s="59">
        <f t="shared" si="22"/>
        <v>486697.75522283494</v>
      </c>
      <c r="E179" s="59">
        <f t="shared" si="18"/>
        <v>6706.5714720692931</v>
      </c>
      <c r="F179" s="96"/>
      <c r="G179" s="59">
        <f t="shared" si="15"/>
        <v>6706.5714720692931</v>
      </c>
      <c r="H179" s="59">
        <f t="shared" si="24"/>
        <v>4866.9775522283499</v>
      </c>
      <c r="I179" s="59">
        <f t="shared" si="23"/>
        <v>1839.5939198409433</v>
      </c>
      <c r="J179" s="59">
        <f t="shared" si="17"/>
        <v>484858.16130299401</v>
      </c>
    </row>
    <row r="180" spans="2:10" x14ac:dyDescent="0.3">
      <c r="B180" s="57">
        <f t="shared" si="20"/>
        <v>112</v>
      </c>
      <c r="C180" s="58">
        <f t="shared" si="21"/>
        <v>48370</v>
      </c>
      <c r="D180" s="59">
        <f t="shared" si="22"/>
        <v>484858.16130299401</v>
      </c>
      <c r="E180" s="59">
        <f t="shared" si="18"/>
        <v>6706.5714720692931</v>
      </c>
      <c r="F180" s="96"/>
      <c r="G180" s="59">
        <f t="shared" si="15"/>
        <v>6706.5714720692931</v>
      </c>
      <c r="H180" s="59">
        <f t="shared" si="24"/>
        <v>4848.5816130299399</v>
      </c>
      <c r="I180" s="59">
        <f t="shared" ref="I180:I188" si="25">E180-H180</f>
        <v>1857.9898590393532</v>
      </c>
      <c r="J180" s="59">
        <f t="shared" si="17"/>
        <v>483000.17144395463</v>
      </c>
    </row>
    <row r="181" spans="2:10" x14ac:dyDescent="0.3">
      <c r="B181" s="57">
        <f t="shared" si="20"/>
        <v>113</v>
      </c>
      <c r="C181" s="58">
        <f t="shared" si="21"/>
        <v>48400</v>
      </c>
      <c r="D181" s="59">
        <f t="shared" si="22"/>
        <v>483000.17144395463</v>
      </c>
      <c r="E181" s="59">
        <f t="shared" ref="E181:E188" si="26">IF(B181&lt;121,(-PMT($D$112,$D$109,$D$108)))</f>
        <v>6706.5714720692931</v>
      </c>
      <c r="F181" s="96"/>
      <c r="G181" s="59">
        <f t="shared" ref="G181:G188" si="27">SUM(E181:F181)</f>
        <v>6706.5714720692931</v>
      </c>
      <c r="H181" s="59">
        <f t="shared" ref="H181:H211" si="28">IF(B181&gt;$D$19,(D181*$D$112),0)</f>
        <v>4830.001714439546</v>
      </c>
      <c r="I181" s="59">
        <f t="shared" si="25"/>
        <v>1876.5697576297471</v>
      </c>
      <c r="J181" s="59">
        <f t="shared" ref="J181:J188" si="29">D181-I181</f>
        <v>481123.60168632487</v>
      </c>
    </row>
    <row r="182" spans="2:10" x14ac:dyDescent="0.3">
      <c r="B182" s="57">
        <f t="shared" ref="B182:B211" si="30">IF(B181&lt;SUM($D$19:$D$20),B181+1,"")</f>
        <v>114</v>
      </c>
      <c r="C182" s="58">
        <f t="shared" ref="C182:C211" si="31">IF(B181&lt;SUM($D$19:$D$20),DATE(YEAR(C181),MONTH(C181)+1,DAY(C181)),"")</f>
        <v>48431</v>
      </c>
      <c r="D182" s="59">
        <f t="shared" ref="D182:D211" si="32">IF(B182&lt;=$E$18,J181)</f>
        <v>481123.60168632487</v>
      </c>
      <c r="E182" s="59">
        <f t="shared" si="26"/>
        <v>6706.5714720692931</v>
      </c>
      <c r="F182" s="96"/>
      <c r="G182" s="59">
        <f t="shared" si="27"/>
        <v>6706.5714720692931</v>
      </c>
      <c r="H182" s="59">
        <f t="shared" si="28"/>
        <v>4811.2360168632486</v>
      </c>
      <c r="I182" s="59">
        <f t="shared" si="25"/>
        <v>1895.3354552060446</v>
      </c>
      <c r="J182" s="59">
        <f t="shared" si="29"/>
        <v>479228.26623111882</v>
      </c>
    </row>
    <row r="183" spans="2:10" x14ac:dyDescent="0.3">
      <c r="B183" s="57">
        <f t="shared" si="30"/>
        <v>115</v>
      </c>
      <c r="C183" s="58">
        <f t="shared" si="31"/>
        <v>48462</v>
      </c>
      <c r="D183" s="59">
        <f t="shared" si="32"/>
        <v>479228.26623111882</v>
      </c>
      <c r="E183" s="59">
        <f t="shared" si="26"/>
        <v>6706.5714720692931</v>
      </c>
      <c r="F183" s="96"/>
      <c r="G183" s="59">
        <f t="shared" si="27"/>
        <v>6706.5714720692931</v>
      </c>
      <c r="H183" s="59">
        <f t="shared" si="28"/>
        <v>4792.2826623111887</v>
      </c>
      <c r="I183" s="59">
        <f t="shared" si="25"/>
        <v>1914.2888097581044</v>
      </c>
      <c r="J183" s="59">
        <f t="shared" si="29"/>
        <v>477313.97742136073</v>
      </c>
    </row>
    <row r="184" spans="2:10" x14ac:dyDescent="0.3">
      <c r="B184" s="57">
        <f t="shared" si="30"/>
        <v>116</v>
      </c>
      <c r="C184" s="58">
        <f t="shared" si="31"/>
        <v>48492</v>
      </c>
      <c r="D184" s="59">
        <f t="shared" si="32"/>
        <v>477313.97742136073</v>
      </c>
      <c r="E184" s="59">
        <f t="shared" si="26"/>
        <v>6706.5714720692931</v>
      </c>
      <c r="F184" s="96"/>
      <c r="G184" s="59">
        <f t="shared" si="27"/>
        <v>6706.5714720692931</v>
      </c>
      <c r="H184" s="59">
        <f t="shared" si="28"/>
        <v>4773.1397742136078</v>
      </c>
      <c r="I184" s="59">
        <f t="shared" si="25"/>
        <v>1933.4316978556853</v>
      </c>
      <c r="J184" s="59">
        <f t="shared" si="29"/>
        <v>475380.54572350503</v>
      </c>
    </row>
    <row r="185" spans="2:10" x14ac:dyDescent="0.3">
      <c r="B185" s="57">
        <f t="shared" si="30"/>
        <v>117</v>
      </c>
      <c r="C185" s="58">
        <f t="shared" si="31"/>
        <v>48523</v>
      </c>
      <c r="D185" s="59">
        <f t="shared" si="32"/>
        <v>475380.54572350503</v>
      </c>
      <c r="E185" s="59">
        <f t="shared" si="26"/>
        <v>6706.5714720692931</v>
      </c>
      <c r="F185" s="96"/>
      <c r="G185" s="59">
        <f t="shared" si="27"/>
        <v>6706.5714720692931</v>
      </c>
      <c r="H185" s="59">
        <f t="shared" si="28"/>
        <v>4753.8054572350502</v>
      </c>
      <c r="I185" s="59">
        <f t="shared" si="25"/>
        <v>1952.7660148342429</v>
      </c>
      <c r="J185" s="59">
        <f t="shared" si="29"/>
        <v>473427.7797086708</v>
      </c>
    </row>
    <row r="186" spans="2:10" x14ac:dyDescent="0.3">
      <c r="B186" s="57">
        <f t="shared" si="30"/>
        <v>118</v>
      </c>
      <c r="C186" s="58">
        <f t="shared" si="31"/>
        <v>48553</v>
      </c>
      <c r="D186" s="59">
        <f t="shared" si="32"/>
        <v>473427.7797086708</v>
      </c>
      <c r="E186" s="59">
        <f t="shared" si="26"/>
        <v>6706.5714720692931</v>
      </c>
      <c r="F186" s="96"/>
      <c r="G186" s="59">
        <f t="shared" si="27"/>
        <v>6706.5714720692931</v>
      </c>
      <c r="H186" s="59">
        <f t="shared" si="28"/>
        <v>4734.2777970867082</v>
      </c>
      <c r="I186" s="59">
        <f t="shared" si="25"/>
        <v>1972.2936749825849</v>
      </c>
      <c r="J186" s="59">
        <f t="shared" si="29"/>
        <v>471455.48603368824</v>
      </c>
    </row>
    <row r="187" spans="2:10" x14ac:dyDescent="0.3">
      <c r="B187" s="57">
        <f t="shared" si="30"/>
        <v>119</v>
      </c>
      <c r="C187" s="58">
        <f t="shared" si="31"/>
        <v>48584</v>
      </c>
      <c r="D187" s="59">
        <f t="shared" si="32"/>
        <v>471455.48603368824</v>
      </c>
      <c r="E187" s="59">
        <f t="shared" si="26"/>
        <v>6706.5714720692931</v>
      </c>
      <c r="F187" s="96"/>
      <c r="G187" s="59">
        <f t="shared" si="27"/>
        <v>6706.5714720692931</v>
      </c>
      <c r="H187" s="59">
        <f t="shared" si="28"/>
        <v>4714.5548603368825</v>
      </c>
      <c r="I187" s="59">
        <f t="shared" si="25"/>
        <v>1992.0166117324106</v>
      </c>
      <c r="J187" s="59">
        <f t="shared" si="29"/>
        <v>469463.46942195582</v>
      </c>
    </row>
    <row r="188" spans="2:10" x14ac:dyDescent="0.3">
      <c r="B188" s="57">
        <f t="shared" si="30"/>
        <v>120</v>
      </c>
      <c r="C188" s="58">
        <f t="shared" si="31"/>
        <v>48615</v>
      </c>
      <c r="D188" s="59">
        <f t="shared" si="32"/>
        <v>469463.46942195582</v>
      </c>
      <c r="E188" s="59">
        <f t="shared" si="26"/>
        <v>6706.5714720692931</v>
      </c>
      <c r="F188" s="96"/>
      <c r="G188" s="59">
        <f t="shared" si="27"/>
        <v>6706.5714720692931</v>
      </c>
      <c r="H188" s="59">
        <f t="shared" si="28"/>
        <v>4694.6346942195587</v>
      </c>
      <c r="I188" s="59">
        <f t="shared" si="25"/>
        <v>2011.9367778497344</v>
      </c>
      <c r="J188" s="59">
        <f t="shared" si="29"/>
        <v>467451.53264410608</v>
      </c>
    </row>
    <row r="189" spans="2:10" x14ac:dyDescent="0.3">
      <c r="B189" s="57" t="str">
        <f>IF(B188&lt;SUM($D$19:$D$20),B188+1,"")</f>
        <v/>
      </c>
      <c r="C189" s="58" t="str">
        <f t="shared" si="31"/>
        <v/>
      </c>
      <c r="D189" s="59" t="b">
        <f t="shared" si="32"/>
        <v>0</v>
      </c>
      <c r="E189" s="59" t="b">
        <f t="shared" ref="E189:E194" si="33">IF(B189&lt;121,(-PMT($D$112,$D$109,$D$108)))</f>
        <v>0</v>
      </c>
      <c r="F189" s="96"/>
      <c r="G189" s="59">
        <f t="shared" ref="G189:G194" si="34">SUM(E189:F189)</f>
        <v>0</v>
      </c>
      <c r="H189" s="59">
        <f t="shared" si="28"/>
        <v>0</v>
      </c>
      <c r="I189" s="59">
        <f t="shared" ref="I189:I194" si="35">E189-H189</f>
        <v>0</v>
      </c>
      <c r="J189" s="59">
        <f t="shared" ref="J189:J194" si="36">D189-I189</f>
        <v>0</v>
      </c>
    </row>
    <row r="190" spans="2:10" x14ac:dyDescent="0.3">
      <c r="B190" s="57" t="str">
        <f t="shared" si="30"/>
        <v/>
      </c>
      <c r="C190" s="58" t="str">
        <f>IF(B189&lt;SUM($D$19:$D$20),DATE(YEAR(C189),MONTH(C189)+1,DAY(C189)),"")</f>
        <v/>
      </c>
      <c r="D190" s="59" t="b">
        <f t="shared" si="32"/>
        <v>0</v>
      </c>
      <c r="E190" s="59" t="b">
        <f t="shared" si="33"/>
        <v>0</v>
      </c>
      <c r="F190" s="96"/>
      <c r="G190" s="59">
        <f t="shared" si="34"/>
        <v>0</v>
      </c>
      <c r="H190" s="59">
        <f t="shared" si="28"/>
        <v>0</v>
      </c>
      <c r="I190" s="59">
        <f t="shared" si="35"/>
        <v>0</v>
      </c>
      <c r="J190" s="59">
        <f t="shared" si="36"/>
        <v>0</v>
      </c>
    </row>
    <row r="191" spans="2:10" x14ac:dyDescent="0.3">
      <c r="B191" s="57" t="str">
        <f t="shared" si="30"/>
        <v/>
      </c>
      <c r="C191" s="58" t="str">
        <f t="shared" si="31"/>
        <v/>
      </c>
      <c r="D191" s="59" t="b">
        <f t="shared" si="32"/>
        <v>0</v>
      </c>
      <c r="E191" s="59" t="b">
        <f t="shared" si="33"/>
        <v>0</v>
      </c>
      <c r="F191" s="96"/>
      <c r="G191" s="59">
        <f t="shared" si="34"/>
        <v>0</v>
      </c>
      <c r="H191" s="59">
        <f t="shared" si="28"/>
        <v>0</v>
      </c>
      <c r="I191" s="59">
        <f t="shared" si="35"/>
        <v>0</v>
      </c>
      <c r="J191" s="59">
        <f t="shared" si="36"/>
        <v>0</v>
      </c>
    </row>
    <row r="192" spans="2:10" x14ac:dyDescent="0.3">
      <c r="B192" s="57" t="str">
        <f t="shared" si="30"/>
        <v/>
      </c>
      <c r="C192" s="58" t="str">
        <f t="shared" si="31"/>
        <v/>
      </c>
      <c r="D192" s="59" t="b">
        <f t="shared" si="32"/>
        <v>0</v>
      </c>
      <c r="E192" s="59" t="b">
        <f t="shared" si="33"/>
        <v>0</v>
      </c>
      <c r="F192" s="96"/>
      <c r="G192" s="59">
        <f t="shared" si="34"/>
        <v>0</v>
      </c>
      <c r="H192" s="59">
        <f t="shared" si="28"/>
        <v>0</v>
      </c>
      <c r="I192" s="59">
        <f t="shared" si="35"/>
        <v>0</v>
      </c>
      <c r="J192" s="59">
        <f t="shared" si="36"/>
        <v>0</v>
      </c>
    </row>
    <row r="193" spans="2:10" x14ac:dyDescent="0.3">
      <c r="B193" s="57" t="str">
        <f t="shared" si="30"/>
        <v/>
      </c>
      <c r="C193" s="58" t="str">
        <f>IF(B192&lt;SUM($D$19:$D$20),DATE(YEAR(C192),MONTH(C192)+1,DAY(C192)),"")</f>
        <v/>
      </c>
      <c r="D193" s="59" t="b">
        <f t="shared" si="32"/>
        <v>0</v>
      </c>
      <c r="E193" s="59" t="b">
        <f t="shared" si="33"/>
        <v>0</v>
      </c>
      <c r="F193" s="96"/>
      <c r="G193" s="59">
        <f t="shared" si="34"/>
        <v>0</v>
      </c>
      <c r="H193" s="59">
        <f t="shared" si="28"/>
        <v>0</v>
      </c>
      <c r="I193" s="59">
        <f t="shared" si="35"/>
        <v>0</v>
      </c>
      <c r="J193" s="59">
        <f t="shared" si="36"/>
        <v>0</v>
      </c>
    </row>
    <row r="194" spans="2:10" x14ac:dyDescent="0.3">
      <c r="B194" s="57" t="str">
        <f t="shared" si="30"/>
        <v/>
      </c>
      <c r="C194" s="58" t="str">
        <f t="shared" si="31"/>
        <v/>
      </c>
      <c r="D194" s="59" t="b">
        <f t="shared" si="32"/>
        <v>0</v>
      </c>
      <c r="E194" s="59" t="b">
        <f t="shared" si="33"/>
        <v>0</v>
      </c>
      <c r="F194" s="96"/>
      <c r="G194" s="59">
        <f t="shared" si="34"/>
        <v>0</v>
      </c>
      <c r="H194" s="59">
        <f t="shared" si="28"/>
        <v>0</v>
      </c>
      <c r="I194" s="59">
        <f t="shared" si="35"/>
        <v>0</v>
      </c>
      <c r="J194" s="59">
        <f t="shared" si="36"/>
        <v>0</v>
      </c>
    </row>
    <row r="195" spans="2:10" x14ac:dyDescent="0.3">
      <c r="B195" s="57" t="str">
        <f t="shared" si="30"/>
        <v/>
      </c>
      <c r="C195" s="58" t="str">
        <f t="shared" si="31"/>
        <v/>
      </c>
      <c r="D195" s="59" t="b">
        <f t="shared" si="32"/>
        <v>0</v>
      </c>
      <c r="E195" s="59" t="b">
        <f t="shared" ref="E195:E199" si="37">IF(B195&lt;121,(-PMT($D$112,$D$109,$D$108)))</f>
        <v>0</v>
      </c>
      <c r="F195" s="96"/>
      <c r="G195" s="59">
        <f t="shared" ref="G195:G199" si="38">SUM(E195:F195)</f>
        <v>0</v>
      </c>
      <c r="H195" s="59">
        <f t="shared" si="28"/>
        <v>0</v>
      </c>
      <c r="I195" s="59">
        <f t="shared" ref="I195:I199" si="39">E195-H195</f>
        <v>0</v>
      </c>
      <c r="J195" s="59">
        <f t="shared" ref="J195:J199" si="40">D195-I195</f>
        <v>0</v>
      </c>
    </row>
    <row r="196" spans="2:10" x14ac:dyDescent="0.3">
      <c r="B196" s="57" t="str">
        <f t="shared" si="30"/>
        <v/>
      </c>
      <c r="C196" s="58" t="str">
        <f t="shared" si="31"/>
        <v/>
      </c>
      <c r="D196" s="59" t="b">
        <f t="shared" si="32"/>
        <v>0</v>
      </c>
      <c r="E196" s="59" t="b">
        <f t="shared" si="37"/>
        <v>0</v>
      </c>
      <c r="F196" s="96"/>
      <c r="G196" s="59">
        <f t="shared" si="38"/>
        <v>0</v>
      </c>
      <c r="H196" s="59">
        <f t="shared" si="28"/>
        <v>0</v>
      </c>
      <c r="I196" s="59">
        <f t="shared" si="39"/>
        <v>0</v>
      </c>
      <c r="J196" s="59">
        <f t="shared" si="40"/>
        <v>0</v>
      </c>
    </row>
    <row r="197" spans="2:10" x14ac:dyDescent="0.3">
      <c r="B197" s="57" t="str">
        <f t="shared" si="30"/>
        <v/>
      </c>
      <c r="C197" s="58" t="str">
        <f t="shared" si="31"/>
        <v/>
      </c>
      <c r="D197" s="59" t="b">
        <f t="shared" si="32"/>
        <v>0</v>
      </c>
      <c r="E197" s="59" t="b">
        <f t="shared" si="37"/>
        <v>0</v>
      </c>
      <c r="F197" s="96"/>
      <c r="G197" s="59">
        <f t="shared" si="38"/>
        <v>0</v>
      </c>
      <c r="H197" s="59">
        <f t="shared" si="28"/>
        <v>0</v>
      </c>
      <c r="I197" s="59">
        <f t="shared" si="39"/>
        <v>0</v>
      </c>
      <c r="J197" s="59">
        <f t="shared" si="40"/>
        <v>0</v>
      </c>
    </row>
    <row r="198" spans="2:10" x14ac:dyDescent="0.3">
      <c r="B198" s="57" t="str">
        <f t="shared" si="30"/>
        <v/>
      </c>
      <c r="C198" s="58" t="str">
        <f t="shared" si="31"/>
        <v/>
      </c>
      <c r="D198" s="59" t="b">
        <f t="shared" si="32"/>
        <v>0</v>
      </c>
      <c r="E198" s="59" t="b">
        <f t="shared" si="37"/>
        <v>0</v>
      </c>
      <c r="F198" s="96"/>
      <c r="G198" s="59">
        <f t="shared" si="38"/>
        <v>0</v>
      </c>
      <c r="H198" s="59">
        <f t="shared" si="28"/>
        <v>0</v>
      </c>
      <c r="I198" s="59">
        <f t="shared" si="39"/>
        <v>0</v>
      </c>
      <c r="J198" s="59">
        <f t="shared" si="40"/>
        <v>0</v>
      </c>
    </row>
    <row r="199" spans="2:10" x14ac:dyDescent="0.3">
      <c r="B199" s="57" t="str">
        <f t="shared" si="30"/>
        <v/>
      </c>
      <c r="C199" s="58" t="str">
        <f t="shared" si="31"/>
        <v/>
      </c>
      <c r="D199" s="59" t="b">
        <f t="shared" si="32"/>
        <v>0</v>
      </c>
      <c r="E199" s="59" t="b">
        <f t="shared" si="37"/>
        <v>0</v>
      </c>
      <c r="F199" s="96"/>
      <c r="G199" s="59">
        <f t="shared" si="38"/>
        <v>0</v>
      </c>
      <c r="H199" s="59">
        <f t="shared" si="28"/>
        <v>0</v>
      </c>
      <c r="I199" s="59">
        <f t="shared" si="39"/>
        <v>0</v>
      </c>
      <c r="J199" s="59">
        <f t="shared" si="40"/>
        <v>0</v>
      </c>
    </row>
    <row r="200" spans="2:10" x14ac:dyDescent="0.3">
      <c r="B200" s="57" t="str">
        <f t="shared" si="30"/>
        <v/>
      </c>
      <c r="C200" s="58" t="str">
        <f t="shared" si="31"/>
        <v/>
      </c>
      <c r="D200" s="59" t="b">
        <f t="shared" si="32"/>
        <v>0</v>
      </c>
      <c r="E200" s="59" t="b">
        <f t="shared" ref="E200:E205" si="41">IF(B200&lt;121,(-PMT($D$112,$D$109,$D$108)))</f>
        <v>0</v>
      </c>
      <c r="F200" s="96"/>
      <c r="G200" s="59">
        <f t="shared" ref="G200:G205" si="42">SUM(E200:F200)</f>
        <v>0</v>
      </c>
      <c r="H200" s="59">
        <f t="shared" si="28"/>
        <v>0</v>
      </c>
      <c r="I200" s="59">
        <f t="shared" ref="I200:I205" si="43">E200-H200</f>
        <v>0</v>
      </c>
      <c r="J200" s="59">
        <f t="shared" ref="J200:J205" si="44">D200-I200</f>
        <v>0</v>
      </c>
    </row>
    <row r="201" spans="2:10" x14ac:dyDescent="0.3">
      <c r="B201" s="57" t="str">
        <f>IF(B200&lt;SUM($D$19:$D$20),B200+1,"")</f>
        <v/>
      </c>
      <c r="C201" s="58" t="str">
        <f t="shared" si="31"/>
        <v/>
      </c>
      <c r="D201" s="59" t="b">
        <f t="shared" si="32"/>
        <v>0</v>
      </c>
      <c r="E201" s="59" t="b">
        <f t="shared" si="41"/>
        <v>0</v>
      </c>
      <c r="F201" s="96"/>
      <c r="G201" s="59">
        <f t="shared" si="42"/>
        <v>0</v>
      </c>
      <c r="H201" s="59">
        <f t="shared" si="28"/>
        <v>0</v>
      </c>
      <c r="I201" s="59">
        <f t="shared" si="43"/>
        <v>0</v>
      </c>
      <c r="J201" s="59">
        <f t="shared" si="44"/>
        <v>0</v>
      </c>
    </row>
    <row r="202" spans="2:10" x14ac:dyDescent="0.3">
      <c r="B202" s="57" t="str">
        <f t="shared" si="30"/>
        <v/>
      </c>
      <c r="C202" s="58" t="str">
        <f t="shared" si="31"/>
        <v/>
      </c>
      <c r="D202" s="59" t="b">
        <f t="shared" si="32"/>
        <v>0</v>
      </c>
      <c r="E202" s="59" t="b">
        <f t="shared" si="41"/>
        <v>0</v>
      </c>
      <c r="F202" s="96"/>
      <c r="G202" s="59">
        <f t="shared" si="42"/>
        <v>0</v>
      </c>
      <c r="H202" s="59">
        <f t="shared" si="28"/>
        <v>0</v>
      </c>
      <c r="I202" s="59">
        <f t="shared" si="43"/>
        <v>0</v>
      </c>
      <c r="J202" s="59">
        <f t="shared" si="44"/>
        <v>0</v>
      </c>
    </row>
    <row r="203" spans="2:10" x14ac:dyDescent="0.3">
      <c r="B203" s="57" t="str">
        <f t="shared" si="30"/>
        <v/>
      </c>
      <c r="C203" s="58" t="str">
        <f t="shared" si="31"/>
        <v/>
      </c>
      <c r="D203" s="59" t="b">
        <f t="shared" si="32"/>
        <v>0</v>
      </c>
      <c r="E203" s="59" t="b">
        <f t="shared" si="41"/>
        <v>0</v>
      </c>
      <c r="F203" s="96"/>
      <c r="G203" s="59">
        <f t="shared" si="42"/>
        <v>0</v>
      </c>
      <c r="H203" s="59">
        <f t="shared" si="28"/>
        <v>0</v>
      </c>
      <c r="I203" s="59">
        <f t="shared" si="43"/>
        <v>0</v>
      </c>
      <c r="J203" s="59">
        <f t="shared" si="44"/>
        <v>0</v>
      </c>
    </row>
    <row r="204" spans="2:10" x14ac:dyDescent="0.3">
      <c r="B204" s="57" t="str">
        <f t="shared" si="30"/>
        <v/>
      </c>
      <c r="C204" s="58" t="str">
        <f t="shared" si="31"/>
        <v/>
      </c>
      <c r="D204" s="59" t="b">
        <f t="shared" si="32"/>
        <v>0</v>
      </c>
      <c r="E204" s="59" t="b">
        <f t="shared" si="41"/>
        <v>0</v>
      </c>
      <c r="F204" s="96"/>
      <c r="G204" s="59">
        <f t="shared" si="42"/>
        <v>0</v>
      </c>
      <c r="H204" s="59">
        <f t="shared" si="28"/>
        <v>0</v>
      </c>
      <c r="I204" s="59">
        <f t="shared" si="43"/>
        <v>0</v>
      </c>
      <c r="J204" s="59">
        <f t="shared" si="44"/>
        <v>0</v>
      </c>
    </row>
    <row r="205" spans="2:10" x14ac:dyDescent="0.3">
      <c r="B205" s="57" t="str">
        <f t="shared" si="30"/>
        <v/>
      </c>
      <c r="C205" s="58" t="str">
        <f t="shared" si="31"/>
        <v/>
      </c>
      <c r="D205" s="59" t="b">
        <f t="shared" si="32"/>
        <v>0</v>
      </c>
      <c r="E205" s="59" t="b">
        <f t="shared" si="41"/>
        <v>0</v>
      </c>
      <c r="F205" s="96"/>
      <c r="G205" s="59">
        <f t="shared" si="42"/>
        <v>0</v>
      </c>
      <c r="H205" s="59">
        <f t="shared" si="28"/>
        <v>0</v>
      </c>
      <c r="I205" s="59">
        <f t="shared" si="43"/>
        <v>0</v>
      </c>
      <c r="J205" s="59">
        <f t="shared" si="44"/>
        <v>0</v>
      </c>
    </row>
    <row r="206" spans="2:10" x14ac:dyDescent="0.3">
      <c r="B206" s="57" t="str">
        <f t="shared" si="30"/>
        <v/>
      </c>
      <c r="C206" s="58" t="str">
        <f t="shared" si="31"/>
        <v/>
      </c>
      <c r="D206" s="59" t="b">
        <f t="shared" si="32"/>
        <v>0</v>
      </c>
      <c r="E206" s="59" t="b">
        <f t="shared" ref="E206:E211" si="45">IF(B206&lt;121,(-PMT($D$112,$D$109,$D$108)))</f>
        <v>0</v>
      </c>
      <c r="F206" s="96"/>
      <c r="G206" s="59">
        <f t="shared" ref="G206:G211" si="46">SUM(E206:F206)</f>
        <v>0</v>
      </c>
      <c r="H206" s="59">
        <f t="shared" si="28"/>
        <v>0</v>
      </c>
      <c r="I206" s="59">
        <f t="shared" ref="I206:I211" si="47">E206-H206</f>
        <v>0</v>
      </c>
      <c r="J206" s="59">
        <f t="shared" ref="J206:J211" si="48">D206-I206</f>
        <v>0</v>
      </c>
    </row>
    <row r="207" spans="2:10" x14ac:dyDescent="0.3">
      <c r="B207" s="57" t="str">
        <f t="shared" si="30"/>
        <v/>
      </c>
      <c r="C207" s="58" t="str">
        <f t="shared" si="31"/>
        <v/>
      </c>
      <c r="D207" s="59" t="b">
        <f t="shared" si="32"/>
        <v>0</v>
      </c>
      <c r="E207" s="59" t="b">
        <f t="shared" si="45"/>
        <v>0</v>
      </c>
      <c r="F207" s="301"/>
      <c r="G207" s="59">
        <f t="shared" si="46"/>
        <v>0</v>
      </c>
      <c r="H207" s="59">
        <f t="shared" si="28"/>
        <v>0</v>
      </c>
      <c r="I207" s="59">
        <f t="shared" si="47"/>
        <v>0</v>
      </c>
      <c r="J207" s="59">
        <f t="shared" si="48"/>
        <v>0</v>
      </c>
    </row>
    <row r="208" spans="2:10" x14ac:dyDescent="0.3">
      <c r="B208" s="57" t="str">
        <f t="shared" si="30"/>
        <v/>
      </c>
      <c r="C208" s="58" t="str">
        <f t="shared" si="31"/>
        <v/>
      </c>
      <c r="D208" s="59" t="b">
        <f t="shared" si="32"/>
        <v>0</v>
      </c>
      <c r="E208" s="59" t="b">
        <f t="shared" si="45"/>
        <v>0</v>
      </c>
      <c r="F208" s="301"/>
      <c r="G208" s="59">
        <f t="shared" si="46"/>
        <v>0</v>
      </c>
      <c r="H208" s="59">
        <f t="shared" si="28"/>
        <v>0</v>
      </c>
      <c r="I208" s="59">
        <f t="shared" si="47"/>
        <v>0</v>
      </c>
      <c r="J208" s="59">
        <f t="shared" si="48"/>
        <v>0</v>
      </c>
    </row>
    <row r="209" spans="1:10" x14ac:dyDescent="0.3">
      <c r="B209" s="57" t="str">
        <f t="shared" si="30"/>
        <v/>
      </c>
      <c r="C209" s="58" t="str">
        <f t="shared" si="31"/>
        <v/>
      </c>
      <c r="D209" s="59" t="b">
        <f t="shared" si="32"/>
        <v>0</v>
      </c>
      <c r="E209" s="59" t="b">
        <f t="shared" si="45"/>
        <v>0</v>
      </c>
      <c r="F209" s="301"/>
      <c r="G209" s="59">
        <f t="shared" si="46"/>
        <v>0</v>
      </c>
      <c r="H209" s="59">
        <f t="shared" si="28"/>
        <v>0</v>
      </c>
      <c r="I209" s="59">
        <f t="shared" si="47"/>
        <v>0</v>
      </c>
      <c r="J209" s="59">
        <f t="shared" si="48"/>
        <v>0</v>
      </c>
    </row>
    <row r="210" spans="1:10" x14ac:dyDescent="0.3">
      <c r="B210" s="57" t="str">
        <f t="shared" si="30"/>
        <v/>
      </c>
      <c r="C210" s="58" t="str">
        <f t="shared" si="31"/>
        <v/>
      </c>
      <c r="D210" s="59" t="b">
        <f t="shared" si="32"/>
        <v>0</v>
      </c>
      <c r="E210" s="59" t="b">
        <f t="shared" si="45"/>
        <v>0</v>
      </c>
      <c r="F210" s="301"/>
      <c r="G210" s="59">
        <f t="shared" si="46"/>
        <v>0</v>
      </c>
      <c r="H210" s="59">
        <f t="shared" si="28"/>
        <v>0</v>
      </c>
      <c r="I210" s="59">
        <f t="shared" si="47"/>
        <v>0</v>
      </c>
      <c r="J210" s="59">
        <f t="shared" si="48"/>
        <v>0</v>
      </c>
    </row>
    <row r="211" spans="1:10" x14ac:dyDescent="0.3">
      <c r="B211" s="57" t="str">
        <f t="shared" si="30"/>
        <v/>
      </c>
      <c r="C211" s="58" t="str">
        <f t="shared" si="31"/>
        <v/>
      </c>
      <c r="D211" s="59" t="b">
        <f t="shared" si="32"/>
        <v>0</v>
      </c>
      <c r="E211" s="59" t="b">
        <f t="shared" si="45"/>
        <v>0</v>
      </c>
      <c r="F211" s="301"/>
      <c r="G211" s="59">
        <f t="shared" si="46"/>
        <v>0</v>
      </c>
      <c r="H211" s="59">
        <f t="shared" si="28"/>
        <v>0</v>
      </c>
      <c r="I211" s="59">
        <f t="shared" si="47"/>
        <v>0</v>
      </c>
      <c r="J211" s="59">
        <f t="shared" si="48"/>
        <v>0</v>
      </c>
    </row>
    <row r="212" spans="1:10" hidden="1" x14ac:dyDescent="0.3">
      <c r="B212" s="176">
        <f>D51+D111</f>
        <v>120</v>
      </c>
      <c r="C212" s="81">
        <f>VLOOKUP(Tabla12111735918[[#Totals],[PERIODO]],Tabla12111735918[[#Headers],[#Data]],2)</f>
        <v>48615</v>
      </c>
      <c r="D212" s="82"/>
      <c r="E212" s="83"/>
      <c r="F212" s="101">
        <f>SUM(F116:F211)</f>
        <v>0</v>
      </c>
      <c r="G212" s="83"/>
      <c r="H212" s="82"/>
      <c r="I212" s="83">
        <f>SUBTOTAL(109,Tabla12111735918[ABONO A CAPITAL])</f>
        <v>103940.46735589398</v>
      </c>
      <c r="J212" s="83">
        <f>VLOOKUP(Tabla12111735918[[#Totals],[PERIODO]],Tabla12111735918[[#Headers],[#Data]],9)</f>
        <v>467451.53264410608</v>
      </c>
    </row>
    <row r="213" spans="1:10" hidden="1" x14ac:dyDescent="0.3">
      <c r="A213" s="178"/>
      <c r="B213" s="84"/>
      <c r="C213" s="85"/>
      <c r="D213" s="86"/>
      <c r="E213" s="86"/>
      <c r="F213" s="32"/>
      <c r="G213" s="85"/>
      <c r="H213" s="86"/>
      <c r="I213" s="86"/>
      <c r="J213" s="46"/>
    </row>
    <row r="214" spans="1:10" hidden="1" x14ac:dyDescent="0.3">
      <c r="A214" s="178"/>
      <c r="B214" s="84"/>
      <c r="C214" s="85"/>
      <c r="D214" s="86"/>
      <c r="E214" s="86"/>
      <c r="F214" s="32"/>
      <c r="G214" s="85"/>
      <c r="H214" s="86"/>
      <c r="I214" s="86"/>
      <c r="J214" s="46"/>
    </row>
    <row r="215" spans="1:10" hidden="1" x14ac:dyDescent="0.3">
      <c r="B215" s="47"/>
      <c r="C215" s="47"/>
      <c r="D215" s="45"/>
      <c r="E215" s="47"/>
      <c r="G215" s="47"/>
      <c r="H215" s="47"/>
      <c r="I215" s="47"/>
      <c r="J215" s="46"/>
    </row>
    <row r="216" spans="1:10" x14ac:dyDescent="0.3">
      <c r="B216" s="33"/>
      <c r="C216" s="33"/>
      <c r="D216" s="69"/>
      <c r="E216" s="33"/>
      <c r="F216" s="3"/>
      <c r="G216" s="33"/>
      <c r="H216" s="33"/>
      <c r="I216" s="33"/>
      <c r="J216" s="46"/>
    </row>
    <row r="217" spans="1:10" ht="20.25" x14ac:dyDescent="0.3">
      <c r="B217" s="175" t="s">
        <v>130</v>
      </c>
      <c r="C217" s="33"/>
      <c r="D217" s="69"/>
      <c r="E217" s="33"/>
      <c r="F217" s="33"/>
      <c r="G217" s="33"/>
      <c r="H217" s="33"/>
      <c r="I217" s="33"/>
      <c r="J217" s="46"/>
    </row>
    <row r="218" spans="1:10" hidden="1" x14ac:dyDescent="0.3">
      <c r="B218" s="47"/>
      <c r="C218" s="60" t="s">
        <v>16</v>
      </c>
      <c r="D218" s="70">
        <f>$I$212</f>
        <v>103940.46735589398</v>
      </c>
      <c r="E218" s="47"/>
      <c r="G218" s="47"/>
      <c r="H218" s="47"/>
      <c r="I218" s="47"/>
      <c r="J218" s="46"/>
    </row>
    <row r="219" spans="1:10" hidden="1" x14ac:dyDescent="0.3">
      <c r="B219" s="47"/>
      <c r="C219" s="87" t="s">
        <v>20</v>
      </c>
      <c r="D219" s="71">
        <f>$D$108-$D$218</f>
        <v>467451.53264410602</v>
      </c>
      <c r="E219" s="47"/>
      <c r="G219" s="47"/>
      <c r="H219" s="47"/>
      <c r="I219" s="47"/>
      <c r="J219" s="46"/>
    </row>
    <row r="220" spans="1:10" hidden="1" x14ac:dyDescent="0.3">
      <c r="B220" s="47"/>
      <c r="C220" s="60" t="s">
        <v>21</v>
      </c>
      <c r="D220" s="88">
        <f>$D$109-$D$111</f>
        <v>120</v>
      </c>
      <c r="E220" s="47"/>
      <c r="G220" s="47"/>
      <c r="H220" s="47"/>
      <c r="I220" s="47"/>
      <c r="J220" s="46"/>
    </row>
    <row r="221" spans="1:10" hidden="1" x14ac:dyDescent="0.3">
      <c r="B221" s="47"/>
      <c r="C221" s="60" t="s">
        <v>22</v>
      </c>
      <c r="D221" s="88">
        <f>$D$220/12</f>
        <v>10</v>
      </c>
      <c r="E221" s="47"/>
      <c r="G221" s="47"/>
      <c r="H221" s="47"/>
      <c r="I221" s="47"/>
      <c r="J221" s="46"/>
    </row>
    <row r="222" spans="1:10" hidden="1" x14ac:dyDescent="0.3">
      <c r="B222" s="47"/>
      <c r="C222" s="60" t="s">
        <v>26</v>
      </c>
      <c r="D222" s="266">
        <f>$D$21</f>
        <v>120</v>
      </c>
      <c r="E222" s="47"/>
      <c r="G222" s="47"/>
      <c r="H222" s="47"/>
      <c r="I222" s="47"/>
      <c r="J222" s="46"/>
    </row>
    <row r="223" spans="1:10" hidden="1" x14ac:dyDescent="0.3">
      <c r="B223" s="47"/>
      <c r="C223" s="60" t="s">
        <v>9</v>
      </c>
      <c r="D223" s="89">
        <f>$E$21</f>
        <v>1.2500000000000001E-2</v>
      </c>
      <c r="E223" s="47"/>
      <c r="G223" s="47"/>
      <c r="H223" s="47"/>
      <c r="I223" s="47"/>
      <c r="J223" s="46"/>
    </row>
    <row r="224" spans="1:10" hidden="1" x14ac:dyDescent="0.3">
      <c r="B224" s="47"/>
      <c r="C224" s="60" t="s">
        <v>24</v>
      </c>
      <c r="D224" s="61">
        <f>-PMT(D223,D220,D219)</f>
        <v>7541.6272953459866</v>
      </c>
      <c r="E224" s="198"/>
      <c r="F224" s="30"/>
      <c r="G224" s="47"/>
      <c r="H224" s="47"/>
      <c r="I224" s="47"/>
      <c r="J224" s="46"/>
    </row>
    <row r="225" spans="2:10" hidden="1" x14ac:dyDescent="0.3">
      <c r="B225" s="47"/>
      <c r="C225" s="47"/>
      <c r="D225" s="61">
        <f>D224*D222</f>
        <v>904995.2754415184</v>
      </c>
      <c r="E225" s="45"/>
      <c r="G225" s="47"/>
      <c r="H225" s="47"/>
      <c r="I225" s="45"/>
      <c r="J225" s="46"/>
    </row>
    <row r="226" spans="2:10" x14ac:dyDescent="0.3">
      <c r="B226" s="62" t="s">
        <v>11</v>
      </c>
      <c r="C226" s="90" t="s">
        <v>12</v>
      </c>
      <c r="D226" s="91" t="s">
        <v>13</v>
      </c>
      <c r="E226" s="92" t="s">
        <v>25</v>
      </c>
      <c r="F226" s="91" t="s">
        <v>15</v>
      </c>
      <c r="G226" s="91" t="s">
        <v>16</v>
      </c>
      <c r="H226" s="91" t="s">
        <v>17</v>
      </c>
      <c r="I226" s="91" t="s">
        <v>18</v>
      </c>
      <c r="J226" s="92" t="s">
        <v>19</v>
      </c>
    </row>
    <row r="227" spans="2:10" hidden="1" x14ac:dyDescent="0.3">
      <c r="B227" s="57">
        <v>120</v>
      </c>
      <c r="C227" s="81">
        <f>Tabla12111735918[[#Totals],[FECHA]]</f>
        <v>48615</v>
      </c>
      <c r="D227" s="93">
        <f>D219</f>
        <v>467451.53264410602</v>
      </c>
      <c r="E227" s="80"/>
      <c r="F227" s="99">
        <f>Tabla12111735918[[#Totals],[ABONOS]]</f>
        <v>0</v>
      </c>
      <c r="G227" s="80">
        <f t="shared" ref="G227:G291" si="49">SUM(E227:F227)</f>
        <v>0</v>
      </c>
      <c r="H227" s="94"/>
      <c r="I227" s="80">
        <f t="shared" ref="I227:I290" si="50">G227-H227</f>
        <v>0</v>
      </c>
      <c r="J227" s="80">
        <f t="shared" ref="J227:J291" si="51">D227-I227</f>
        <v>467451.53264410602</v>
      </c>
    </row>
    <row r="228" spans="2:10" x14ac:dyDescent="0.3">
      <c r="B228" s="57">
        <f>IF(B227&lt;$D$49,B227+1,"")</f>
        <v>121</v>
      </c>
      <c r="C228" s="58">
        <f>IF(B228&lt;=$D$17,DATE(YEAR(C227),MONTH(C227)+1,DAY(C227)),"")</f>
        <v>48643</v>
      </c>
      <c r="D228" s="59">
        <f>IF(J227&gt;=120,J227,0)</f>
        <v>467451.53264410602</v>
      </c>
      <c r="E228" s="59">
        <f t="shared" ref="E228:E258" si="52">IF(D228&gt;0,(-PMT($D$223,$D$220,$D$219)))</f>
        <v>7541.6272953459866</v>
      </c>
      <c r="F228" s="96"/>
      <c r="G228" s="59">
        <f t="shared" si="49"/>
        <v>7541.6272953459866</v>
      </c>
      <c r="H228" s="59">
        <f t="shared" ref="H228:H259" si="53">IF(B228&gt;=121,(D228*$D$223),0)</f>
        <v>5843.1441580513256</v>
      </c>
      <c r="I228" s="59">
        <f t="shared" si="50"/>
        <v>1698.483137294661</v>
      </c>
      <c r="J228" s="59">
        <f t="shared" si="51"/>
        <v>465753.04950681137</v>
      </c>
    </row>
    <row r="229" spans="2:10" x14ac:dyDescent="0.3">
      <c r="B229" s="57">
        <f>IF(B228&lt;$D$49,B228+1,"")</f>
        <v>122</v>
      </c>
      <c r="C229" s="58">
        <f t="shared" ref="C229:C292" si="54">IF(B229&lt;=$E$18,DATE(YEAR(C228),MONTH(C228)+1,DAY(C228)),"")</f>
        <v>48674</v>
      </c>
      <c r="D229" s="59">
        <f t="shared" ref="D229:D292" si="55">IF(J228&gt;120,J228,0)</f>
        <v>465753.04950681137</v>
      </c>
      <c r="E229" s="59">
        <f t="shared" si="52"/>
        <v>7541.6272953459866</v>
      </c>
      <c r="F229" s="96"/>
      <c r="G229" s="59">
        <f t="shared" si="49"/>
        <v>7541.6272953459866</v>
      </c>
      <c r="H229" s="59">
        <f t="shared" si="53"/>
        <v>5821.9131188351421</v>
      </c>
      <c r="I229" s="59">
        <f t="shared" si="50"/>
        <v>1719.7141765108445</v>
      </c>
      <c r="J229" s="59">
        <f t="shared" si="51"/>
        <v>464033.3353303005</v>
      </c>
    </row>
    <row r="230" spans="2:10" x14ac:dyDescent="0.3">
      <c r="B230" s="57">
        <f t="shared" ref="B230:B287" si="56">IF(B229&lt;$D$49,B229+1,"")</f>
        <v>123</v>
      </c>
      <c r="C230" s="58">
        <f t="shared" si="54"/>
        <v>48704</v>
      </c>
      <c r="D230" s="59">
        <f t="shared" si="55"/>
        <v>464033.3353303005</v>
      </c>
      <c r="E230" s="59">
        <f t="shared" si="52"/>
        <v>7541.6272953459866</v>
      </c>
      <c r="F230" s="96"/>
      <c r="G230" s="59">
        <f t="shared" si="49"/>
        <v>7541.6272953459866</v>
      </c>
      <c r="H230" s="59">
        <f t="shared" si="53"/>
        <v>5800.4166916287568</v>
      </c>
      <c r="I230" s="59">
        <f t="shared" si="50"/>
        <v>1741.2106037172298</v>
      </c>
      <c r="J230" s="59">
        <f t="shared" si="51"/>
        <v>462292.12472658325</v>
      </c>
    </row>
    <row r="231" spans="2:10" x14ac:dyDescent="0.3">
      <c r="B231" s="57">
        <f t="shared" si="56"/>
        <v>124</v>
      </c>
      <c r="C231" s="58">
        <f t="shared" si="54"/>
        <v>48735</v>
      </c>
      <c r="D231" s="59">
        <f t="shared" si="55"/>
        <v>462292.12472658325</v>
      </c>
      <c r="E231" s="59">
        <f t="shared" si="52"/>
        <v>7541.6272953459866</v>
      </c>
      <c r="F231" s="96"/>
      <c r="G231" s="59">
        <f t="shared" si="49"/>
        <v>7541.6272953459866</v>
      </c>
      <c r="H231" s="59">
        <f t="shared" si="53"/>
        <v>5778.651559082291</v>
      </c>
      <c r="I231" s="59">
        <f t="shared" si="50"/>
        <v>1762.9757362636956</v>
      </c>
      <c r="J231" s="59">
        <f t="shared" si="51"/>
        <v>460529.14899031958</v>
      </c>
    </row>
    <row r="232" spans="2:10" x14ac:dyDescent="0.3">
      <c r="B232" s="57">
        <f t="shared" si="56"/>
        <v>125</v>
      </c>
      <c r="C232" s="58">
        <f t="shared" si="54"/>
        <v>48765</v>
      </c>
      <c r="D232" s="59">
        <f t="shared" si="55"/>
        <v>460529.14899031958</v>
      </c>
      <c r="E232" s="59">
        <f t="shared" si="52"/>
        <v>7541.6272953459866</v>
      </c>
      <c r="F232" s="96"/>
      <c r="G232" s="59">
        <f t="shared" si="49"/>
        <v>7541.6272953459866</v>
      </c>
      <c r="H232" s="59">
        <f t="shared" si="53"/>
        <v>5756.6143623789949</v>
      </c>
      <c r="I232" s="59">
        <f t="shared" si="50"/>
        <v>1785.0129329669917</v>
      </c>
      <c r="J232" s="59">
        <f t="shared" si="51"/>
        <v>458744.13605735259</v>
      </c>
    </row>
    <row r="233" spans="2:10" x14ac:dyDescent="0.3">
      <c r="B233" s="57">
        <f t="shared" si="56"/>
        <v>126</v>
      </c>
      <c r="C233" s="58">
        <f t="shared" si="54"/>
        <v>48796</v>
      </c>
      <c r="D233" s="59">
        <f t="shared" si="55"/>
        <v>458744.13605735259</v>
      </c>
      <c r="E233" s="59">
        <f t="shared" si="52"/>
        <v>7541.6272953459866</v>
      </c>
      <c r="F233" s="96"/>
      <c r="G233" s="59">
        <f t="shared" si="49"/>
        <v>7541.6272953459866</v>
      </c>
      <c r="H233" s="59">
        <f t="shared" si="53"/>
        <v>5734.3017007169074</v>
      </c>
      <c r="I233" s="59">
        <f t="shared" si="50"/>
        <v>1807.3255946290792</v>
      </c>
      <c r="J233" s="59">
        <f t="shared" si="51"/>
        <v>456936.81046272349</v>
      </c>
    </row>
    <row r="234" spans="2:10" x14ac:dyDescent="0.3">
      <c r="B234" s="57">
        <f t="shared" si="56"/>
        <v>127</v>
      </c>
      <c r="C234" s="58">
        <f t="shared" si="54"/>
        <v>48827</v>
      </c>
      <c r="D234" s="59">
        <f t="shared" si="55"/>
        <v>456936.81046272349</v>
      </c>
      <c r="E234" s="59">
        <f t="shared" si="52"/>
        <v>7541.6272953459866</v>
      </c>
      <c r="F234" s="96"/>
      <c r="G234" s="59">
        <f t="shared" si="49"/>
        <v>7541.6272953459866</v>
      </c>
      <c r="H234" s="59">
        <f t="shared" si="53"/>
        <v>5711.7101307840439</v>
      </c>
      <c r="I234" s="59">
        <f t="shared" si="50"/>
        <v>1829.9171645619426</v>
      </c>
      <c r="J234" s="59">
        <f t="shared" si="51"/>
        <v>455106.89329816157</v>
      </c>
    </row>
    <row r="235" spans="2:10" x14ac:dyDescent="0.3">
      <c r="B235" s="57">
        <f t="shared" si="56"/>
        <v>128</v>
      </c>
      <c r="C235" s="58">
        <f t="shared" si="54"/>
        <v>48857</v>
      </c>
      <c r="D235" s="59">
        <f t="shared" si="55"/>
        <v>455106.89329816157</v>
      </c>
      <c r="E235" s="59">
        <f t="shared" si="52"/>
        <v>7541.6272953459866</v>
      </c>
      <c r="F235" s="96"/>
      <c r="G235" s="59">
        <f t="shared" si="49"/>
        <v>7541.6272953459866</v>
      </c>
      <c r="H235" s="59">
        <f t="shared" si="53"/>
        <v>5688.8361662270199</v>
      </c>
      <c r="I235" s="59">
        <f t="shared" si="50"/>
        <v>1852.7911291189666</v>
      </c>
      <c r="J235" s="59">
        <f t="shared" si="51"/>
        <v>453254.10216904257</v>
      </c>
    </row>
    <row r="236" spans="2:10" x14ac:dyDescent="0.3">
      <c r="B236" s="57">
        <f t="shared" si="56"/>
        <v>129</v>
      </c>
      <c r="C236" s="58">
        <f t="shared" si="54"/>
        <v>48888</v>
      </c>
      <c r="D236" s="59">
        <f t="shared" si="55"/>
        <v>453254.10216904257</v>
      </c>
      <c r="E236" s="59">
        <f t="shared" si="52"/>
        <v>7541.6272953459866</v>
      </c>
      <c r="F236" s="96"/>
      <c r="G236" s="59">
        <f t="shared" si="49"/>
        <v>7541.6272953459866</v>
      </c>
      <c r="H236" s="59">
        <f t="shared" si="53"/>
        <v>5665.6762771130325</v>
      </c>
      <c r="I236" s="59">
        <f t="shared" si="50"/>
        <v>1875.9510182329541</v>
      </c>
      <c r="J236" s="59">
        <f t="shared" si="51"/>
        <v>451378.1511508096</v>
      </c>
    </row>
    <row r="237" spans="2:10" x14ac:dyDescent="0.3">
      <c r="B237" s="57">
        <f t="shared" si="56"/>
        <v>130</v>
      </c>
      <c r="C237" s="58">
        <f t="shared" si="54"/>
        <v>48918</v>
      </c>
      <c r="D237" s="59">
        <f t="shared" si="55"/>
        <v>451378.1511508096</v>
      </c>
      <c r="E237" s="59">
        <f t="shared" si="52"/>
        <v>7541.6272953459866</v>
      </c>
      <c r="F237" s="96"/>
      <c r="G237" s="59">
        <f t="shared" si="49"/>
        <v>7541.6272953459866</v>
      </c>
      <c r="H237" s="59">
        <f t="shared" si="53"/>
        <v>5642.2268893851206</v>
      </c>
      <c r="I237" s="59">
        <f t="shared" si="50"/>
        <v>1899.400405960866</v>
      </c>
      <c r="J237" s="59">
        <f t="shared" si="51"/>
        <v>449478.75074484874</v>
      </c>
    </row>
    <row r="238" spans="2:10" x14ac:dyDescent="0.3">
      <c r="B238" s="57">
        <f t="shared" si="56"/>
        <v>131</v>
      </c>
      <c r="C238" s="58">
        <f t="shared" si="54"/>
        <v>48949</v>
      </c>
      <c r="D238" s="59">
        <f t="shared" si="55"/>
        <v>449478.75074484874</v>
      </c>
      <c r="E238" s="59">
        <f t="shared" si="52"/>
        <v>7541.6272953459866</v>
      </c>
      <c r="F238" s="96"/>
      <c r="G238" s="59">
        <f t="shared" si="49"/>
        <v>7541.6272953459866</v>
      </c>
      <c r="H238" s="59">
        <f t="shared" si="53"/>
        <v>5618.48438431061</v>
      </c>
      <c r="I238" s="59">
        <f t="shared" si="50"/>
        <v>1923.1429110353765</v>
      </c>
      <c r="J238" s="59">
        <f t="shared" si="51"/>
        <v>447555.60783381335</v>
      </c>
    </row>
    <row r="239" spans="2:10" x14ac:dyDescent="0.3">
      <c r="B239" s="57">
        <f t="shared" si="56"/>
        <v>132</v>
      </c>
      <c r="C239" s="58">
        <f t="shared" si="54"/>
        <v>48980</v>
      </c>
      <c r="D239" s="59">
        <f t="shared" si="55"/>
        <v>447555.60783381335</v>
      </c>
      <c r="E239" s="59">
        <f t="shared" si="52"/>
        <v>7541.6272953459866</v>
      </c>
      <c r="F239" s="96"/>
      <c r="G239" s="59">
        <f t="shared" si="49"/>
        <v>7541.6272953459866</v>
      </c>
      <c r="H239" s="59">
        <f t="shared" si="53"/>
        <v>5594.4450979226676</v>
      </c>
      <c r="I239" s="59">
        <f t="shared" si="50"/>
        <v>1947.1821974233189</v>
      </c>
      <c r="J239" s="59">
        <f t="shared" si="51"/>
        <v>445608.42563639005</v>
      </c>
    </row>
    <row r="240" spans="2:10" x14ac:dyDescent="0.3">
      <c r="B240" s="57">
        <f t="shared" si="56"/>
        <v>133</v>
      </c>
      <c r="C240" s="58">
        <f t="shared" si="54"/>
        <v>49008</v>
      </c>
      <c r="D240" s="59">
        <f t="shared" si="55"/>
        <v>445608.42563639005</v>
      </c>
      <c r="E240" s="59">
        <f t="shared" si="52"/>
        <v>7541.6272953459866</v>
      </c>
      <c r="F240" s="96"/>
      <c r="G240" s="59">
        <f t="shared" si="49"/>
        <v>7541.6272953459866</v>
      </c>
      <c r="H240" s="59">
        <f t="shared" si="53"/>
        <v>5570.1053204548762</v>
      </c>
      <c r="I240" s="59">
        <f t="shared" si="50"/>
        <v>1971.5219748911104</v>
      </c>
      <c r="J240" s="59">
        <f t="shared" si="51"/>
        <v>443636.90366149892</v>
      </c>
    </row>
    <row r="241" spans="2:10" x14ac:dyDescent="0.3">
      <c r="B241" s="57">
        <f t="shared" si="56"/>
        <v>134</v>
      </c>
      <c r="C241" s="58">
        <f t="shared" si="54"/>
        <v>49039</v>
      </c>
      <c r="D241" s="59">
        <f t="shared" si="55"/>
        <v>443636.90366149892</v>
      </c>
      <c r="E241" s="59">
        <f t="shared" si="52"/>
        <v>7541.6272953459866</v>
      </c>
      <c r="F241" s="96"/>
      <c r="G241" s="59">
        <f t="shared" si="49"/>
        <v>7541.6272953459866</v>
      </c>
      <c r="H241" s="59">
        <f t="shared" si="53"/>
        <v>5545.4612957687368</v>
      </c>
      <c r="I241" s="59">
        <f t="shared" si="50"/>
        <v>1996.1659995772497</v>
      </c>
      <c r="J241" s="59">
        <f t="shared" si="51"/>
        <v>441640.73766192165</v>
      </c>
    </row>
    <row r="242" spans="2:10" x14ac:dyDescent="0.3">
      <c r="B242" s="57">
        <f t="shared" si="56"/>
        <v>135</v>
      </c>
      <c r="C242" s="58">
        <f t="shared" si="54"/>
        <v>49069</v>
      </c>
      <c r="D242" s="59">
        <f t="shared" si="55"/>
        <v>441640.73766192165</v>
      </c>
      <c r="E242" s="59">
        <f t="shared" si="52"/>
        <v>7541.6272953459866</v>
      </c>
      <c r="F242" s="96"/>
      <c r="G242" s="59">
        <f t="shared" si="49"/>
        <v>7541.6272953459866</v>
      </c>
      <c r="H242" s="59">
        <f t="shared" si="53"/>
        <v>5520.5092207740208</v>
      </c>
      <c r="I242" s="59">
        <f t="shared" si="50"/>
        <v>2021.1180745719657</v>
      </c>
      <c r="J242" s="59">
        <f t="shared" si="51"/>
        <v>439619.61958734971</v>
      </c>
    </row>
    <row r="243" spans="2:10" x14ac:dyDescent="0.3">
      <c r="B243" s="57">
        <f t="shared" si="56"/>
        <v>136</v>
      </c>
      <c r="C243" s="58">
        <f t="shared" si="54"/>
        <v>49100</v>
      </c>
      <c r="D243" s="59">
        <f t="shared" si="55"/>
        <v>439619.61958734971</v>
      </c>
      <c r="E243" s="59">
        <f t="shared" si="52"/>
        <v>7541.6272953459866</v>
      </c>
      <c r="F243" s="96"/>
      <c r="G243" s="59">
        <f t="shared" si="49"/>
        <v>7541.6272953459866</v>
      </c>
      <c r="H243" s="59">
        <f t="shared" si="53"/>
        <v>5495.2452448418717</v>
      </c>
      <c r="I243" s="59">
        <f t="shared" si="50"/>
        <v>2046.3820505041149</v>
      </c>
      <c r="J243" s="59">
        <f t="shared" si="51"/>
        <v>437573.23753684561</v>
      </c>
    </row>
    <row r="244" spans="2:10" x14ac:dyDescent="0.3">
      <c r="B244" s="57">
        <f t="shared" si="56"/>
        <v>137</v>
      </c>
      <c r="C244" s="58">
        <f t="shared" si="54"/>
        <v>49130</v>
      </c>
      <c r="D244" s="59">
        <f t="shared" si="55"/>
        <v>437573.23753684561</v>
      </c>
      <c r="E244" s="59">
        <f t="shared" si="52"/>
        <v>7541.6272953459866</v>
      </c>
      <c r="F244" s="96"/>
      <c r="G244" s="59">
        <f t="shared" si="49"/>
        <v>7541.6272953459866</v>
      </c>
      <c r="H244" s="59">
        <f t="shared" si="53"/>
        <v>5469.6654692105703</v>
      </c>
      <c r="I244" s="59">
        <f t="shared" si="50"/>
        <v>2071.9618261354162</v>
      </c>
      <c r="J244" s="59">
        <f t="shared" si="51"/>
        <v>435501.27571071021</v>
      </c>
    </row>
    <row r="245" spans="2:10" x14ac:dyDescent="0.3">
      <c r="B245" s="57">
        <f t="shared" si="56"/>
        <v>138</v>
      </c>
      <c r="C245" s="58">
        <f t="shared" si="54"/>
        <v>49161</v>
      </c>
      <c r="D245" s="59">
        <f t="shared" si="55"/>
        <v>435501.27571071021</v>
      </c>
      <c r="E245" s="59">
        <f t="shared" si="52"/>
        <v>7541.6272953459866</v>
      </c>
      <c r="F245" s="96"/>
      <c r="G245" s="59">
        <f t="shared" si="49"/>
        <v>7541.6272953459866</v>
      </c>
      <c r="H245" s="59">
        <f t="shared" si="53"/>
        <v>5443.7659463838781</v>
      </c>
      <c r="I245" s="59">
        <f t="shared" si="50"/>
        <v>2097.8613489621084</v>
      </c>
      <c r="J245" s="59">
        <f t="shared" si="51"/>
        <v>433403.41436174809</v>
      </c>
    </row>
    <row r="246" spans="2:10" x14ac:dyDescent="0.3">
      <c r="B246" s="57">
        <f t="shared" si="56"/>
        <v>139</v>
      </c>
      <c r="C246" s="58">
        <f t="shared" si="54"/>
        <v>49192</v>
      </c>
      <c r="D246" s="59">
        <f t="shared" si="55"/>
        <v>433403.41436174809</v>
      </c>
      <c r="E246" s="59">
        <f t="shared" si="52"/>
        <v>7541.6272953459866</v>
      </c>
      <c r="F246" s="96"/>
      <c r="G246" s="59">
        <f t="shared" si="49"/>
        <v>7541.6272953459866</v>
      </c>
      <c r="H246" s="59">
        <f t="shared" si="53"/>
        <v>5417.5426795218518</v>
      </c>
      <c r="I246" s="59">
        <f t="shared" si="50"/>
        <v>2124.0846158241347</v>
      </c>
      <c r="J246" s="59">
        <f t="shared" si="51"/>
        <v>431279.32974592393</v>
      </c>
    </row>
    <row r="247" spans="2:10" x14ac:dyDescent="0.3">
      <c r="B247" s="57">
        <f t="shared" si="56"/>
        <v>140</v>
      </c>
      <c r="C247" s="58">
        <f t="shared" si="54"/>
        <v>49222</v>
      </c>
      <c r="D247" s="59">
        <f t="shared" si="55"/>
        <v>431279.32974592393</v>
      </c>
      <c r="E247" s="59">
        <f t="shared" si="52"/>
        <v>7541.6272953459866</v>
      </c>
      <c r="F247" s="96"/>
      <c r="G247" s="59">
        <f t="shared" si="49"/>
        <v>7541.6272953459866</v>
      </c>
      <c r="H247" s="59">
        <f t="shared" si="53"/>
        <v>5390.9916218240496</v>
      </c>
      <c r="I247" s="59">
        <f t="shared" si="50"/>
        <v>2150.635673521937</v>
      </c>
      <c r="J247" s="59">
        <f t="shared" si="51"/>
        <v>429128.69407240197</v>
      </c>
    </row>
    <row r="248" spans="2:10" x14ac:dyDescent="0.3">
      <c r="B248" s="57">
        <f t="shared" si="56"/>
        <v>141</v>
      </c>
      <c r="C248" s="58">
        <f t="shared" si="54"/>
        <v>49253</v>
      </c>
      <c r="D248" s="59">
        <f t="shared" si="55"/>
        <v>429128.69407240197</v>
      </c>
      <c r="E248" s="59">
        <f t="shared" si="52"/>
        <v>7541.6272953459866</v>
      </c>
      <c r="F248" s="96"/>
      <c r="G248" s="59">
        <f t="shared" si="49"/>
        <v>7541.6272953459866</v>
      </c>
      <c r="H248" s="59">
        <f t="shared" si="53"/>
        <v>5364.1086759050249</v>
      </c>
      <c r="I248" s="59">
        <f t="shared" si="50"/>
        <v>2177.5186194409616</v>
      </c>
      <c r="J248" s="59">
        <f t="shared" si="51"/>
        <v>426951.175452961</v>
      </c>
    </row>
    <row r="249" spans="2:10" x14ac:dyDescent="0.3">
      <c r="B249" s="57">
        <f t="shared" si="56"/>
        <v>142</v>
      </c>
      <c r="C249" s="58">
        <f t="shared" si="54"/>
        <v>49283</v>
      </c>
      <c r="D249" s="59">
        <f t="shared" si="55"/>
        <v>426951.175452961</v>
      </c>
      <c r="E249" s="59">
        <f t="shared" si="52"/>
        <v>7541.6272953459866</v>
      </c>
      <c r="F249" s="96"/>
      <c r="G249" s="59">
        <f t="shared" si="49"/>
        <v>7541.6272953459866</v>
      </c>
      <c r="H249" s="59">
        <f t="shared" si="53"/>
        <v>5336.8896931620129</v>
      </c>
      <c r="I249" s="59">
        <f t="shared" si="50"/>
        <v>2204.7376021839736</v>
      </c>
      <c r="J249" s="59">
        <f t="shared" si="51"/>
        <v>424746.43785077706</v>
      </c>
    </row>
    <row r="250" spans="2:10" x14ac:dyDescent="0.3">
      <c r="B250" s="57">
        <f t="shared" si="56"/>
        <v>143</v>
      </c>
      <c r="C250" s="58">
        <f t="shared" si="54"/>
        <v>49314</v>
      </c>
      <c r="D250" s="59">
        <f t="shared" si="55"/>
        <v>424746.43785077706</v>
      </c>
      <c r="E250" s="59">
        <f t="shared" si="52"/>
        <v>7541.6272953459866</v>
      </c>
      <c r="F250" s="96"/>
      <c r="G250" s="59">
        <f>SUM(E250:F250)</f>
        <v>7541.6272953459866</v>
      </c>
      <c r="H250" s="59">
        <f t="shared" si="53"/>
        <v>5309.3304731347134</v>
      </c>
      <c r="I250" s="59">
        <f t="shared" si="50"/>
        <v>2232.2968222112731</v>
      </c>
      <c r="J250" s="59">
        <f t="shared" si="51"/>
        <v>422514.14102856576</v>
      </c>
    </row>
    <row r="251" spans="2:10" x14ac:dyDescent="0.3">
      <c r="B251" s="57">
        <f t="shared" si="56"/>
        <v>144</v>
      </c>
      <c r="C251" s="58">
        <f t="shared" si="54"/>
        <v>49345</v>
      </c>
      <c r="D251" s="59">
        <f t="shared" si="55"/>
        <v>422514.14102856576</v>
      </c>
      <c r="E251" s="59">
        <f t="shared" si="52"/>
        <v>7541.6272953459866</v>
      </c>
      <c r="F251" s="96"/>
      <c r="G251" s="59">
        <f t="shared" si="49"/>
        <v>7541.6272953459866</v>
      </c>
      <c r="H251" s="59">
        <f t="shared" si="53"/>
        <v>5281.4267628570724</v>
      </c>
      <c r="I251" s="59">
        <f t="shared" si="50"/>
        <v>2260.2005324889142</v>
      </c>
      <c r="J251" s="59">
        <f t="shared" si="51"/>
        <v>420253.94049607683</v>
      </c>
    </row>
    <row r="252" spans="2:10" x14ac:dyDescent="0.3">
      <c r="B252" s="57">
        <f t="shared" si="56"/>
        <v>145</v>
      </c>
      <c r="C252" s="58">
        <f t="shared" si="54"/>
        <v>49373</v>
      </c>
      <c r="D252" s="59">
        <f t="shared" si="55"/>
        <v>420253.94049607683</v>
      </c>
      <c r="E252" s="59">
        <f t="shared" si="52"/>
        <v>7541.6272953459866</v>
      </c>
      <c r="F252" s="96"/>
      <c r="G252" s="59">
        <f t="shared" si="49"/>
        <v>7541.6272953459866</v>
      </c>
      <c r="H252" s="59">
        <f t="shared" si="53"/>
        <v>5253.1742562009604</v>
      </c>
      <c r="I252" s="59">
        <f t="shared" si="50"/>
        <v>2288.4530391450262</v>
      </c>
      <c r="J252" s="59">
        <f t="shared" si="51"/>
        <v>417965.48745693179</v>
      </c>
    </row>
    <row r="253" spans="2:10" x14ac:dyDescent="0.3">
      <c r="B253" s="57">
        <f t="shared" si="56"/>
        <v>146</v>
      </c>
      <c r="C253" s="58">
        <f t="shared" si="54"/>
        <v>49404</v>
      </c>
      <c r="D253" s="59">
        <f t="shared" si="55"/>
        <v>417965.48745693179</v>
      </c>
      <c r="E253" s="59">
        <f t="shared" si="52"/>
        <v>7541.6272953459866</v>
      </c>
      <c r="F253" s="96"/>
      <c r="G253" s="59">
        <f t="shared" si="49"/>
        <v>7541.6272953459866</v>
      </c>
      <c r="H253" s="59">
        <f t="shared" si="53"/>
        <v>5224.5685932116476</v>
      </c>
      <c r="I253" s="59">
        <f t="shared" si="50"/>
        <v>2317.058702134339</v>
      </c>
      <c r="J253" s="59">
        <f t="shared" si="51"/>
        <v>415648.42875479744</v>
      </c>
    </row>
    <row r="254" spans="2:10" x14ac:dyDescent="0.3">
      <c r="B254" s="57">
        <f t="shared" si="56"/>
        <v>147</v>
      </c>
      <c r="C254" s="58">
        <f t="shared" si="54"/>
        <v>49434</v>
      </c>
      <c r="D254" s="59">
        <f t="shared" si="55"/>
        <v>415648.42875479744</v>
      </c>
      <c r="E254" s="59">
        <f t="shared" si="52"/>
        <v>7541.6272953459866</v>
      </c>
      <c r="F254" s="96"/>
      <c r="G254" s="59">
        <f t="shared" si="49"/>
        <v>7541.6272953459866</v>
      </c>
      <c r="H254" s="59">
        <f t="shared" si="53"/>
        <v>5195.6053594349687</v>
      </c>
      <c r="I254" s="59">
        <f t="shared" si="50"/>
        <v>2346.0219359110179</v>
      </c>
      <c r="J254" s="59">
        <f t="shared" si="51"/>
        <v>413302.4068188864</v>
      </c>
    </row>
    <row r="255" spans="2:10" x14ac:dyDescent="0.3">
      <c r="B255" s="57">
        <f t="shared" si="56"/>
        <v>148</v>
      </c>
      <c r="C255" s="58">
        <f t="shared" si="54"/>
        <v>49465</v>
      </c>
      <c r="D255" s="59">
        <f t="shared" si="55"/>
        <v>413302.4068188864</v>
      </c>
      <c r="E255" s="59">
        <f t="shared" si="52"/>
        <v>7541.6272953459866</v>
      </c>
      <c r="F255" s="96"/>
      <c r="G255" s="59">
        <f t="shared" si="49"/>
        <v>7541.6272953459866</v>
      </c>
      <c r="H255" s="59">
        <f t="shared" si="53"/>
        <v>5166.2800852360806</v>
      </c>
      <c r="I255" s="59">
        <f t="shared" si="50"/>
        <v>2375.347210109906</v>
      </c>
      <c r="J255" s="59">
        <f t="shared" si="51"/>
        <v>410927.05960877647</v>
      </c>
    </row>
    <row r="256" spans="2:10" x14ac:dyDescent="0.3">
      <c r="B256" s="57">
        <f t="shared" si="56"/>
        <v>149</v>
      </c>
      <c r="C256" s="58">
        <f t="shared" si="54"/>
        <v>49495</v>
      </c>
      <c r="D256" s="59">
        <f t="shared" si="55"/>
        <v>410927.05960877647</v>
      </c>
      <c r="E256" s="59">
        <f t="shared" si="52"/>
        <v>7541.6272953459866</v>
      </c>
      <c r="F256" s="96"/>
      <c r="G256" s="59">
        <f t="shared" si="49"/>
        <v>7541.6272953459866</v>
      </c>
      <c r="H256" s="59">
        <f t="shared" si="53"/>
        <v>5136.5882451097059</v>
      </c>
      <c r="I256" s="59">
        <f t="shared" si="50"/>
        <v>2405.0390502362807</v>
      </c>
      <c r="J256" s="59">
        <f t="shared" si="51"/>
        <v>408522.02055854019</v>
      </c>
    </row>
    <row r="257" spans="2:18" x14ac:dyDescent="0.3">
      <c r="B257" s="57">
        <f t="shared" si="56"/>
        <v>150</v>
      </c>
      <c r="C257" s="58">
        <f t="shared" si="54"/>
        <v>49526</v>
      </c>
      <c r="D257" s="59">
        <f t="shared" si="55"/>
        <v>408522.02055854019</v>
      </c>
      <c r="E257" s="59">
        <f t="shared" si="52"/>
        <v>7541.6272953459866</v>
      </c>
      <c r="F257" s="96"/>
      <c r="G257" s="59">
        <f t="shared" si="49"/>
        <v>7541.6272953459866</v>
      </c>
      <c r="H257" s="59">
        <f t="shared" si="53"/>
        <v>5106.525256981753</v>
      </c>
      <c r="I257" s="59">
        <f t="shared" si="50"/>
        <v>2435.1020383642335</v>
      </c>
      <c r="J257" s="59">
        <f t="shared" si="51"/>
        <v>406086.91852017597</v>
      </c>
    </row>
    <row r="258" spans="2:18" x14ac:dyDescent="0.3">
      <c r="B258" s="57">
        <f t="shared" si="56"/>
        <v>151</v>
      </c>
      <c r="C258" s="58">
        <f t="shared" si="54"/>
        <v>49557</v>
      </c>
      <c r="D258" s="59">
        <f t="shared" si="55"/>
        <v>406086.91852017597</v>
      </c>
      <c r="E258" s="59">
        <f t="shared" si="52"/>
        <v>7541.6272953459866</v>
      </c>
      <c r="F258" s="96"/>
      <c r="G258" s="59">
        <f t="shared" si="49"/>
        <v>7541.6272953459866</v>
      </c>
      <c r="H258" s="59">
        <f t="shared" si="53"/>
        <v>5076.0864815021996</v>
      </c>
      <c r="I258" s="59">
        <f t="shared" si="50"/>
        <v>2465.540813843787</v>
      </c>
      <c r="J258" s="59">
        <f t="shared" si="51"/>
        <v>403621.37770633219</v>
      </c>
    </row>
    <row r="259" spans="2:18" x14ac:dyDescent="0.3">
      <c r="B259" s="57">
        <f t="shared" si="56"/>
        <v>152</v>
      </c>
      <c r="C259" s="58">
        <f t="shared" si="54"/>
        <v>49587</v>
      </c>
      <c r="D259" s="59">
        <f t="shared" si="55"/>
        <v>403621.37770633219</v>
      </c>
      <c r="E259" s="59">
        <f t="shared" ref="E259:E322" si="57">IF(D259&gt;0,(-PMT($D$223,$D$220,$D$219)))</f>
        <v>7541.6272953459866</v>
      </c>
      <c r="F259" s="96"/>
      <c r="G259" s="59">
        <f t="shared" si="49"/>
        <v>7541.6272953459866</v>
      </c>
      <c r="H259" s="59">
        <f t="shared" si="53"/>
        <v>5045.2672213291526</v>
      </c>
      <c r="I259" s="59">
        <f t="shared" si="50"/>
        <v>2496.360074016834</v>
      </c>
      <c r="J259" s="59">
        <f t="shared" si="51"/>
        <v>401125.01763231534</v>
      </c>
    </row>
    <row r="260" spans="2:18" x14ac:dyDescent="0.3">
      <c r="B260" s="57">
        <f t="shared" si="56"/>
        <v>153</v>
      </c>
      <c r="C260" s="58">
        <f t="shared" si="54"/>
        <v>49618</v>
      </c>
      <c r="D260" s="59">
        <f t="shared" si="55"/>
        <v>401125.01763231534</v>
      </c>
      <c r="E260" s="59">
        <f t="shared" si="57"/>
        <v>7541.6272953459866</v>
      </c>
      <c r="F260" s="96"/>
      <c r="G260" s="59">
        <f t="shared" si="49"/>
        <v>7541.6272953459866</v>
      </c>
      <c r="H260" s="59">
        <f t="shared" ref="H260:H291" si="58">IF(B260&gt;=121,(D260*$D$223),0)</f>
        <v>5014.062720403942</v>
      </c>
      <c r="I260" s="59">
        <f t="shared" si="50"/>
        <v>2527.5645749420446</v>
      </c>
      <c r="J260" s="59">
        <f t="shared" si="51"/>
        <v>398597.45305737329</v>
      </c>
    </row>
    <row r="261" spans="2:18" x14ac:dyDescent="0.3">
      <c r="B261" s="57">
        <f t="shared" si="56"/>
        <v>154</v>
      </c>
      <c r="C261" s="58">
        <f t="shared" si="54"/>
        <v>49648</v>
      </c>
      <c r="D261" s="59">
        <f t="shared" si="55"/>
        <v>398597.45305737329</v>
      </c>
      <c r="E261" s="59">
        <f t="shared" si="57"/>
        <v>7541.6272953459866</v>
      </c>
      <c r="F261" s="96"/>
      <c r="G261" s="59">
        <f t="shared" si="49"/>
        <v>7541.6272953459866</v>
      </c>
      <c r="H261" s="59">
        <f t="shared" si="58"/>
        <v>4982.4681632171669</v>
      </c>
      <c r="I261" s="59">
        <f t="shared" si="50"/>
        <v>2559.1591321288197</v>
      </c>
      <c r="J261" s="59">
        <f t="shared" si="51"/>
        <v>396038.29392524448</v>
      </c>
    </row>
    <row r="262" spans="2:18" x14ac:dyDescent="0.3">
      <c r="B262" s="57">
        <f t="shared" si="56"/>
        <v>155</v>
      </c>
      <c r="C262" s="58">
        <f t="shared" si="54"/>
        <v>49679</v>
      </c>
      <c r="D262" s="59">
        <f t="shared" si="55"/>
        <v>396038.29392524448</v>
      </c>
      <c r="E262" s="59">
        <f t="shared" si="57"/>
        <v>7541.6272953459866</v>
      </c>
      <c r="F262" s="96"/>
      <c r="G262" s="59">
        <f t="shared" si="49"/>
        <v>7541.6272953459866</v>
      </c>
      <c r="H262" s="59">
        <f t="shared" si="58"/>
        <v>4950.4786740655563</v>
      </c>
      <c r="I262" s="59">
        <f t="shared" si="50"/>
        <v>2591.1486212804302</v>
      </c>
      <c r="J262" s="59">
        <f t="shared" si="51"/>
        <v>393447.14530396403</v>
      </c>
      <c r="R262" s="31"/>
    </row>
    <row r="263" spans="2:18" x14ac:dyDescent="0.3">
      <c r="B263" s="57">
        <f t="shared" si="56"/>
        <v>156</v>
      </c>
      <c r="C263" s="58">
        <f t="shared" si="54"/>
        <v>49710</v>
      </c>
      <c r="D263" s="59">
        <f t="shared" si="55"/>
        <v>393447.14530396403</v>
      </c>
      <c r="E263" s="59">
        <f t="shared" si="57"/>
        <v>7541.6272953459866</v>
      </c>
      <c r="F263" s="96"/>
      <c r="G263" s="59">
        <f t="shared" si="49"/>
        <v>7541.6272953459866</v>
      </c>
      <c r="H263" s="59">
        <f t="shared" si="58"/>
        <v>4918.0893162995508</v>
      </c>
      <c r="I263" s="59">
        <f t="shared" si="50"/>
        <v>2623.5379790464358</v>
      </c>
      <c r="J263" s="59">
        <f t="shared" si="51"/>
        <v>390823.60732491757</v>
      </c>
      <c r="R263" s="31"/>
    </row>
    <row r="264" spans="2:18" x14ac:dyDescent="0.3">
      <c r="B264" s="57">
        <f t="shared" si="56"/>
        <v>157</v>
      </c>
      <c r="C264" s="58">
        <f t="shared" si="54"/>
        <v>49739</v>
      </c>
      <c r="D264" s="59">
        <f t="shared" si="55"/>
        <v>390823.60732491757</v>
      </c>
      <c r="E264" s="59">
        <f t="shared" si="57"/>
        <v>7541.6272953459866</v>
      </c>
      <c r="F264" s="96"/>
      <c r="G264" s="59">
        <f t="shared" si="49"/>
        <v>7541.6272953459866</v>
      </c>
      <c r="H264" s="59">
        <f t="shared" si="58"/>
        <v>4885.2950915614701</v>
      </c>
      <c r="I264" s="59">
        <f t="shared" si="50"/>
        <v>2656.3322037845164</v>
      </c>
      <c r="J264" s="59">
        <f t="shared" si="51"/>
        <v>388167.27512113308</v>
      </c>
      <c r="R264" s="31"/>
    </row>
    <row r="265" spans="2:18" x14ac:dyDescent="0.3">
      <c r="B265" s="57">
        <f t="shared" si="56"/>
        <v>158</v>
      </c>
      <c r="C265" s="58">
        <f t="shared" si="54"/>
        <v>49770</v>
      </c>
      <c r="D265" s="59">
        <f t="shared" si="55"/>
        <v>388167.27512113308</v>
      </c>
      <c r="E265" s="59">
        <f t="shared" si="57"/>
        <v>7541.6272953459866</v>
      </c>
      <c r="F265" s="96"/>
      <c r="G265" s="59">
        <f t="shared" si="49"/>
        <v>7541.6272953459866</v>
      </c>
      <c r="H265" s="59">
        <f t="shared" si="58"/>
        <v>4852.0909390141633</v>
      </c>
      <c r="I265" s="59">
        <f t="shared" si="50"/>
        <v>2689.5363563318233</v>
      </c>
      <c r="J265" s="59">
        <f t="shared" si="51"/>
        <v>385477.73876480124</v>
      </c>
      <c r="R265" s="31"/>
    </row>
    <row r="266" spans="2:18" x14ac:dyDescent="0.3">
      <c r="B266" s="57">
        <f t="shared" si="56"/>
        <v>159</v>
      </c>
      <c r="C266" s="58">
        <f t="shared" si="54"/>
        <v>49800</v>
      </c>
      <c r="D266" s="59">
        <f t="shared" si="55"/>
        <v>385477.73876480124</v>
      </c>
      <c r="E266" s="59">
        <f t="shared" si="57"/>
        <v>7541.6272953459866</v>
      </c>
      <c r="F266" s="96"/>
      <c r="G266" s="59">
        <f t="shared" si="49"/>
        <v>7541.6272953459866</v>
      </c>
      <c r="H266" s="59">
        <f t="shared" si="58"/>
        <v>4818.4717345600156</v>
      </c>
      <c r="I266" s="59">
        <f t="shared" si="50"/>
        <v>2723.1555607859709</v>
      </c>
      <c r="J266" s="59">
        <f t="shared" si="51"/>
        <v>382754.58320401527</v>
      </c>
      <c r="R266" s="31"/>
    </row>
    <row r="267" spans="2:18" x14ac:dyDescent="0.3">
      <c r="B267" s="57">
        <f t="shared" si="56"/>
        <v>160</v>
      </c>
      <c r="C267" s="58">
        <f t="shared" si="54"/>
        <v>49831</v>
      </c>
      <c r="D267" s="59">
        <f t="shared" si="55"/>
        <v>382754.58320401527</v>
      </c>
      <c r="E267" s="59">
        <f t="shared" si="57"/>
        <v>7541.6272953459866</v>
      </c>
      <c r="F267" s="96"/>
      <c r="G267" s="59">
        <f t="shared" si="49"/>
        <v>7541.6272953459866</v>
      </c>
      <c r="H267" s="59">
        <f t="shared" si="58"/>
        <v>4784.4322900501911</v>
      </c>
      <c r="I267" s="59">
        <f t="shared" si="50"/>
        <v>2757.1950052957955</v>
      </c>
      <c r="J267" s="59">
        <f t="shared" si="51"/>
        <v>379997.38819871948</v>
      </c>
      <c r="R267" s="31"/>
    </row>
    <row r="268" spans="2:18" x14ac:dyDescent="0.3">
      <c r="B268" s="57">
        <f t="shared" si="56"/>
        <v>161</v>
      </c>
      <c r="C268" s="58">
        <f t="shared" si="54"/>
        <v>49861</v>
      </c>
      <c r="D268" s="59">
        <f t="shared" si="55"/>
        <v>379997.38819871948</v>
      </c>
      <c r="E268" s="59">
        <f t="shared" si="57"/>
        <v>7541.6272953459866</v>
      </c>
      <c r="F268" s="96"/>
      <c r="G268" s="59">
        <f t="shared" si="49"/>
        <v>7541.6272953459866</v>
      </c>
      <c r="H268" s="59">
        <f t="shared" si="58"/>
        <v>4749.9673524839936</v>
      </c>
      <c r="I268" s="59">
        <f t="shared" si="50"/>
        <v>2791.6599428619929</v>
      </c>
      <c r="J268" s="59">
        <f t="shared" si="51"/>
        <v>377205.72825585748</v>
      </c>
      <c r="R268" s="31"/>
    </row>
    <row r="269" spans="2:18" x14ac:dyDescent="0.3">
      <c r="B269" s="57">
        <f t="shared" si="56"/>
        <v>162</v>
      </c>
      <c r="C269" s="58">
        <f t="shared" si="54"/>
        <v>49892</v>
      </c>
      <c r="D269" s="59">
        <f t="shared" si="55"/>
        <v>377205.72825585748</v>
      </c>
      <c r="E269" s="59">
        <f t="shared" si="57"/>
        <v>7541.6272953459866</v>
      </c>
      <c r="F269" s="96"/>
      <c r="G269" s="59">
        <f t="shared" si="49"/>
        <v>7541.6272953459866</v>
      </c>
      <c r="H269" s="59">
        <f t="shared" si="58"/>
        <v>4715.0716031982183</v>
      </c>
      <c r="I269" s="59">
        <f t="shared" si="50"/>
        <v>2826.5556921477682</v>
      </c>
      <c r="J269" s="59">
        <f t="shared" si="51"/>
        <v>374379.17256370973</v>
      </c>
      <c r="R269" s="31"/>
    </row>
    <row r="270" spans="2:18" x14ac:dyDescent="0.3">
      <c r="B270" s="57">
        <f t="shared" si="56"/>
        <v>163</v>
      </c>
      <c r="C270" s="58">
        <f t="shared" si="54"/>
        <v>49923</v>
      </c>
      <c r="D270" s="59">
        <f t="shared" si="55"/>
        <v>374379.17256370973</v>
      </c>
      <c r="E270" s="59">
        <f t="shared" si="57"/>
        <v>7541.6272953459866</v>
      </c>
      <c r="F270" s="96"/>
      <c r="G270" s="59">
        <f t="shared" si="49"/>
        <v>7541.6272953459866</v>
      </c>
      <c r="H270" s="59">
        <f t="shared" si="58"/>
        <v>4679.7396570463716</v>
      </c>
      <c r="I270" s="59">
        <f t="shared" si="50"/>
        <v>2861.887638299615</v>
      </c>
      <c r="J270" s="59">
        <f t="shared" si="51"/>
        <v>371517.28492541012</v>
      </c>
      <c r="R270" s="31"/>
    </row>
    <row r="271" spans="2:18" x14ac:dyDescent="0.3">
      <c r="B271" s="57">
        <f t="shared" si="56"/>
        <v>164</v>
      </c>
      <c r="C271" s="58">
        <f t="shared" si="54"/>
        <v>49953</v>
      </c>
      <c r="D271" s="59">
        <f t="shared" si="55"/>
        <v>371517.28492541012</v>
      </c>
      <c r="E271" s="59">
        <f t="shared" si="57"/>
        <v>7541.6272953459866</v>
      </c>
      <c r="F271" s="96"/>
      <c r="G271" s="59">
        <f t="shared" si="49"/>
        <v>7541.6272953459866</v>
      </c>
      <c r="H271" s="59">
        <f t="shared" si="58"/>
        <v>4643.9660615676266</v>
      </c>
      <c r="I271" s="59">
        <f t="shared" si="50"/>
        <v>2897.6612337783599</v>
      </c>
      <c r="J271" s="59">
        <f t="shared" si="51"/>
        <v>368619.62369163177</v>
      </c>
      <c r="R271" s="31"/>
    </row>
    <row r="272" spans="2:18" x14ac:dyDescent="0.3">
      <c r="B272" s="57">
        <f t="shared" si="56"/>
        <v>165</v>
      </c>
      <c r="C272" s="58">
        <f t="shared" si="54"/>
        <v>49984</v>
      </c>
      <c r="D272" s="59">
        <f t="shared" si="55"/>
        <v>368619.62369163177</v>
      </c>
      <c r="E272" s="59">
        <f t="shared" si="57"/>
        <v>7541.6272953459866</v>
      </c>
      <c r="F272" s="96"/>
      <c r="G272" s="59">
        <f t="shared" si="49"/>
        <v>7541.6272953459866</v>
      </c>
      <c r="H272" s="59">
        <f t="shared" si="58"/>
        <v>4607.7452961453973</v>
      </c>
      <c r="I272" s="59">
        <f t="shared" si="50"/>
        <v>2933.8819992005892</v>
      </c>
      <c r="J272" s="59">
        <f t="shared" si="51"/>
        <v>365685.74169243115</v>
      </c>
      <c r="R272" s="31"/>
    </row>
    <row r="273" spans="2:18" x14ac:dyDescent="0.3">
      <c r="B273" s="57">
        <f t="shared" si="56"/>
        <v>166</v>
      </c>
      <c r="C273" s="58">
        <f t="shared" si="54"/>
        <v>50014</v>
      </c>
      <c r="D273" s="59">
        <f t="shared" si="55"/>
        <v>365685.74169243115</v>
      </c>
      <c r="E273" s="59">
        <f t="shared" si="57"/>
        <v>7541.6272953459866</v>
      </c>
      <c r="F273" s="96"/>
      <c r="G273" s="59">
        <f t="shared" si="49"/>
        <v>7541.6272953459866</v>
      </c>
      <c r="H273" s="59">
        <f t="shared" si="58"/>
        <v>4571.0717711553898</v>
      </c>
      <c r="I273" s="59">
        <f t="shared" si="50"/>
        <v>2970.5555241905968</v>
      </c>
      <c r="J273" s="59">
        <f t="shared" si="51"/>
        <v>362715.18616824056</v>
      </c>
      <c r="R273" s="31"/>
    </row>
    <row r="274" spans="2:18" x14ac:dyDescent="0.3">
      <c r="B274" s="57">
        <f t="shared" si="56"/>
        <v>167</v>
      </c>
      <c r="C274" s="58">
        <f t="shared" si="54"/>
        <v>50045</v>
      </c>
      <c r="D274" s="59">
        <f t="shared" si="55"/>
        <v>362715.18616824056</v>
      </c>
      <c r="E274" s="59">
        <f t="shared" si="57"/>
        <v>7541.6272953459866</v>
      </c>
      <c r="F274" s="96"/>
      <c r="G274" s="59">
        <f t="shared" si="49"/>
        <v>7541.6272953459866</v>
      </c>
      <c r="H274" s="59">
        <f t="shared" si="58"/>
        <v>4533.9398271030068</v>
      </c>
      <c r="I274" s="59">
        <f t="shared" si="50"/>
        <v>3007.6874682429798</v>
      </c>
      <c r="J274" s="59">
        <f t="shared" si="51"/>
        <v>359707.49869999755</v>
      </c>
      <c r="R274" s="31"/>
    </row>
    <row r="275" spans="2:18" x14ac:dyDescent="0.3">
      <c r="B275" s="57">
        <f t="shared" si="56"/>
        <v>168</v>
      </c>
      <c r="C275" s="58">
        <f t="shared" si="54"/>
        <v>50076</v>
      </c>
      <c r="D275" s="59">
        <f t="shared" si="55"/>
        <v>359707.49869999755</v>
      </c>
      <c r="E275" s="59">
        <f t="shared" si="57"/>
        <v>7541.6272953459866</v>
      </c>
      <c r="F275" s="96"/>
      <c r="G275" s="59">
        <f t="shared" si="49"/>
        <v>7541.6272953459866</v>
      </c>
      <c r="H275" s="59">
        <f t="shared" si="58"/>
        <v>4496.3437337499699</v>
      </c>
      <c r="I275" s="59">
        <f t="shared" si="50"/>
        <v>3045.2835615960166</v>
      </c>
      <c r="J275" s="59">
        <f t="shared" si="51"/>
        <v>356662.21513840155</v>
      </c>
      <c r="R275" s="31"/>
    </row>
    <row r="276" spans="2:18" x14ac:dyDescent="0.3">
      <c r="B276" s="57">
        <f t="shared" si="56"/>
        <v>169</v>
      </c>
      <c r="C276" s="58">
        <f t="shared" si="54"/>
        <v>50104</v>
      </c>
      <c r="D276" s="59">
        <f t="shared" si="55"/>
        <v>356662.21513840155</v>
      </c>
      <c r="E276" s="59">
        <f t="shared" si="57"/>
        <v>7541.6272953459866</v>
      </c>
      <c r="F276" s="96"/>
      <c r="G276" s="59">
        <f t="shared" si="49"/>
        <v>7541.6272953459866</v>
      </c>
      <c r="H276" s="59">
        <f t="shared" si="58"/>
        <v>4458.2776892300199</v>
      </c>
      <c r="I276" s="59">
        <f t="shared" si="50"/>
        <v>3083.3496061159667</v>
      </c>
      <c r="J276" s="59">
        <f t="shared" si="51"/>
        <v>353578.86553228559</v>
      </c>
      <c r="R276" s="31"/>
    </row>
    <row r="277" spans="2:18" x14ac:dyDescent="0.3">
      <c r="B277" s="57">
        <f t="shared" si="56"/>
        <v>170</v>
      </c>
      <c r="C277" s="58">
        <f t="shared" si="54"/>
        <v>50135</v>
      </c>
      <c r="D277" s="59">
        <f t="shared" si="55"/>
        <v>353578.86553228559</v>
      </c>
      <c r="E277" s="59">
        <f t="shared" si="57"/>
        <v>7541.6272953459866</v>
      </c>
      <c r="F277" s="96"/>
      <c r="G277" s="59">
        <f t="shared" si="49"/>
        <v>7541.6272953459866</v>
      </c>
      <c r="H277" s="59">
        <f t="shared" si="58"/>
        <v>4419.7358191535704</v>
      </c>
      <c r="I277" s="59">
        <f t="shared" si="50"/>
        <v>3121.8914761924161</v>
      </c>
      <c r="J277" s="59">
        <f t="shared" si="51"/>
        <v>350456.9740560932</v>
      </c>
      <c r="R277" s="31"/>
    </row>
    <row r="278" spans="2:18" x14ac:dyDescent="0.3">
      <c r="B278" s="57">
        <f t="shared" si="56"/>
        <v>171</v>
      </c>
      <c r="C278" s="58">
        <f t="shared" si="54"/>
        <v>50165</v>
      </c>
      <c r="D278" s="59">
        <f t="shared" si="55"/>
        <v>350456.9740560932</v>
      </c>
      <c r="E278" s="59">
        <f t="shared" si="57"/>
        <v>7541.6272953459866</v>
      </c>
      <c r="F278" s="96"/>
      <c r="G278" s="59">
        <f t="shared" si="49"/>
        <v>7541.6272953459866</v>
      </c>
      <c r="H278" s="59">
        <f t="shared" si="58"/>
        <v>4380.7121757011655</v>
      </c>
      <c r="I278" s="59">
        <f t="shared" si="50"/>
        <v>3160.9151196448211</v>
      </c>
      <c r="J278" s="59">
        <f t="shared" si="51"/>
        <v>347296.05893644836</v>
      </c>
      <c r="R278" s="31"/>
    </row>
    <row r="279" spans="2:18" x14ac:dyDescent="0.3">
      <c r="B279" s="57">
        <f t="shared" si="56"/>
        <v>172</v>
      </c>
      <c r="C279" s="58">
        <f t="shared" si="54"/>
        <v>50196</v>
      </c>
      <c r="D279" s="59">
        <f t="shared" si="55"/>
        <v>347296.05893644836</v>
      </c>
      <c r="E279" s="59">
        <f t="shared" si="57"/>
        <v>7541.6272953459866</v>
      </c>
      <c r="F279" s="96"/>
      <c r="G279" s="59">
        <f t="shared" si="49"/>
        <v>7541.6272953459866</v>
      </c>
      <c r="H279" s="59">
        <f t="shared" si="58"/>
        <v>4341.2007367056049</v>
      </c>
      <c r="I279" s="59">
        <f t="shared" si="50"/>
        <v>3200.4265586403817</v>
      </c>
      <c r="J279" s="59">
        <f t="shared" si="51"/>
        <v>344095.63237780798</v>
      </c>
      <c r="R279" s="31"/>
    </row>
    <row r="280" spans="2:18" x14ac:dyDescent="0.3">
      <c r="B280" s="57">
        <f t="shared" si="56"/>
        <v>173</v>
      </c>
      <c r="C280" s="58">
        <f t="shared" si="54"/>
        <v>50226</v>
      </c>
      <c r="D280" s="59">
        <f t="shared" si="55"/>
        <v>344095.63237780798</v>
      </c>
      <c r="E280" s="59">
        <f t="shared" si="57"/>
        <v>7541.6272953459866</v>
      </c>
      <c r="F280" s="96"/>
      <c r="G280" s="59">
        <f t="shared" si="49"/>
        <v>7541.6272953459866</v>
      </c>
      <c r="H280" s="59">
        <f t="shared" si="58"/>
        <v>4301.1954047226</v>
      </c>
      <c r="I280" s="59">
        <f t="shared" si="50"/>
        <v>3240.4318906233866</v>
      </c>
      <c r="J280" s="59">
        <f t="shared" si="51"/>
        <v>340855.20048718457</v>
      </c>
      <c r="R280" s="31"/>
    </row>
    <row r="281" spans="2:18" x14ac:dyDescent="0.3">
      <c r="B281" s="57">
        <f t="shared" si="56"/>
        <v>174</v>
      </c>
      <c r="C281" s="58">
        <f t="shared" si="54"/>
        <v>50257</v>
      </c>
      <c r="D281" s="59">
        <f t="shared" si="55"/>
        <v>340855.20048718457</v>
      </c>
      <c r="E281" s="59">
        <f t="shared" si="57"/>
        <v>7541.6272953459866</v>
      </c>
      <c r="F281" s="96"/>
      <c r="G281" s="59">
        <f t="shared" si="49"/>
        <v>7541.6272953459866</v>
      </c>
      <c r="H281" s="59">
        <f t="shared" si="58"/>
        <v>4260.690006089807</v>
      </c>
      <c r="I281" s="59">
        <f t="shared" si="50"/>
        <v>3280.9372892561796</v>
      </c>
      <c r="J281" s="59">
        <f t="shared" si="51"/>
        <v>337574.26319792838</v>
      </c>
      <c r="R281" s="31"/>
    </row>
    <row r="282" spans="2:18" x14ac:dyDescent="0.3">
      <c r="B282" s="57">
        <f t="shared" si="56"/>
        <v>175</v>
      </c>
      <c r="C282" s="58">
        <f t="shared" si="54"/>
        <v>50288</v>
      </c>
      <c r="D282" s="59">
        <f t="shared" si="55"/>
        <v>337574.26319792838</v>
      </c>
      <c r="E282" s="59">
        <f t="shared" si="57"/>
        <v>7541.6272953459866</v>
      </c>
      <c r="F282" s="96"/>
      <c r="G282" s="59">
        <f t="shared" si="49"/>
        <v>7541.6272953459866</v>
      </c>
      <c r="H282" s="59">
        <f t="shared" si="58"/>
        <v>4219.6782899741047</v>
      </c>
      <c r="I282" s="59">
        <f t="shared" si="50"/>
        <v>3321.9490053718819</v>
      </c>
      <c r="J282" s="59">
        <f t="shared" si="51"/>
        <v>334252.31419255649</v>
      </c>
      <c r="R282" s="31"/>
    </row>
    <row r="283" spans="2:18" x14ac:dyDescent="0.3">
      <c r="B283" s="57">
        <f t="shared" si="56"/>
        <v>176</v>
      </c>
      <c r="C283" s="58">
        <f t="shared" si="54"/>
        <v>50318</v>
      </c>
      <c r="D283" s="59">
        <f t="shared" si="55"/>
        <v>334252.31419255649</v>
      </c>
      <c r="E283" s="59">
        <f t="shared" si="57"/>
        <v>7541.6272953459866</v>
      </c>
      <c r="F283" s="96"/>
      <c r="G283" s="59">
        <f t="shared" si="49"/>
        <v>7541.6272953459866</v>
      </c>
      <c r="H283" s="59">
        <f t="shared" si="58"/>
        <v>4178.1539274069564</v>
      </c>
      <c r="I283" s="59">
        <f t="shared" si="50"/>
        <v>3363.4733679390301</v>
      </c>
      <c r="J283" s="59">
        <f t="shared" si="51"/>
        <v>330888.84082461748</v>
      </c>
      <c r="R283" s="31"/>
    </row>
    <row r="284" spans="2:18" x14ac:dyDescent="0.3">
      <c r="B284" s="57">
        <f t="shared" si="56"/>
        <v>177</v>
      </c>
      <c r="C284" s="58">
        <f t="shared" si="54"/>
        <v>50349</v>
      </c>
      <c r="D284" s="59">
        <f t="shared" si="55"/>
        <v>330888.84082461748</v>
      </c>
      <c r="E284" s="59">
        <f t="shared" si="57"/>
        <v>7541.6272953459866</v>
      </c>
      <c r="F284" s="96"/>
      <c r="G284" s="59">
        <f t="shared" si="49"/>
        <v>7541.6272953459866</v>
      </c>
      <c r="H284" s="59">
        <f t="shared" si="58"/>
        <v>4136.1105103077189</v>
      </c>
      <c r="I284" s="59">
        <f t="shared" si="50"/>
        <v>3405.5167850382677</v>
      </c>
      <c r="J284" s="59">
        <f t="shared" si="51"/>
        <v>327483.32403957919</v>
      </c>
      <c r="R284" s="31"/>
    </row>
    <row r="285" spans="2:18" x14ac:dyDescent="0.3">
      <c r="B285" s="57">
        <f t="shared" si="56"/>
        <v>178</v>
      </c>
      <c r="C285" s="58">
        <f t="shared" si="54"/>
        <v>50379</v>
      </c>
      <c r="D285" s="59">
        <f t="shared" si="55"/>
        <v>327483.32403957919</v>
      </c>
      <c r="E285" s="59">
        <f t="shared" si="57"/>
        <v>7541.6272953459866</v>
      </c>
      <c r="F285" s="96"/>
      <c r="G285" s="59">
        <f t="shared" si="49"/>
        <v>7541.6272953459866</v>
      </c>
      <c r="H285" s="59">
        <f t="shared" si="58"/>
        <v>4093.54155049474</v>
      </c>
      <c r="I285" s="59">
        <f t="shared" si="50"/>
        <v>3448.0857448512465</v>
      </c>
      <c r="J285" s="59">
        <f t="shared" si="51"/>
        <v>324035.23829472793</v>
      </c>
      <c r="R285" s="31"/>
    </row>
    <row r="286" spans="2:18" x14ac:dyDescent="0.3">
      <c r="B286" s="57">
        <f t="shared" si="56"/>
        <v>179</v>
      </c>
      <c r="C286" s="58">
        <f t="shared" si="54"/>
        <v>50410</v>
      </c>
      <c r="D286" s="59">
        <f t="shared" si="55"/>
        <v>324035.23829472793</v>
      </c>
      <c r="E286" s="59">
        <f t="shared" si="57"/>
        <v>7541.6272953459866</v>
      </c>
      <c r="F286" s="96"/>
      <c r="G286" s="59">
        <f t="shared" si="49"/>
        <v>7541.6272953459866</v>
      </c>
      <c r="H286" s="59">
        <f t="shared" si="58"/>
        <v>4050.4404786840992</v>
      </c>
      <c r="I286" s="59">
        <f t="shared" si="50"/>
        <v>3491.1868166618874</v>
      </c>
      <c r="J286" s="59">
        <f t="shared" si="51"/>
        <v>320544.05147806602</v>
      </c>
      <c r="R286" s="31"/>
    </row>
    <row r="287" spans="2:18" x14ac:dyDescent="0.3">
      <c r="B287" s="57">
        <f t="shared" si="56"/>
        <v>180</v>
      </c>
      <c r="C287" s="58">
        <f t="shared" si="54"/>
        <v>50441</v>
      </c>
      <c r="D287" s="59">
        <f t="shared" si="55"/>
        <v>320544.05147806602</v>
      </c>
      <c r="E287" s="59">
        <f t="shared" si="57"/>
        <v>7541.6272953459866</v>
      </c>
      <c r="F287" s="96"/>
      <c r="G287" s="59">
        <f t="shared" si="49"/>
        <v>7541.6272953459866</v>
      </c>
      <c r="H287" s="59">
        <f t="shared" si="58"/>
        <v>4006.8006434758254</v>
      </c>
      <c r="I287" s="59">
        <f t="shared" si="50"/>
        <v>3534.8266518701612</v>
      </c>
      <c r="J287" s="59">
        <f t="shared" si="51"/>
        <v>317009.22482619586</v>
      </c>
      <c r="R287" s="31"/>
    </row>
    <row r="288" spans="2:18" x14ac:dyDescent="0.3">
      <c r="B288" s="272">
        <f t="shared" ref="B288:B291" si="59">IF(B287&lt;$D$49,B287+1,"")</f>
        <v>181</v>
      </c>
      <c r="C288" s="58">
        <f t="shared" si="54"/>
        <v>50469</v>
      </c>
      <c r="D288" s="59">
        <f t="shared" si="55"/>
        <v>317009.22482619586</v>
      </c>
      <c r="E288" s="59">
        <f t="shared" si="57"/>
        <v>7541.6272953459866</v>
      </c>
      <c r="F288" s="273"/>
      <c r="G288" s="59">
        <f t="shared" si="49"/>
        <v>7541.6272953459866</v>
      </c>
      <c r="H288" s="59">
        <f t="shared" si="58"/>
        <v>3962.6153103274482</v>
      </c>
      <c r="I288" s="59">
        <f t="shared" si="50"/>
        <v>3579.0119850185383</v>
      </c>
      <c r="J288" s="59">
        <f t="shared" si="51"/>
        <v>313430.2128411773</v>
      </c>
      <c r="R288" s="31"/>
    </row>
    <row r="289" spans="1:18" x14ac:dyDescent="0.3">
      <c r="A289" s="179"/>
      <c r="B289" s="272">
        <f t="shared" si="59"/>
        <v>182</v>
      </c>
      <c r="C289" s="58">
        <f t="shared" si="54"/>
        <v>50500</v>
      </c>
      <c r="D289" s="59">
        <f t="shared" si="55"/>
        <v>313430.2128411773</v>
      </c>
      <c r="E289" s="59">
        <f t="shared" si="57"/>
        <v>7541.6272953459866</v>
      </c>
      <c r="F289" s="273"/>
      <c r="G289" s="59">
        <f t="shared" si="49"/>
        <v>7541.6272953459866</v>
      </c>
      <c r="H289" s="59">
        <f t="shared" si="58"/>
        <v>3917.8776605147164</v>
      </c>
      <c r="I289" s="59">
        <f t="shared" si="50"/>
        <v>3623.7496348312702</v>
      </c>
      <c r="J289" s="59">
        <f t="shared" si="51"/>
        <v>309806.46320634603</v>
      </c>
      <c r="R289" s="31"/>
    </row>
    <row r="290" spans="1:18" x14ac:dyDescent="0.3">
      <c r="B290" s="272">
        <f t="shared" si="59"/>
        <v>183</v>
      </c>
      <c r="C290" s="58">
        <f t="shared" si="54"/>
        <v>50530</v>
      </c>
      <c r="D290" s="59">
        <f t="shared" si="55"/>
        <v>309806.46320634603</v>
      </c>
      <c r="E290" s="59">
        <f t="shared" si="57"/>
        <v>7541.6272953459866</v>
      </c>
      <c r="F290" s="273"/>
      <c r="G290" s="59">
        <f t="shared" si="49"/>
        <v>7541.6272953459866</v>
      </c>
      <c r="H290" s="59">
        <f t="shared" si="58"/>
        <v>3872.5807900793257</v>
      </c>
      <c r="I290" s="59">
        <f t="shared" si="50"/>
        <v>3669.0465052666609</v>
      </c>
      <c r="J290" s="59">
        <f t="shared" si="51"/>
        <v>306137.41670107935</v>
      </c>
    </row>
    <row r="291" spans="1:18" x14ac:dyDescent="0.3">
      <c r="B291" s="274">
        <f t="shared" si="59"/>
        <v>184</v>
      </c>
      <c r="C291" s="58">
        <f t="shared" si="54"/>
        <v>50561</v>
      </c>
      <c r="D291" s="59">
        <f t="shared" si="55"/>
        <v>306137.41670107935</v>
      </c>
      <c r="E291" s="59">
        <f t="shared" si="57"/>
        <v>7541.6272953459866</v>
      </c>
      <c r="F291" s="275"/>
      <c r="G291" s="59">
        <f t="shared" si="49"/>
        <v>7541.6272953459866</v>
      </c>
      <c r="H291" s="59">
        <f t="shared" si="58"/>
        <v>3826.7177087634918</v>
      </c>
      <c r="I291" s="59">
        <f t="shared" ref="I291:I347" si="60">G291-H291</f>
        <v>3714.9095865824947</v>
      </c>
      <c r="J291" s="59">
        <f t="shared" si="51"/>
        <v>302422.50711449684</v>
      </c>
    </row>
    <row r="292" spans="1:18" x14ac:dyDescent="0.3">
      <c r="B292" s="272">
        <f t="shared" ref="B292:B297" si="61">IF(B291&lt;$D$49,B291+1,"")</f>
        <v>185</v>
      </c>
      <c r="C292" s="58">
        <f t="shared" si="54"/>
        <v>50591</v>
      </c>
      <c r="D292" s="59">
        <f t="shared" si="55"/>
        <v>302422.50711449684</v>
      </c>
      <c r="E292" s="59">
        <f t="shared" si="57"/>
        <v>7541.6272953459866</v>
      </c>
      <c r="F292" s="273"/>
      <c r="G292" s="59">
        <f t="shared" ref="G292:G347" si="62">SUM(E292:F292)</f>
        <v>7541.6272953459866</v>
      </c>
      <c r="H292" s="59">
        <f t="shared" ref="H292:H347" si="63">IF(B292&gt;=121,(D292*$D$223),0)</f>
        <v>3780.2813389312105</v>
      </c>
      <c r="I292" s="59">
        <f t="shared" si="60"/>
        <v>3761.3459564147761</v>
      </c>
      <c r="J292" s="59">
        <f t="shared" ref="J292:J347" si="64">D292-I292</f>
        <v>298661.16115808208</v>
      </c>
    </row>
    <row r="293" spans="1:18" x14ac:dyDescent="0.3">
      <c r="B293" s="272">
        <f t="shared" si="61"/>
        <v>186</v>
      </c>
      <c r="C293" s="58">
        <f t="shared" ref="C293:C347" si="65">IF(B293&lt;=$E$18,DATE(YEAR(C292),MONTH(C292)+1,DAY(C292)),"")</f>
        <v>50622</v>
      </c>
      <c r="D293" s="59">
        <f t="shared" ref="D293:D347" si="66">IF(J292&gt;120,J292,0)</f>
        <v>298661.16115808208</v>
      </c>
      <c r="E293" s="59">
        <f t="shared" si="57"/>
        <v>7541.6272953459866</v>
      </c>
      <c r="F293" s="273"/>
      <c r="G293" s="59">
        <f t="shared" si="62"/>
        <v>7541.6272953459866</v>
      </c>
      <c r="H293" s="59">
        <f t="shared" si="63"/>
        <v>3733.2645144760263</v>
      </c>
      <c r="I293" s="59">
        <f t="shared" si="60"/>
        <v>3808.3627808699603</v>
      </c>
      <c r="J293" s="59">
        <f t="shared" si="64"/>
        <v>294852.79837721214</v>
      </c>
    </row>
    <row r="294" spans="1:18" x14ac:dyDescent="0.3">
      <c r="B294" s="272">
        <f t="shared" si="61"/>
        <v>187</v>
      </c>
      <c r="C294" s="58">
        <f t="shared" si="65"/>
        <v>50653</v>
      </c>
      <c r="D294" s="59">
        <f t="shared" si="66"/>
        <v>294852.79837721214</v>
      </c>
      <c r="E294" s="59">
        <f t="shared" si="57"/>
        <v>7541.6272953459866</v>
      </c>
      <c r="F294" s="273"/>
      <c r="G294" s="59">
        <f t="shared" si="62"/>
        <v>7541.6272953459866</v>
      </c>
      <c r="H294" s="59">
        <f t="shared" si="63"/>
        <v>3685.6599797151521</v>
      </c>
      <c r="I294" s="59">
        <f t="shared" si="60"/>
        <v>3855.9673156308345</v>
      </c>
      <c r="J294" s="59">
        <f t="shared" si="64"/>
        <v>290996.83106158132</v>
      </c>
    </row>
    <row r="295" spans="1:18" x14ac:dyDescent="0.3">
      <c r="B295" s="272">
        <f t="shared" si="61"/>
        <v>188</v>
      </c>
      <c r="C295" s="58">
        <f t="shared" si="65"/>
        <v>50683</v>
      </c>
      <c r="D295" s="59">
        <f t="shared" si="66"/>
        <v>290996.83106158132</v>
      </c>
      <c r="E295" s="59">
        <f t="shared" si="57"/>
        <v>7541.6272953459866</v>
      </c>
      <c r="F295" s="273"/>
      <c r="G295" s="59">
        <f t="shared" si="62"/>
        <v>7541.6272953459866</v>
      </c>
      <c r="H295" s="59">
        <f t="shared" si="63"/>
        <v>3637.4603882697666</v>
      </c>
      <c r="I295" s="59">
        <f t="shared" si="60"/>
        <v>3904.16690707622</v>
      </c>
      <c r="J295" s="59">
        <f t="shared" si="64"/>
        <v>287092.66415450512</v>
      </c>
    </row>
    <row r="296" spans="1:18" x14ac:dyDescent="0.3">
      <c r="B296" s="272">
        <f t="shared" si="61"/>
        <v>189</v>
      </c>
      <c r="C296" s="58">
        <f t="shared" si="65"/>
        <v>50714</v>
      </c>
      <c r="D296" s="59">
        <f t="shared" si="66"/>
        <v>287092.66415450512</v>
      </c>
      <c r="E296" s="59">
        <f t="shared" si="57"/>
        <v>7541.6272953459866</v>
      </c>
      <c r="F296" s="273"/>
      <c r="G296" s="59">
        <f t="shared" si="62"/>
        <v>7541.6272953459866</v>
      </c>
      <c r="H296" s="59">
        <f t="shared" si="63"/>
        <v>3588.6583019313143</v>
      </c>
      <c r="I296" s="59">
        <f t="shared" si="60"/>
        <v>3952.9689934146722</v>
      </c>
      <c r="J296" s="59">
        <f t="shared" si="64"/>
        <v>283139.69516109047</v>
      </c>
    </row>
    <row r="297" spans="1:18" x14ac:dyDescent="0.3">
      <c r="B297" s="272">
        <f t="shared" si="61"/>
        <v>190</v>
      </c>
      <c r="C297" s="58">
        <f t="shared" si="65"/>
        <v>50744</v>
      </c>
      <c r="D297" s="59">
        <f t="shared" si="66"/>
        <v>283139.69516109047</v>
      </c>
      <c r="E297" s="59">
        <f t="shared" si="57"/>
        <v>7541.6272953459866</v>
      </c>
      <c r="F297" s="273"/>
      <c r="G297" s="59">
        <f t="shared" si="62"/>
        <v>7541.6272953459866</v>
      </c>
      <c r="H297" s="59">
        <f t="shared" si="63"/>
        <v>3539.2461895136312</v>
      </c>
      <c r="I297" s="59">
        <f t="shared" si="60"/>
        <v>4002.3811058323554</v>
      </c>
      <c r="J297" s="59">
        <f t="shared" si="64"/>
        <v>279137.31405525812</v>
      </c>
    </row>
    <row r="298" spans="1:18" x14ac:dyDescent="0.3">
      <c r="B298" s="272">
        <f t="shared" ref="B298:B306" si="67">IF(B297&lt;$D$49,B297+1,"")</f>
        <v>191</v>
      </c>
      <c r="C298" s="58">
        <f t="shared" si="65"/>
        <v>50775</v>
      </c>
      <c r="D298" s="59">
        <f t="shared" si="66"/>
        <v>279137.31405525812</v>
      </c>
      <c r="E298" s="59">
        <f t="shared" si="57"/>
        <v>7541.6272953459866</v>
      </c>
      <c r="F298" s="273"/>
      <c r="G298" s="59">
        <f t="shared" si="62"/>
        <v>7541.6272953459866</v>
      </c>
      <c r="H298" s="59">
        <f t="shared" si="63"/>
        <v>3489.2164256907267</v>
      </c>
      <c r="I298" s="59">
        <f t="shared" si="60"/>
        <v>4052.4108696552598</v>
      </c>
      <c r="J298" s="59">
        <f t="shared" si="64"/>
        <v>275084.90318560286</v>
      </c>
    </row>
    <row r="299" spans="1:18" x14ac:dyDescent="0.3">
      <c r="B299" s="272">
        <f t="shared" si="67"/>
        <v>192</v>
      </c>
      <c r="C299" s="58">
        <f t="shared" si="65"/>
        <v>50806</v>
      </c>
      <c r="D299" s="59">
        <f t="shared" si="66"/>
        <v>275084.90318560286</v>
      </c>
      <c r="E299" s="59">
        <f t="shared" si="57"/>
        <v>7541.6272953459866</v>
      </c>
      <c r="F299" s="273"/>
      <c r="G299" s="59">
        <f t="shared" si="62"/>
        <v>7541.6272953459866</v>
      </c>
      <c r="H299" s="59">
        <f t="shared" si="63"/>
        <v>3438.5612898200361</v>
      </c>
      <c r="I299" s="59">
        <f t="shared" si="60"/>
        <v>4103.0660055259505</v>
      </c>
      <c r="J299" s="59">
        <f t="shared" si="64"/>
        <v>270981.83718007692</v>
      </c>
    </row>
    <row r="300" spans="1:18" x14ac:dyDescent="0.3">
      <c r="B300" s="272">
        <f t="shared" si="67"/>
        <v>193</v>
      </c>
      <c r="C300" s="58">
        <f t="shared" si="65"/>
        <v>50834</v>
      </c>
      <c r="D300" s="59">
        <f t="shared" si="66"/>
        <v>270981.83718007692</v>
      </c>
      <c r="E300" s="59">
        <f t="shared" si="57"/>
        <v>7541.6272953459866</v>
      </c>
      <c r="F300" s="273"/>
      <c r="G300" s="59">
        <f t="shared" si="62"/>
        <v>7541.6272953459866</v>
      </c>
      <c r="H300" s="59">
        <f t="shared" si="63"/>
        <v>3387.2729647509618</v>
      </c>
      <c r="I300" s="59">
        <f t="shared" si="60"/>
        <v>4154.3543305950243</v>
      </c>
      <c r="J300" s="59">
        <f t="shared" si="64"/>
        <v>266827.48284948192</v>
      </c>
    </row>
    <row r="301" spans="1:18" x14ac:dyDescent="0.3">
      <c r="B301" s="272">
        <f t="shared" si="67"/>
        <v>194</v>
      </c>
      <c r="C301" s="58">
        <f t="shared" si="65"/>
        <v>50865</v>
      </c>
      <c r="D301" s="59">
        <f t="shared" si="66"/>
        <v>266827.48284948192</v>
      </c>
      <c r="E301" s="59">
        <f t="shared" si="57"/>
        <v>7541.6272953459866</v>
      </c>
      <c r="F301" s="273"/>
      <c r="G301" s="59">
        <f t="shared" si="62"/>
        <v>7541.6272953459866</v>
      </c>
      <c r="H301" s="59">
        <f t="shared" si="63"/>
        <v>3335.3435356185241</v>
      </c>
      <c r="I301" s="59">
        <f t="shared" si="60"/>
        <v>4206.2837597274629</v>
      </c>
      <c r="J301" s="59">
        <f t="shared" si="64"/>
        <v>262621.19908975449</v>
      </c>
    </row>
    <row r="302" spans="1:18" x14ac:dyDescent="0.3">
      <c r="B302" s="272">
        <f t="shared" si="67"/>
        <v>195</v>
      </c>
      <c r="C302" s="58">
        <f t="shared" si="65"/>
        <v>50895</v>
      </c>
      <c r="D302" s="59">
        <f t="shared" si="66"/>
        <v>262621.19908975449</v>
      </c>
      <c r="E302" s="59">
        <f t="shared" si="57"/>
        <v>7541.6272953459866</v>
      </c>
      <c r="F302" s="273"/>
      <c r="G302" s="59">
        <f t="shared" si="62"/>
        <v>7541.6272953459866</v>
      </c>
      <c r="H302" s="59">
        <f t="shared" si="63"/>
        <v>3282.7649886219315</v>
      </c>
      <c r="I302" s="59">
        <f t="shared" si="60"/>
        <v>4258.8623067240551</v>
      </c>
      <c r="J302" s="59">
        <f t="shared" si="64"/>
        <v>258362.33678303042</v>
      </c>
    </row>
    <row r="303" spans="1:18" x14ac:dyDescent="0.3">
      <c r="B303" s="272">
        <f t="shared" si="67"/>
        <v>196</v>
      </c>
      <c r="C303" s="58">
        <f t="shared" si="65"/>
        <v>50926</v>
      </c>
      <c r="D303" s="59">
        <f t="shared" si="66"/>
        <v>258362.33678303042</v>
      </c>
      <c r="E303" s="59">
        <f t="shared" si="57"/>
        <v>7541.6272953459866</v>
      </c>
      <c r="F303" s="273"/>
      <c r="G303" s="59">
        <f t="shared" si="62"/>
        <v>7541.6272953459866</v>
      </c>
      <c r="H303" s="59">
        <f t="shared" si="63"/>
        <v>3229.5292097878805</v>
      </c>
      <c r="I303" s="59">
        <f t="shared" si="60"/>
        <v>4312.0980855581056</v>
      </c>
      <c r="J303" s="59">
        <f t="shared" si="64"/>
        <v>254050.23869747232</v>
      </c>
    </row>
    <row r="304" spans="1:18" x14ac:dyDescent="0.3">
      <c r="B304" s="272">
        <f t="shared" si="67"/>
        <v>197</v>
      </c>
      <c r="C304" s="58">
        <f t="shared" si="65"/>
        <v>50956</v>
      </c>
      <c r="D304" s="59">
        <f t="shared" si="66"/>
        <v>254050.23869747232</v>
      </c>
      <c r="E304" s="59">
        <f t="shared" si="57"/>
        <v>7541.6272953459866</v>
      </c>
      <c r="F304" s="273"/>
      <c r="G304" s="59">
        <f t="shared" si="62"/>
        <v>7541.6272953459866</v>
      </c>
      <c r="H304" s="59">
        <f t="shared" si="63"/>
        <v>3175.6279837184043</v>
      </c>
      <c r="I304" s="59">
        <f t="shared" si="60"/>
        <v>4365.9993116275818</v>
      </c>
      <c r="J304" s="59">
        <f t="shared" si="64"/>
        <v>249684.23938584473</v>
      </c>
    </row>
    <row r="305" spans="2:10" x14ac:dyDescent="0.3">
      <c r="B305" s="272">
        <f t="shared" si="67"/>
        <v>198</v>
      </c>
      <c r="C305" s="58">
        <f t="shared" si="65"/>
        <v>50987</v>
      </c>
      <c r="D305" s="59">
        <f t="shared" si="66"/>
        <v>249684.23938584473</v>
      </c>
      <c r="E305" s="59">
        <f t="shared" si="57"/>
        <v>7541.6272953459866</v>
      </c>
      <c r="F305" s="273"/>
      <c r="G305" s="59">
        <f t="shared" si="62"/>
        <v>7541.6272953459866</v>
      </c>
      <c r="H305" s="59">
        <f t="shared" si="63"/>
        <v>3121.0529923230592</v>
      </c>
      <c r="I305" s="59">
        <f t="shared" si="60"/>
        <v>4420.5743030229278</v>
      </c>
      <c r="J305" s="59">
        <f t="shared" si="64"/>
        <v>245263.6650828218</v>
      </c>
    </row>
    <row r="306" spans="2:10" x14ac:dyDescent="0.3">
      <c r="B306" s="272">
        <f t="shared" si="67"/>
        <v>199</v>
      </c>
      <c r="C306" s="58">
        <f t="shared" si="65"/>
        <v>51018</v>
      </c>
      <c r="D306" s="59">
        <f t="shared" si="66"/>
        <v>245263.6650828218</v>
      </c>
      <c r="E306" s="59">
        <f t="shared" si="57"/>
        <v>7541.6272953459866</v>
      </c>
      <c r="F306" s="273"/>
      <c r="G306" s="59">
        <f t="shared" si="62"/>
        <v>7541.6272953459866</v>
      </c>
      <c r="H306" s="59">
        <f t="shared" si="63"/>
        <v>3065.7958135352728</v>
      </c>
      <c r="I306" s="59">
        <f t="shared" si="60"/>
        <v>4475.8314818107137</v>
      </c>
      <c r="J306" s="59">
        <f t="shared" si="64"/>
        <v>240787.83360101108</v>
      </c>
    </row>
    <row r="307" spans="2:10" x14ac:dyDescent="0.3">
      <c r="B307" s="272">
        <f t="shared" ref="B307:B312" si="68">IF(B306&lt;$D$49,B306+1,"")</f>
        <v>200</v>
      </c>
      <c r="C307" s="58">
        <f t="shared" si="65"/>
        <v>51048</v>
      </c>
      <c r="D307" s="59">
        <f t="shared" si="66"/>
        <v>240787.83360101108</v>
      </c>
      <c r="E307" s="59">
        <f t="shared" si="57"/>
        <v>7541.6272953459866</v>
      </c>
      <c r="F307" s="273"/>
      <c r="G307" s="59">
        <f t="shared" si="62"/>
        <v>7541.6272953459866</v>
      </c>
      <c r="H307" s="59">
        <f t="shared" si="63"/>
        <v>3009.8479200126385</v>
      </c>
      <c r="I307" s="59">
        <f t="shared" si="60"/>
        <v>4531.7793753333481</v>
      </c>
      <c r="J307" s="59">
        <f t="shared" si="64"/>
        <v>236256.05422567774</v>
      </c>
    </row>
    <row r="308" spans="2:10" x14ac:dyDescent="0.3">
      <c r="B308" s="272">
        <f t="shared" si="68"/>
        <v>201</v>
      </c>
      <c r="C308" s="58">
        <f t="shared" si="65"/>
        <v>51079</v>
      </c>
      <c r="D308" s="59">
        <f t="shared" si="66"/>
        <v>236256.05422567774</v>
      </c>
      <c r="E308" s="59">
        <f t="shared" si="57"/>
        <v>7541.6272953459866</v>
      </c>
      <c r="F308" s="273"/>
      <c r="G308" s="59">
        <f t="shared" si="62"/>
        <v>7541.6272953459866</v>
      </c>
      <c r="H308" s="59">
        <f t="shared" si="63"/>
        <v>2953.200677820972</v>
      </c>
      <c r="I308" s="59">
        <f t="shared" si="60"/>
        <v>4588.4266175250141</v>
      </c>
      <c r="J308" s="59">
        <f t="shared" si="64"/>
        <v>231667.62760815272</v>
      </c>
    </row>
    <row r="309" spans="2:10" x14ac:dyDescent="0.3">
      <c r="B309" s="272">
        <f t="shared" si="68"/>
        <v>202</v>
      </c>
      <c r="C309" s="58">
        <f t="shared" si="65"/>
        <v>51109</v>
      </c>
      <c r="D309" s="59">
        <f t="shared" si="66"/>
        <v>231667.62760815272</v>
      </c>
      <c r="E309" s="59">
        <f t="shared" si="57"/>
        <v>7541.6272953459866</v>
      </c>
      <c r="F309" s="273"/>
      <c r="G309" s="59">
        <f t="shared" si="62"/>
        <v>7541.6272953459866</v>
      </c>
      <c r="H309" s="59">
        <f t="shared" si="63"/>
        <v>2895.8453451019091</v>
      </c>
      <c r="I309" s="59">
        <f t="shared" si="60"/>
        <v>4645.781950244078</v>
      </c>
      <c r="J309" s="59">
        <f t="shared" si="64"/>
        <v>227021.84565790865</v>
      </c>
    </row>
    <row r="310" spans="2:10" x14ac:dyDescent="0.3">
      <c r="B310" s="272">
        <f t="shared" si="68"/>
        <v>203</v>
      </c>
      <c r="C310" s="58">
        <f t="shared" si="65"/>
        <v>51140</v>
      </c>
      <c r="D310" s="59">
        <f t="shared" si="66"/>
        <v>227021.84565790865</v>
      </c>
      <c r="E310" s="59">
        <f t="shared" si="57"/>
        <v>7541.6272953459866</v>
      </c>
      <c r="F310" s="273"/>
      <c r="G310" s="59">
        <f t="shared" si="62"/>
        <v>7541.6272953459866</v>
      </c>
      <c r="H310" s="59">
        <f t="shared" si="63"/>
        <v>2837.7730707238584</v>
      </c>
      <c r="I310" s="59">
        <f t="shared" si="60"/>
        <v>4703.8542246221277</v>
      </c>
      <c r="J310" s="59">
        <f t="shared" si="64"/>
        <v>222317.99143328652</v>
      </c>
    </row>
    <row r="311" spans="2:10" x14ac:dyDescent="0.3">
      <c r="B311" s="272">
        <f t="shared" si="68"/>
        <v>204</v>
      </c>
      <c r="C311" s="58">
        <f t="shared" si="65"/>
        <v>51171</v>
      </c>
      <c r="D311" s="59">
        <f t="shared" si="66"/>
        <v>222317.99143328652</v>
      </c>
      <c r="E311" s="59">
        <f t="shared" si="57"/>
        <v>7541.6272953459866</v>
      </c>
      <c r="F311" s="273"/>
      <c r="G311" s="59">
        <f t="shared" si="62"/>
        <v>7541.6272953459866</v>
      </c>
      <c r="H311" s="59">
        <f t="shared" si="63"/>
        <v>2778.9748929160814</v>
      </c>
      <c r="I311" s="59">
        <f t="shared" si="60"/>
        <v>4762.6524024299051</v>
      </c>
      <c r="J311" s="59">
        <f t="shared" si="64"/>
        <v>217555.33903085662</v>
      </c>
    </row>
    <row r="312" spans="2:10" x14ac:dyDescent="0.3">
      <c r="B312" s="272">
        <f t="shared" si="68"/>
        <v>205</v>
      </c>
      <c r="C312" s="58">
        <f t="shared" si="65"/>
        <v>51200</v>
      </c>
      <c r="D312" s="59">
        <f t="shared" si="66"/>
        <v>217555.33903085662</v>
      </c>
      <c r="E312" s="59">
        <f t="shared" si="57"/>
        <v>7541.6272953459866</v>
      </c>
      <c r="F312" s="273"/>
      <c r="G312" s="59">
        <f t="shared" si="62"/>
        <v>7541.6272953459866</v>
      </c>
      <c r="H312" s="59">
        <f t="shared" si="63"/>
        <v>2719.4417378857079</v>
      </c>
      <c r="I312" s="59">
        <f t="shared" si="60"/>
        <v>4822.1855574602787</v>
      </c>
      <c r="J312" s="59">
        <f t="shared" si="64"/>
        <v>212733.15347339635</v>
      </c>
    </row>
    <row r="313" spans="2:10" x14ac:dyDescent="0.3">
      <c r="B313" s="272">
        <f t="shared" ref="B313:B327" si="69">IF(B312&lt;$D$49,B312+1,"")</f>
        <v>206</v>
      </c>
      <c r="C313" s="58">
        <f t="shared" si="65"/>
        <v>51231</v>
      </c>
      <c r="D313" s="59">
        <f t="shared" si="66"/>
        <v>212733.15347339635</v>
      </c>
      <c r="E313" s="59">
        <f t="shared" si="57"/>
        <v>7541.6272953459866</v>
      </c>
      <c r="F313" s="273"/>
      <c r="G313" s="59">
        <f t="shared" si="62"/>
        <v>7541.6272953459866</v>
      </c>
      <c r="H313" s="59">
        <f t="shared" si="63"/>
        <v>2659.1644184174547</v>
      </c>
      <c r="I313" s="59">
        <f t="shared" si="60"/>
        <v>4882.4628769285318</v>
      </c>
      <c r="J313" s="59">
        <f t="shared" si="64"/>
        <v>207850.69059646782</v>
      </c>
    </row>
    <row r="314" spans="2:10" x14ac:dyDescent="0.3">
      <c r="B314" s="272">
        <f t="shared" si="69"/>
        <v>207</v>
      </c>
      <c r="C314" s="58">
        <f t="shared" si="65"/>
        <v>51261</v>
      </c>
      <c r="D314" s="59">
        <f t="shared" si="66"/>
        <v>207850.69059646782</v>
      </c>
      <c r="E314" s="59">
        <f t="shared" si="57"/>
        <v>7541.6272953459866</v>
      </c>
      <c r="F314" s="273"/>
      <c r="G314" s="59">
        <f t="shared" si="62"/>
        <v>7541.6272953459866</v>
      </c>
      <c r="H314" s="59">
        <f t="shared" si="63"/>
        <v>2598.1336324558479</v>
      </c>
      <c r="I314" s="59">
        <f t="shared" si="60"/>
        <v>4943.4936628901387</v>
      </c>
      <c r="J314" s="59">
        <f t="shared" si="64"/>
        <v>202907.19693357768</v>
      </c>
    </row>
    <row r="315" spans="2:10" x14ac:dyDescent="0.3">
      <c r="B315" s="272">
        <f t="shared" si="69"/>
        <v>208</v>
      </c>
      <c r="C315" s="58">
        <f t="shared" si="65"/>
        <v>51292</v>
      </c>
      <c r="D315" s="59">
        <f t="shared" si="66"/>
        <v>202907.19693357768</v>
      </c>
      <c r="E315" s="59">
        <f t="shared" si="57"/>
        <v>7541.6272953459866</v>
      </c>
      <c r="F315" s="273"/>
      <c r="G315" s="59">
        <f t="shared" si="62"/>
        <v>7541.6272953459866</v>
      </c>
      <c r="H315" s="59">
        <f t="shared" si="63"/>
        <v>2536.3399616697211</v>
      </c>
      <c r="I315" s="59">
        <f t="shared" si="60"/>
        <v>5005.2873336762659</v>
      </c>
      <c r="J315" s="59">
        <f t="shared" si="64"/>
        <v>197901.90959990141</v>
      </c>
    </row>
    <row r="316" spans="2:10" x14ac:dyDescent="0.3">
      <c r="B316" s="272">
        <f t="shared" si="69"/>
        <v>209</v>
      </c>
      <c r="C316" s="58">
        <f t="shared" si="65"/>
        <v>51322</v>
      </c>
      <c r="D316" s="59">
        <f t="shared" si="66"/>
        <v>197901.90959990141</v>
      </c>
      <c r="E316" s="59">
        <f t="shared" si="57"/>
        <v>7541.6272953459866</v>
      </c>
      <c r="F316" s="273"/>
      <c r="G316" s="59">
        <f t="shared" si="62"/>
        <v>7541.6272953459866</v>
      </c>
      <c r="H316" s="59">
        <f t="shared" si="63"/>
        <v>2473.7738699987676</v>
      </c>
      <c r="I316" s="59">
        <f t="shared" si="60"/>
        <v>5067.8534253472189</v>
      </c>
      <c r="J316" s="59">
        <f t="shared" si="64"/>
        <v>192834.05617455419</v>
      </c>
    </row>
    <row r="317" spans="2:10" x14ac:dyDescent="0.3">
      <c r="B317" s="272">
        <f t="shared" si="69"/>
        <v>210</v>
      </c>
      <c r="C317" s="58">
        <f t="shared" si="65"/>
        <v>51353</v>
      </c>
      <c r="D317" s="59">
        <f t="shared" si="66"/>
        <v>192834.05617455419</v>
      </c>
      <c r="E317" s="59">
        <f t="shared" si="57"/>
        <v>7541.6272953459866</v>
      </c>
      <c r="F317" s="273"/>
      <c r="G317" s="59">
        <f t="shared" si="62"/>
        <v>7541.6272953459866</v>
      </c>
      <c r="H317" s="59">
        <f t="shared" si="63"/>
        <v>2410.4257021819276</v>
      </c>
      <c r="I317" s="59">
        <f t="shared" si="60"/>
        <v>5131.201593164059</v>
      </c>
      <c r="J317" s="59">
        <f t="shared" si="64"/>
        <v>187702.85458139013</v>
      </c>
    </row>
    <row r="318" spans="2:10" x14ac:dyDescent="0.3">
      <c r="B318" s="272">
        <f t="shared" si="69"/>
        <v>211</v>
      </c>
      <c r="C318" s="58">
        <f t="shared" si="65"/>
        <v>51384</v>
      </c>
      <c r="D318" s="59">
        <f t="shared" si="66"/>
        <v>187702.85458139013</v>
      </c>
      <c r="E318" s="59">
        <f t="shared" si="57"/>
        <v>7541.6272953459866</v>
      </c>
      <c r="F318" s="273"/>
      <c r="G318" s="59">
        <f t="shared" si="62"/>
        <v>7541.6272953459866</v>
      </c>
      <c r="H318" s="59">
        <f t="shared" si="63"/>
        <v>2346.2856822673766</v>
      </c>
      <c r="I318" s="59">
        <f t="shared" si="60"/>
        <v>5195.34161307861</v>
      </c>
      <c r="J318" s="59">
        <f t="shared" si="64"/>
        <v>182507.51296831152</v>
      </c>
    </row>
    <row r="319" spans="2:10" x14ac:dyDescent="0.3">
      <c r="B319" s="272">
        <f t="shared" si="69"/>
        <v>212</v>
      </c>
      <c r="C319" s="58">
        <f t="shared" si="65"/>
        <v>51414</v>
      </c>
      <c r="D319" s="59">
        <f t="shared" si="66"/>
        <v>182507.51296831152</v>
      </c>
      <c r="E319" s="59">
        <f t="shared" si="57"/>
        <v>7541.6272953459866</v>
      </c>
      <c r="F319" s="273"/>
      <c r="G319" s="59">
        <f t="shared" si="62"/>
        <v>7541.6272953459866</v>
      </c>
      <c r="H319" s="59">
        <f t="shared" si="63"/>
        <v>2281.3439121038941</v>
      </c>
      <c r="I319" s="59">
        <f t="shared" si="60"/>
        <v>5260.2833832420929</v>
      </c>
      <c r="J319" s="59">
        <f t="shared" si="64"/>
        <v>177247.22958506944</v>
      </c>
    </row>
    <row r="320" spans="2:10" x14ac:dyDescent="0.3">
      <c r="B320" s="272">
        <f t="shared" si="69"/>
        <v>213</v>
      </c>
      <c r="C320" s="58">
        <f t="shared" si="65"/>
        <v>51445</v>
      </c>
      <c r="D320" s="59">
        <f t="shared" si="66"/>
        <v>177247.22958506944</v>
      </c>
      <c r="E320" s="59">
        <f t="shared" si="57"/>
        <v>7541.6272953459866</v>
      </c>
      <c r="F320" s="273"/>
      <c r="G320" s="59">
        <f t="shared" si="62"/>
        <v>7541.6272953459866</v>
      </c>
      <c r="H320" s="59">
        <f t="shared" si="63"/>
        <v>2215.5903698133679</v>
      </c>
      <c r="I320" s="59">
        <f t="shared" si="60"/>
        <v>5326.0369255326186</v>
      </c>
      <c r="J320" s="59">
        <f t="shared" si="64"/>
        <v>171921.19265953681</v>
      </c>
    </row>
    <row r="321" spans="2:10" x14ac:dyDescent="0.3">
      <c r="B321" s="272">
        <f t="shared" si="69"/>
        <v>214</v>
      </c>
      <c r="C321" s="58">
        <f t="shared" si="65"/>
        <v>51475</v>
      </c>
      <c r="D321" s="59">
        <f t="shared" si="66"/>
        <v>171921.19265953681</v>
      </c>
      <c r="E321" s="59">
        <f t="shared" si="57"/>
        <v>7541.6272953459866</v>
      </c>
      <c r="F321" s="273"/>
      <c r="G321" s="59">
        <f t="shared" si="62"/>
        <v>7541.6272953459866</v>
      </c>
      <c r="H321" s="59">
        <f t="shared" si="63"/>
        <v>2149.0149082442103</v>
      </c>
      <c r="I321" s="59">
        <f t="shared" si="60"/>
        <v>5392.6123871017762</v>
      </c>
      <c r="J321" s="59">
        <f t="shared" si="64"/>
        <v>166528.58027243504</v>
      </c>
    </row>
    <row r="322" spans="2:10" x14ac:dyDescent="0.3">
      <c r="B322" s="272">
        <f t="shared" si="69"/>
        <v>215</v>
      </c>
      <c r="C322" s="58">
        <f t="shared" si="65"/>
        <v>51506</v>
      </c>
      <c r="D322" s="59">
        <f t="shared" si="66"/>
        <v>166528.58027243504</v>
      </c>
      <c r="E322" s="59">
        <f t="shared" si="57"/>
        <v>7541.6272953459866</v>
      </c>
      <c r="F322" s="273"/>
      <c r="G322" s="59">
        <f t="shared" si="62"/>
        <v>7541.6272953459866</v>
      </c>
      <c r="H322" s="59">
        <f t="shared" si="63"/>
        <v>2081.6072534054379</v>
      </c>
      <c r="I322" s="59">
        <f t="shared" si="60"/>
        <v>5460.0200419405483</v>
      </c>
      <c r="J322" s="59">
        <f t="shared" si="64"/>
        <v>161068.56023049448</v>
      </c>
    </row>
    <row r="323" spans="2:10" x14ac:dyDescent="0.3">
      <c r="B323" s="272">
        <f t="shared" si="69"/>
        <v>216</v>
      </c>
      <c r="C323" s="58">
        <f t="shared" si="65"/>
        <v>51537</v>
      </c>
      <c r="D323" s="59">
        <f t="shared" si="66"/>
        <v>161068.56023049448</v>
      </c>
      <c r="E323" s="59">
        <f t="shared" ref="E323:E347" si="70">IF(D323&gt;0,(-PMT($D$223,$D$220,$D$219)))</f>
        <v>7541.6272953459866</v>
      </c>
      <c r="F323" s="273"/>
      <c r="G323" s="59">
        <f t="shared" si="62"/>
        <v>7541.6272953459866</v>
      </c>
      <c r="H323" s="59">
        <f t="shared" si="63"/>
        <v>2013.357002881181</v>
      </c>
      <c r="I323" s="59">
        <f t="shared" si="60"/>
        <v>5528.2702924648056</v>
      </c>
      <c r="J323" s="59">
        <f t="shared" si="64"/>
        <v>155540.28993802966</v>
      </c>
    </row>
    <row r="324" spans="2:10" x14ac:dyDescent="0.3">
      <c r="B324" s="272">
        <f t="shared" si="69"/>
        <v>217</v>
      </c>
      <c r="C324" s="58">
        <f t="shared" si="65"/>
        <v>51565</v>
      </c>
      <c r="D324" s="59">
        <f t="shared" si="66"/>
        <v>155540.28993802966</v>
      </c>
      <c r="E324" s="59">
        <f t="shared" si="70"/>
        <v>7541.6272953459866</v>
      </c>
      <c r="F324" s="273"/>
      <c r="G324" s="59">
        <f t="shared" si="62"/>
        <v>7541.6272953459866</v>
      </c>
      <c r="H324" s="59">
        <f t="shared" si="63"/>
        <v>1944.2536242253709</v>
      </c>
      <c r="I324" s="59">
        <f t="shared" si="60"/>
        <v>5597.3736711206157</v>
      </c>
      <c r="J324" s="59">
        <f t="shared" si="64"/>
        <v>149942.91626690904</v>
      </c>
    </row>
    <row r="325" spans="2:10" x14ac:dyDescent="0.3">
      <c r="B325" s="272">
        <f t="shared" si="69"/>
        <v>218</v>
      </c>
      <c r="C325" s="58">
        <f t="shared" si="65"/>
        <v>51596</v>
      </c>
      <c r="D325" s="59">
        <f t="shared" si="66"/>
        <v>149942.91626690904</v>
      </c>
      <c r="E325" s="59">
        <f t="shared" si="70"/>
        <v>7541.6272953459866</v>
      </c>
      <c r="F325" s="273"/>
      <c r="G325" s="59">
        <f t="shared" si="62"/>
        <v>7541.6272953459866</v>
      </c>
      <c r="H325" s="59">
        <f t="shared" si="63"/>
        <v>1874.2864533363631</v>
      </c>
      <c r="I325" s="59">
        <f t="shared" si="60"/>
        <v>5667.3408420096239</v>
      </c>
      <c r="J325" s="59">
        <f t="shared" si="64"/>
        <v>144275.57542489941</v>
      </c>
    </row>
    <row r="326" spans="2:10" x14ac:dyDescent="0.3">
      <c r="B326" s="272">
        <f t="shared" si="69"/>
        <v>219</v>
      </c>
      <c r="C326" s="58">
        <f t="shared" si="65"/>
        <v>51626</v>
      </c>
      <c r="D326" s="59">
        <f t="shared" si="66"/>
        <v>144275.57542489941</v>
      </c>
      <c r="E326" s="59">
        <f t="shared" si="70"/>
        <v>7541.6272953459866</v>
      </c>
      <c r="F326" s="273"/>
      <c r="G326" s="59">
        <f t="shared" si="62"/>
        <v>7541.6272953459866</v>
      </c>
      <c r="H326" s="59">
        <f t="shared" si="63"/>
        <v>1803.4446928112427</v>
      </c>
      <c r="I326" s="59">
        <f t="shared" si="60"/>
        <v>5738.1826025347436</v>
      </c>
      <c r="J326" s="59">
        <f t="shared" si="64"/>
        <v>138537.39282236467</v>
      </c>
    </row>
    <row r="327" spans="2:10" x14ac:dyDescent="0.3">
      <c r="B327" s="272">
        <f t="shared" si="69"/>
        <v>220</v>
      </c>
      <c r="C327" s="58">
        <f t="shared" si="65"/>
        <v>51657</v>
      </c>
      <c r="D327" s="59">
        <f t="shared" si="66"/>
        <v>138537.39282236467</v>
      </c>
      <c r="E327" s="59">
        <f t="shared" si="70"/>
        <v>7541.6272953459866</v>
      </c>
      <c r="F327" s="273"/>
      <c r="G327" s="59">
        <f t="shared" si="62"/>
        <v>7541.6272953459866</v>
      </c>
      <c r="H327" s="59">
        <f t="shared" si="63"/>
        <v>1731.7174102795584</v>
      </c>
      <c r="I327" s="59">
        <f t="shared" si="60"/>
        <v>5809.9098850664286</v>
      </c>
      <c r="J327" s="59">
        <f t="shared" si="64"/>
        <v>132727.48293729825</v>
      </c>
    </row>
    <row r="328" spans="2:10" x14ac:dyDescent="0.3">
      <c r="B328" s="272">
        <f t="shared" ref="B328:B341" si="71">IF(B327&lt;$D$49,B327+1,"")</f>
        <v>221</v>
      </c>
      <c r="C328" s="58">
        <f t="shared" si="65"/>
        <v>51687</v>
      </c>
      <c r="D328" s="59">
        <f t="shared" si="66"/>
        <v>132727.48293729825</v>
      </c>
      <c r="E328" s="59">
        <f t="shared" si="70"/>
        <v>7541.6272953459866</v>
      </c>
      <c r="F328" s="273"/>
      <c r="G328" s="59">
        <f t="shared" si="62"/>
        <v>7541.6272953459866</v>
      </c>
      <c r="H328" s="59">
        <f t="shared" si="63"/>
        <v>1659.0935367162283</v>
      </c>
      <c r="I328" s="59">
        <f t="shared" si="60"/>
        <v>5882.5337586297583</v>
      </c>
      <c r="J328" s="59">
        <f t="shared" si="64"/>
        <v>126844.9491786685</v>
      </c>
    </row>
    <row r="329" spans="2:10" x14ac:dyDescent="0.3">
      <c r="B329" s="272">
        <f t="shared" si="71"/>
        <v>222</v>
      </c>
      <c r="C329" s="58">
        <f t="shared" si="65"/>
        <v>51718</v>
      </c>
      <c r="D329" s="59">
        <f t="shared" si="66"/>
        <v>126844.9491786685</v>
      </c>
      <c r="E329" s="59">
        <f t="shared" si="70"/>
        <v>7541.6272953459866</v>
      </c>
      <c r="F329" s="273"/>
      <c r="G329" s="59">
        <f t="shared" si="62"/>
        <v>7541.6272953459866</v>
      </c>
      <c r="H329" s="59">
        <f t="shared" si="63"/>
        <v>1585.5618647333563</v>
      </c>
      <c r="I329" s="59">
        <f t="shared" si="60"/>
        <v>5956.0654306126307</v>
      </c>
      <c r="J329" s="59">
        <f t="shared" si="64"/>
        <v>120888.88374805587</v>
      </c>
    </row>
    <row r="330" spans="2:10" x14ac:dyDescent="0.3">
      <c r="B330" s="272">
        <f t="shared" si="71"/>
        <v>223</v>
      </c>
      <c r="C330" s="58">
        <f t="shared" si="65"/>
        <v>51749</v>
      </c>
      <c r="D330" s="59">
        <f t="shared" si="66"/>
        <v>120888.88374805587</v>
      </c>
      <c r="E330" s="59">
        <f t="shared" si="70"/>
        <v>7541.6272953459866</v>
      </c>
      <c r="F330" s="273"/>
      <c r="G330" s="59">
        <f t="shared" si="62"/>
        <v>7541.6272953459866</v>
      </c>
      <c r="H330" s="59">
        <f t="shared" si="63"/>
        <v>1511.1110468506986</v>
      </c>
      <c r="I330" s="59">
        <f t="shared" si="60"/>
        <v>6030.516248495288</v>
      </c>
      <c r="J330" s="59">
        <f t="shared" si="64"/>
        <v>114858.36749956058</v>
      </c>
    </row>
    <row r="331" spans="2:10" x14ac:dyDescent="0.3">
      <c r="B331" s="272">
        <f t="shared" si="71"/>
        <v>224</v>
      </c>
      <c r="C331" s="58">
        <f t="shared" si="65"/>
        <v>51779</v>
      </c>
      <c r="D331" s="59">
        <f t="shared" si="66"/>
        <v>114858.36749956058</v>
      </c>
      <c r="E331" s="59">
        <f t="shared" si="70"/>
        <v>7541.6272953459866</v>
      </c>
      <c r="F331" s="273"/>
      <c r="G331" s="59">
        <f t="shared" si="62"/>
        <v>7541.6272953459866</v>
      </c>
      <c r="H331" s="59">
        <f t="shared" si="63"/>
        <v>1435.7295937445074</v>
      </c>
      <c r="I331" s="59">
        <f t="shared" si="60"/>
        <v>6105.8977016014796</v>
      </c>
      <c r="J331" s="59">
        <f t="shared" si="64"/>
        <v>108752.4697979591</v>
      </c>
    </row>
    <row r="332" spans="2:10" x14ac:dyDescent="0.3">
      <c r="B332" s="272">
        <f t="shared" si="71"/>
        <v>225</v>
      </c>
      <c r="C332" s="58">
        <f t="shared" si="65"/>
        <v>51810</v>
      </c>
      <c r="D332" s="59">
        <f t="shared" si="66"/>
        <v>108752.4697979591</v>
      </c>
      <c r="E332" s="59">
        <f t="shared" si="70"/>
        <v>7541.6272953459866</v>
      </c>
      <c r="F332" s="273"/>
      <c r="G332" s="59">
        <f t="shared" si="62"/>
        <v>7541.6272953459866</v>
      </c>
      <c r="H332" s="59">
        <f t="shared" si="63"/>
        <v>1359.4058724744889</v>
      </c>
      <c r="I332" s="59">
        <f t="shared" si="60"/>
        <v>6182.2214228714975</v>
      </c>
      <c r="J332" s="59">
        <f t="shared" si="64"/>
        <v>102570.2483750876</v>
      </c>
    </row>
    <row r="333" spans="2:10" x14ac:dyDescent="0.3">
      <c r="B333" s="272">
        <f t="shared" si="71"/>
        <v>226</v>
      </c>
      <c r="C333" s="58">
        <f t="shared" si="65"/>
        <v>51840</v>
      </c>
      <c r="D333" s="59">
        <f t="shared" si="66"/>
        <v>102570.2483750876</v>
      </c>
      <c r="E333" s="59">
        <f t="shared" si="70"/>
        <v>7541.6272953459866</v>
      </c>
      <c r="F333" s="273"/>
      <c r="G333" s="59">
        <f t="shared" si="62"/>
        <v>7541.6272953459866</v>
      </c>
      <c r="H333" s="59">
        <f t="shared" si="63"/>
        <v>1282.1281046885952</v>
      </c>
      <c r="I333" s="59">
        <f t="shared" si="60"/>
        <v>6259.4991906573914</v>
      </c>
      <c r="J333" s="59">
        <f t="shared" si="64"/>
        <v>96310.749184430213</v>
      </c>
    </row>
    <row r="334" spans="2:10" x14ac:dyDescent="0.3">
      <c r="B334" s="272">
        <f t="shared" si="71"/>
        <v>227</v>
      </c>
      <c r="C334" s="58">
        <f t="shared" si="65"/>
        <v>51871</v>
      </c>
      <c r="D334" s="59">
        <f t="shared" si="66"/>
        <v>96310.749184430213</v>
      </c>
      <c r="E334" s="59">
        <f t="shared" si="70"/>
        <v>7541.6272953459866</v>
      </c>
      <c r="F334" s="273"/>
      <c r="G334" s="59">
        <f t="shared" si="62"/>
        <v>7541.6272953459866</v>
      </c>
      <c r="H334" s="59">
        <f t="shared" si="63"/>
        <v>1203.8843648053778</v>
      </c>
      <c r="I334" s="59">
        <f t="shared" si="60"/>
        <v>6337.7429305406085</v>
      </c>
      <c r="J334" s="59">
        <f t="shared" si="64"/>
        <v>89973.006253889602</v>
      </c>
    </row>
    <row r="335" spans="2:10" x14ac:dyDescent="0.3">
      <c r="B335" s="272">
        <f t="shared" si="71"/>
        <v>228</v>
      </c>
      <c r="C335" s="58">
        <f t="shared" si="65"/>
        <v>51902</v>
      </c>
      <c r="D335" s="59">
        <f t="shared" si="66"/>
        <v>89973.006253889602</v>
      </c>
      <c r="E335" s="59">
        <f t="shared" si="70"/>
        <v>7541.6272953459866</v>
      </c>
      <c r="F335" s="273"/>
      <c r="G335" s="59">
        <f t="shared" si="62"/>
        <v>7541.6272953459866</v>
      </c>
      <c r="H335" s="59">
        <f t="shared" si="63"/>
        <v>1124.66257817362</v>
      </c>
      <c r="I335" s="59">
        <f t="shared" si="60"/>
        <v>6416.9647171723664</v>
      </c>
      <c r="J335" s="59">
        <f t="shared" si="64"/>
        <v>83556.041536717239</v>
      </c>
    </row>
    <row r="336" spans="2:10" x14ac:dyDescent="0.3">
      <c r="B336" s="272">
        <f t="shared" si="71"/>
        <v>229</v>
      </c>
      <c r="C336" s="58">
        <f t="shared" si="65"/>
        <v>51930</v>
      </c>
      <c r="D336" s="59">
        <f t="shared" si="66"/>
        <v>83556.041536717239</v>
      </c>
      <c r="E336" s="59">
        <f t="shared" si="70"/>
        <v>7541.6272953459866</v>
      </c>
      <c r="F336" s="273"/>
      <c r="G336" s="59">
        <f t="shared" si="62"/>
        <v>7541.6272953459866</v>
      </c>
      <c r="H336" s="59">
        <f t="shared" si="63"/>
        <v>1044.4505192089655</v>
      </c>
      <c r="I336" s="59">
        <f t="shared" si="60"/>
        <v>6497.1767761370211</v>
      </c>
      <c r="J336" s="59">
        <f t="shared" si="64"/>
        <v>77058.864760580211</v>
      </c>
    </row>
    <row r="337" spans="2:10" x14ac:dyDescent="0.3">
      <c r="B337" s="272">
        <f t="shared" si="71"/>
        <v>230</v>
      </c>
      <c r="C337" s="58">
        <f t="shared" si="65"/>
        <v>51961</v>
      </c>
      <c r="D337" s="59">
        <f t="shared" si="66"/>
        <v>77058.864760580211</v>
      </c>
      <c r="E337" s="59">
        <f t="shared" si="70"/>
        <v>7541.6272953459866</v>
      </c>
      <c r="F337" s="273"/>
      <c r="G337" s="59">
        <f t="shared" si="62"/>
        <v>7541.6272953459866</v>
      </c>
      <c r="H337" s="59">
        <f t="shared" si="63"/>
        <v>963.23580950725272</v>
      </c>
      <c r="I337" s="59">
        <f t="shared" si="60"/>
        <v>6578.3914858387343</v>
      </c>
      <c r="J337" s="59">
        <f t="shared" si="64"/>
        <v>70480.473274741482</v>
      </c>
    </row>
    <row r="338" spans="2:10" x14ac:dyDescent="0.3">
      <c r="B338" s="272">
        <f t="shared" si="71"/>
        <v>231</v>
      </c>
      <c r="C338" s="58">
        <f t="shared" si="65"/>
        <v>51991</v>
      </c>
      <c r="D338" s="59">
        <f t="shared" si="66"/>
        <v>70480.473274741482</v>
      </c>
      <c r="E338" s="59">
        <f t="shared" si="70"/>
        <v>7541.6272953459866</v>
      </c>
      <c r="F338" s="273"/>
      <c r="G338" s="59">
        <f t="shared" si="62"/>
        <v>7541.6272953459866</v>
      </c>
      <c r="H338" s="59">
        <f t="shared" si="63"/>
        <v>881.00591593426861</v>
      </c>
      <c r="I338" s="59">
        <f t="shared" si="60"/>
        <v>6660.6213794117175</v>
      </c>
      <c r="J338" s="59">
        <f t="shared" si="64"/>
        <v>63819.851895329761</v>
      </c>
    </row>
    <row r="339" spans="2:10" x14ac:dyDescent="0.3">
      <c r="B339" s="272">
        <f t="shared" si="71"/>
        <v>232</v>
      </c>
      <c r="C339" s="58">
        <f t="shared" si="65"/>
        <v>52022</v>
      </c>
      <c r="D339" s="59">
        <f t="shared" si="66"/>
        <v>63819.851895329761</v>
      </c>
      <c r="E339" s="59">
        <f t="shared" si="70"/>
        <v>7541.6272953459866</v>
      </c>
      <c r="F339" s="273"/>
      <c r="G339" s="59">
        <f t="shared" si="62"/>
        <v>7541.6272953459866</v>
      </c>
      <c r="H339" s="59">
        <f t="shared" si="63"/>
        <v>797.74814869162208</v>
      </c>
      <c r="I339" s="59">
        <f t="shared" si="60"/>
        <v>6743.8791466543644</v>
      </c>
      <c r="J339" s="59">
        <f t="shared" si="64"/>
        <v>57075.972748675398</v>
      </c>
    </row>
    <row r="340" spans="2:10" x14ac:dyDescent="0.3">
      <c r="B340" s="272">
        <f t="shared" si="71"/>
        <v>233</v>
      </c>
      <c r="C340" s="58">
        <f t="shared" si="65"/>
        <v>52052</v>
      </c>
      <c r="D340" s="59">
        <f t="shared" si="66"/>
        <v>57075.972748675398</v>
      </c>
      <c r="E340" s="59">
        <f t="shared" si="70"/>
        <v>7541.6272953459866</v>
      </c>
      <c r="F340" s="273"/>
      <c r="G340" s="59">
        <f t="shared" si="62"/>
        <v>7541.6272953459866</v>
      </c>
      <c r="H340" s="59">
        <f t="shared" si="63"/>
        <v>713.44965935844255</v>
      </c>
      <c r="I340" s="59">
        <f t="shared" si="60"/>
        <v>6828.1776359875439</v>
      </c>
      <c r="J340" s="59">
        <f t="shared" si="64"/>
        <v>50247.795112687854</v>
      </c>
    </row>
    <row r="341" spans="2:10" x14ac:dyDescent="0.3">
      <c r="B341" s="272">
        <f t="shared" si="71"/>
        <v>234</v>
      </c>
      <c r="C341" s="58">
        <f t="shared" si="65"/>
        <v>52083</v>
      </c>
      <c r="D341" s="59">
        <f t="shared" si="66"/>
        <v>50247.795112687854</v>
      </c>
      <c r="E341" s="59">
        <f t="shared" si="70"/>
        <v>7541.6272953459866</v>
      </c>
      <c r="F341" s="273"/>
      <c r="G341" s="59">
        <f t="shared" si="62"/>
        <v>7541.6272953459866</v>
      </c>
      <c r="H341" s="59">
        <f t="shared" si="63"/>
        <v>628.09743890859818</v>
      </c>
      <c r="I341" s="59">
        <f t="shared" si="60"/>
        <v>6913.5298564373879</v>
      </c>
      <c r="J341" s="59">
        <f t="shared" si="64"/>
        <v>43334.265256250466</v>
      </c>
    </row>
    <row r="342" spans="2:10" x14ac:dyDescent="0.3">
      <c r="B342" s="272">
        <f t="shared" ref="B342:B345" si="72">IF(B341&lt;$D$49,B341+1,"")</f>
        <v>235</v>
      </c>
      <c r="C342" s="58">
        <f t="shared" si="65"/>
        <v>52114</v>
      </c>
      <c r="D342" s="59">
        <f t="shared" si="66"/>
        <v>43334.265256250466</v>
      </c>
      <c r="E342" s="59">
        <f t="shared" si="70"/>
        <v>7541.6272953459866</v>
      </c>
      <c r="F342" s="273"/>
      <c r="G342" s="59">
        <f t="shared" si="62"/>
        <v>7541.6272953459866</v>
      </c>
      <c r="H342" s="59">
        <f t="shared" si="63"/>
        <v>541.67831570313081</v>
      </c>
      <c r="I342" s="59">
        <f t="shared" si="60"/>
        <v>6999.9489796428561</v>
      </c>
      <c r="J342" s="59">
        <f t="shared" si="64"/>
        <v>36334.316276607613</v>
      </c>
    </row>
    <row r="343" spans="2:10" x14ac:dyDescent="0.3">
      <c r="B343" s="272">
        <f t="shared" si="72"/>
        <v>236</v>
      </c>
      <c r="C343" s="58">
        <f t="shared" si="65"/>
        <v>52144</v>
      </c>
      <c r="D343" s="59">
        <f t="shared" si="66"/>
        <v>36334.316276607613</v>
      </c>
      <c r="E343" s="59">
        <f t="shared" si="70"/>
        <v>7541.6272953459866</v>
      </c>
      <c r="F343" s="273"/>
      <c r="G343" s="59">
        <f t="shared" si="62"/>
        <v>7541.6272953459866</v>
      </c>
      <c r="H343" s="59">
        <f t="shared" si="63"/>
        <v>454.17895345759518</v>
      </c>
      <c r="I343" s="59">
        <f t="shared" si="60"/>
        <v>7087.448341888391</v>
      </c>
      <c r="J343" s="59">
        <f t="shared" si="64"/>
        <v>29246.867934719223</v>
      </c>
    </row>
    <row r="344" spans="2:10" x14ac:dyDescent="0.3">
      <c r="B344" s="272">
        <f t="shared" si="72"/>
        <v>237</v>
      </c>
      <c r="C344" s="58">
        <f t="shared" si="65"/>
        <v>52175</v>
      </c>
      <c r="D344" s="59">
        <f t="shared" si="66"/>
        <v>29246.867934719223</v>
      </c>
      <c r="E344" s="59">
        <f t="shared" si="70"/>
        <v>7541.6272953459866</v>
      </c>
      <c r="F344" s="273"/>
      <c r="G344" s="59">
        <f t="shared" si="62"/>
        <v>7541.6272953459866</v>
      </c>
      <c r="H344" s="59">
        <f t="shared" si="63"/>
        <v>365.58584918399032</v>
      </c>
      <c r="I344" s="59">
        <f t="shared" si="60"/>
        <v>7176.0414461619966</v>
      </c>
      <c r="J344" s="59">
        <f t="shared" si="64"/>
        <v>22070.826488557228</v>
      </c>
    </row>
    <row r="345" spans="2:10" x14ac:dyDescent="0.3">
      <c r="B345" s="272">
        <f t="shared" si="72"/>
        <v>238</v>
      </c>
      <c r="C345" s="58">
        <f t="shared" si="65"/>
        <v>52205</v>
      </c>
      <c r="D345" s="59">
        <f t="shared" si="66"/>
        <v>22070.826488557228</v>
      </c>
      <c r="E345" s="59">
        <f t="shared" si="70"/>
        <v>7541.6272953459866</v>
      </c>
      <c r="F345" s="273"/>
      <c r="G345" s="59">
        <f t="shared" si="62"/>
        <v>7541.6272953459866</v>
      </c>
      <c r="H345" s="59">
        <f t="shared" si="63"/>
        <v>275.88533110696534</v>
      </c>
      <c r="I345" s="59">
        <f t="shared" si="60"/>
        <v>7265.7419642390214</v>
      </c>
      <c r="J345" s="59">
        <f t="shared" si="64"/>
        <v>14805.084524318207</v>
      </c>
    </row>
    <row r="346" spans="2:10" x14ac:dyDescent="0.3">
      <c r="B346" s="272">
        <f t="shared" ref="B346:B347" si="73">IF(B345&lt;$D$49,B345+1,"")</f>
        <v>239</v>
      </c>
      <c r="C346" s="58">
        <f t="shared" si="65"/>
        <v>52236</v>
      </c>
      <c r="D346" s="59">
        <f t="shared" si="66"/>
        <v>14805.084524318207</v>
      </c>
      <c r="E346" s="59">
        <f t="shared" si="70"/>
        <v>7541.6272953459866</v>
      </c>
      <c r="F346" s="273"/>
      <c r="G346" s="59">
        <f t="shared" si="62"/>
        <v>7541.6272953459866</v>
      </c>
      <c r="H346" s="59">
        <f t="shared" si="63"/>
        <v>185.06355655397761</v>
      </c>
      <c r="I346" s="59">
        <f t="shared" si="60"/>
        <v>7356.5637387920087</v>
      </c>
      <c r="J346" s="59">
        <f t="shared" si="64"/>
        <v>7448.5207855261979</v>
      </c>
    </row>
    <row r="347" spans="2:10" x14ac:dyDescent="0.3">
      <c r="B347" s="272">
        <f t="shared" si="73"/>
        <v>240</v>
      </c>
      <c r="C347" s="58">
        <f t="shared" si="65"/>
        <v>52267</v>
      </c>
      <c r="D347" s="59">
        <f t="shared" si="66"/>
        <v>7448.5207855261979</v>
      </c>
      <c r="E347" s="59">
        <f t="shared" si="70"/>
        <v>7541.6272953459866</v>
      </c>
      <c r="F347" s="273"/>
      <c r="G347" s="59">
        <f t="shared" si="62"/>
        <v>7541.6272953459866</v>
      </c>
      <c r="H347" s="59">
        <f t="shared" si="63"/>
        <v>93.106509819077473</v>
      </c>
      <c r="I347" s="59">
        <f t="shared" si="60"/>
        <v>7448.5207855269091</v>
      </c>
      <c r="J347" s="59">
        <f t="shared" si="64"/>
        <v>-7.1122485678642988E-10</v>
      </c>
    </row>
    <row r="348" spans="2:10" hidden="1" x14ac:dyDescent="0.3">
      <c r="B348" s="179"/>
      <c r="C348" s="313"/>
      <c r="D348" s="314"/>
      <c r="E348" s="99"/>
      <c r="F348" s="99"/>
      <c r="G348" s="99"/>
      <c r="H348" s="314"/>
      <c r="I348" s="99">
        <f>SUBTOTAL(109,Tabla131524361019[ABONO A CAPITAL])</f>
        <v>467451.53264410672</v>
      </c>
      <c r="J348" s="99">
        <f>J287</f>
        <v>317009.22482619586</v>
      </c>
    </row>
    <row r="349" spans="2:10" x14ac:dyDescent="0.3">
      <c r="B349" s="3"/>
      <c r="C349" s="3"/>
      <c r="D349" s="3"/>
      <c r="E349" s="3"/>
      <c r="F349" s="3"/>
      <c r="G349" s="3"/>
      <c r="H349" s="3"/>
      <c r="I349" s="3"/>
      <c r="J349" s="32"/>
    </row>
    <row r="350" spans="2:10" x14ac:dyDescent="0.3">
      <c r="B350" s="3"/>
      <c r="C350" s="3"/>
      <c r="D350" s="3"/>
      <c r="E350" s="3"/>
      <c r="F350" s="3"/>
      <c r="G350" s="3"/>
      <c r="H350" s="3"/>
      <c r="I350" s="3"/>
      <c r="J350" s="32"/>
    </row>
    <row r="351" spans="2:10" x14ac:dyDescent="0.3">
      <c r="B351" s="3"/>
      <c r="C351" s="3"/>
      <c r="D351" s="3"/>
      <c r="E351" s="3"/>
      <c r="F351" s="3"/>
      <c r="G351" s="3"/>
      <c r="H351" s="3"/>
      <c r="I351" s="3"/>
      <c r="J351" s="32"/>
    </row>
    <row r="352" spans="2:10" x14ac:dyDescent="0.3">
      <c r="B352" s="3"/>
      <c r="C352" s="3"/>
      <c r="D352" s="3"/>
      <c r="E352" s="3"/>
      <c r="F352" s="3"/>
      <c r="G352" s="3"/>
      <c r="H352" s="3"/>
      <c r="I352" s="3"/>
      <c r="J352" s="32"/>
    </row>
    <row r="353" spans="2:10" x14ac:dyDescent="0.3">
      <c r="B353" s="3"/>
      <c r="C353" s="3"/>
      <c r="D353" s="3"/>
      <c r="E353" s="3"/>
      <c r="F353" s="3"/>
      <c r="G353" s="3"/>
      <c r="H353" s="3"/>
      <c r="I353" s="3"/>
      <c r="J353" s="32"/>
    </row>
    <row r="354" spans="2:10" x14ac:dyDescent="0.3">
      <c r="B354" s="3"/>
      <c r="C354" s="3"/>
      <c r="D354" s="3"/>
      <c r="E354" s="3"/>
      <c r="F354" s="3"/>
      <c r="G354" s="3"/>
      <c r="H354" s="3"/>
      <c r="I354" s="3"/>
      <c r="J354" s="32"/>
    </row>
    <row r="355" spans="2:10" x14ac:dyDescent="0.3">
      <c r="B355" s="3"/>
      <c r="C355" s="3"/>
      <c r="D355" s="3"/>
      <c r="E355" s="3"/>
      <c r="F355" s="3"/>
      <c r="G355" s="3"/>
      <c r="H355" s="3"/>
      <c r="I355" s="3"/>
      <c r="J355" s="12"/>
    </row>
    <row r="356" spans="2:10" x14ac:dyDescent="0.3">
      <c r="B356" s="3"/>
      <c r="C356" s="3"/>
      <c r="D356" s="3"/>
      <c r="E356" s="3"/>
      <c r="F356" s="3"/>
      <c r="G356" s="3"/>
      <c r="H356" s="3"/>
      <c r="I356" s="3"/>
    </row>
    <row r="357" spans="2:10" x14ac:dyDescent="0.3">
      <c r="B357" s="3"/>
      <c r="C357" s="3"/>
      <c r="D357" s="3"/>
      <c r="E357" s="3"/>
      <c r="F357" s="3"/>
      <c r="G357" s="3"/>
      <c r="H357" s="3"/>
      <c r="I357" s="3"/>
    </row>
    <row r="358" spans="2:10" x14ac:dyDescent="0.3">
      <c r="B358" s="3"/>
      <c r="C358" s="3"/>
      <c r="D358" s="3"/>
      <c r="E358" s="3"/>
      <c r="F358" s="3"/>
      <c r="G358" s="3"/>
      <c r="H358" s="3"/>
      <c r="I358" s="3"/>
    </row>
    <row r="359" spans="2:10" x14ac:dyDescent="0.3">
      <c r="B359" s="3"/>
      <c r="C359" s="3"/>
      <c r="D359" s="3"/>
      <c r="E359" s="3"/>
      <c r="F359" s="3"/>
      <c r="G359" s="3"/>
      <c r="H359" s="3"/>
      <c r="I359" s="3"/>
    </row>
    <row r="360" spans="2:10" x14ac:dyDescent="0.3">
      <c r="B360" s="3"/>
      <c r="C360" s="3"/>
      <c r="D360" s="3"/>
      <c r="E360" s="3"/>
      <c r="F360" s="3"/>
      <c r="G360" s="3"/>
      <c r="H360" s="3"/>
      <c r="I360" s="3"/>
    </row>
    <row r="361" spans="2:10" x14ac:dyDescent="0.3">
      <c r="B361" s="3"/>
      <c r="C361" s="3"/>
      <c r="D361" s="3"/>
      <c r="E361" s="3"/>
      <c r="F361" s="3"/>
      <c r="G361" s="3"/>
      <c r="H361" s="3"/>
      <c r="I361" s="3"/>
    </row>
    <row r="362" spans="2:10" x14ac:dyDescent="0.3">
      <c r="B362" s="3"/>
      <c r="C362" s="3"/>
      <c r="D362" s="3"/>
      <c r="E362" s="3"/>
      <c r="F362" s="3"/>
      <c r="G362" s="3"/>
      <c r="H362" s="3"/>
      <c r="I362" s="3"/>
    </row>
    <row r="363" spans="2:10" x14ac:dyDescent="0.3">
      <c r="B363" s="3"/>
      <c r="C363" s="3"/>
      <c r="D363" s="3"/>
      <c r="E363" s="3"/>
      <c r="F363" s="3"/>
      <c r="G363" s="3"/>
      <c r="H363" s="3"/>
      <c r="I363" s="3"/>
    </row>
    <row r="364" spans="2:10" x14ac:dyDescent="0.3">
      <c r="B364" s="3"/>
      <c r="C364" s="3"/>
      <c r="D364" s="3"/>
      <c r="E364" s="3"/>
      <c r="F364" s="3"/>
      <c r="G364" s="3"/>
      <c r="H364" s="3"/>
      <c r="I364" s="3"/>
    </row>
    <row r="365" spans="2:10" x14ac:dyDescent="0.3">
      <c r="B365" s="3"/>
      <c r="C365" s="3"/>
      <c r="D365" s="3"/>
      <c r="E365" s="3"/>
      <c r="F365" s="3"/>
      <c r="G365" s="3"/>
      <c r="H365" s="3"/>
      <c r="I365" s="3"/>
    </row>
    <row r="366" spans="2:10" x14ac:dyDescent="0.3">
      <c r="B366" s="3"/>
      <c r="C366" s="3"/>
      <c r="D366" s="3"/>
      <c r="E366" s="3"/>
      <c r="F366" s="3"/>
      <c r="G366" s="3"/>
      <c r="H366" s="3"/>
      <c r="I366" s="3"/>
    </row>
    <row r="367" spans="2:10" x14ac:dyDescent="0.3">
      <c r="B367" s="3"/>
      <c r="C367" s="3"/>
      <c r="D367" s="3"/>
      <c r="E367" s="3"/>
      <c r="F367" s="3"/>
      <c r="G367" s="3"/>
      <c r="H367" s="3"/>
      <c r="I367" s="3"/>
    </row>
    <row r="368" spans="2:10" x14ac:dyDescent="0.3">
      <c r="B368" s="3"/>
      <c r="C368" s="3"/>
      <c r="D368" s="3"/>
      <c r="E368" s="3"/>
      <c r="F368" s="3"/>
      <c r="G368" s="3"/>
      <c r="H368" s="3"/>
      <c r="I368" s="3"/>
    </row>
    <row r="369" spans="2:9" x14ac:dyDescent="0.3">
      <c r="B369" s="3"/>
      <c r="C369" s="3"/>
      <c r="D369" s="3"/>
      <c r="E369" s="3"/>
      <c r="F369" s="3"/>
      <c r="G369" s="3"/>
      <c r="H369" s="3"/>
      <c r="I369" s="3"/>
    </row>
    <row r="370" spans="2:9" x14ac:dyDescent="0.3">
      <c r="B370" s="3"/>
      <c r="C370" s="3"/>
      <c r="D370" s="3"/>
      <c r="E370" s="3"/>
      <c r="F370" s="3"/>
      <c r="G370" s="3"/>
      <c r="H370" s="3"/>
      <c r="I370" s="3"/>
    </row>
    <row r="371" spans="2:9" x14ac:dyDescent="0.3">
      <c r="B371" s="3"/>
      <c r="C371" s="3"/>
      <c r="D371" s="3"/>
      <c r="E371" s="3"/>
      <c r="F371" s="3"/>
      <c r="G371" s="3"/>
      <c r="H371" s="3"/>
      <c r="I371" s="3"/>
    </row>
    <row r="372" spans="2:9" x14ac:dyDescent="0.3">
      <c r="B372" s="3"/>
      <c r="C372" s="3"/>
      <c r="D372" s="3"/>
      <c r="E372" s="3"/>
      <c r="F372" s="3"/>
      <c r="G372" s="3"/>
      <c r="H372" s="3"/>
      <c r="I372" s="3"/>
    </row>
    <row r="373" spans="2:9" x14ac:dyDescent="0.3">
      <c r="B373" s="3"/>
      <c r="C373" s="3"/>
      <c r="D373" s="3"/>
      <c r="E373" s="3"/>
      <c r="F373" s="3"/>
      <c r="G373" s="3"/>
      <c r="H373" s="3"/>
      <c r="I373" s="3"/>
    </row>
    <row r="374" spans="2:9" x14ac:dyDescent="0.3">
      <c r="B374" s="3"/>
      <c r="C374" s="3"/>
      <c r="D374" s="3"/>
      <c r="E374" s="3"/>
      <c r="F374" s="3"/>
      <c r="G374" s="3"/>
      <c r="H374" s="3"/>
      <c r="I374" s="3"/>
    </row>
    <row r="375" spans="2:9" x14ac:dyDescent="0.3">
      <c r="B375" s="3"/>
      <c r="C375" s="3"/>
      <c r="D375" s="3"/>
      <c r="E375" s="3"/>
      <c r="F375" s="3"/>
      <c r="G375" s="3"/>
      <c r="H375" s="3"/>
      <c r="I375" s="3"/>
    </row>
    <row r="376" spans="2:9" x14ac:dyDescent="0.3">
      <c r="B376" s="3"/>
      <c r="C376" s="3"/>
      <c r="D376" s="3"/>
      <c r="E376" s="3"/>
      <c r="F376" s="3"/>
      <c r="G376" s="3"/>
      <c r="H376" s="3"/>
      <c r="I376" s="3"/>
    </row>
    <row r="377" spans="2:9" x14ac:dyDescent="0.3">
      <c r="B377" s="3"/>
      <c r="C377" s="3"/>
      <c r="D377" s="3"/>
      <c r="E377" s="3"/>
      <c r="F377" s="3"/>
      <c r="G377" s="3"/>
      <c r="H377" s="3"/>
      <c r="I377" s="3"/>
    </row>
    <row r="378" spans="2:9" x14ac:dyDescent="0.3">
      <c r="B378" s="3"/>
      <c r="C378" s="3"/>
      <c r="D378" s="3"/>
      <c r="E378" s="3"/>
      <c r="F378" s="3"/>
      <c r="G378" s="3"/>
      <c r="H378" s="3"/>
      <c r="I378" s="3"/>
    </row>
    <row r="379" spans="2:9" x14ac:dyDescent="0.3">
      <c r="B379" s="3"/>
      <c r="C379" s="3"/>
      <c r="D379" s="3"/>
      <c r="E379" s="3"/>
      <c r="F379" s="3"/>
      <c r="G379" s="3"/>
      <c r="H379" s="3"/>
      <c r="I379" s="3"/>
    </row>
    <row r="380" spans="2:9" x14ac:dyDescent="0.3">
      <c r="B380" s="3"/>
      <c r="C380" s="3"/>
      <c r="D380" s="3"/>
      <c r="E380" s="3"/>
      <c r="F380" s="3"/>
      <c r="G380" s="3"/>
      <c r="H380" s="3"/>
      <c r="I380" s="3"/>
    </row>
    <row r="381" spans="2:9" x14ac:dyDescent="0.3">
      <c r="B381" s="3"/>
      <c r="C381" s="3"/>
      <c r="D381" s="3"/>
      <c r="E381" s="3"/>
      <c r="F381" s="3"/>
      <c r="G381" s="3"/>
      <c r="H381" s="3"/>
      <c r="I381" s="3"/>
    </row>
    <row r="382" spans="2:9" x14ac:dyDescent="0.3">
      <c r="B382" s="3"/>
      <c r="C382" s="3"/>
      <c r="D382" s="3"/>
      <c r="E382" s="3"/>
      <c r="F382" s="3"/>
      <c r="G382" s="3"/>
      <c r="H382" s="3"/>
      <c r="I382" s="3"/>
    </row>
    <row r="383" spans="2:9" x14ac:dyDescent="0.3">
      <c r="B383" s="3"/>
      <c r="C383" s="3"/>
      <c r="D383" s="3"/>
      <c r="E383" s="3"/>
      <c r="F383" s="3"/>
      <c r="G383" s="3"/>
      <c r="H383" s="3"/>
      <c r="I383" s="3"/>
    </row>
    <row r="384" spans="2:9" x14ac:dyDescent="0.3">
      <c r="B384" s="3"/>
      <c r="C384" s="3"/>
      <c r="D384" s="3"/>
      <c r="E384" s="3"/>
      <c r="F384" s="3"/>
      <c r="G384" s="3"/>
      <c r="H384" s="3"/>
      <c r="I384" s="3"/>
    </row>
    <row r="385" spans="2:9" x14ac:dyDescent="0.3">
      <c r="B385" s="3"/>
      <c r="C385" s="3"/>
      <c r="D385" s="3"/>
      <c r="E385" s="3"/>
      <c r="F385" s="3"/>
      <c r="G385" s="3"/>
      <c r="H385" s="3"/>
      <c r="I385" s="3"/>
    </row>
    <row r="386" spans="2:9" x14ac:dyDescent="0.3">
      <c r="B386" s="3"/>
      <c r="C386" s="3"/>
      <c r="D386" s="3"/>
      <c r="E386" s="3"/>
      <c r="F386" s="3"/>
      <c r="G386" s="3"/>
      <c r="H386" s="3"/>
      <c r="I386" s="3"/>
    </row>
    <row r="387" spans="2:9" x14ac:dyDescent="0.3">
      <c r="B387" s="3"/>
      <c r="C387" s="3"/>
      <c r="D387" s="3"/>
      <c r="E387" s="3"/>
      <c r="F387" s="3"/>
      <c r="G387" s="3"/>
      <c r="H387" s="3"/>
      <c r="I387" s="3"/>
    </row>
    <row r="388" spans="2:9" x14ac:dyDescent="0.3">
      <c r="B388" s="3"/>
      <c r="C388" s="3"/>
      <c r="D388" s="3"/>
      <c r="E388" s="3"/>
      <c r="F388" s="3"/>
      <c r="G388" s="3"/>
      <c r="H388" s="3"/>
      <c r="I388" s="3"/>
    </row>
    <row r="389" spans="2:9" x14ac:dyDescent="0.3">
      <c r="B389" s="3"/>
      <c r="C389" s="3"/>
      <c r="D389" s="3"/>
      <c r="E389" s="3"/>
      <c r="F389" s="3"/>
      <c r="G389" s="3"/>
      <c r="H389" s="3"/>
      <c r="I389" s="3"/>
    </row>
    <row r="390" spans="2:9" x14ac:dyDescent="0.3">
      <c r="B390" s="3"/>
      <c r="C390" s="3"/>
      <c r="D390" s="3"/>
      <c r="E390" s="3"/>
      <c r="F390" s="3"/>
      <c r="G390" s="3"/>
      <c r="H390" s="3"/>
      <c r="I390" s="3"/>
    </row>
    <row r="391" spans="2:9" x14ac:dyDescent="0.3">
      <c r="B391" s="3"/>
      <c r="C391" s="3"/>
      <c r="D391" s="3"/>
      <c r="E391" s="3"/>
      <c r="F391" s="3"/>
      <c r="G391" s="3"/>
      <c r="H391" s="3"/>
      <c r="I391" s="3"/>
    </row>
    <row r="392" spans="2:9" x14ac:dyDescent="0.3">
      <c r="B392" s="3"/>
      <c r="C392" s="3"/>
      <c r="D392" s="3"/>
      <c r="E392" s="3"/>
      <c r="F392" s="3"/>
      <c r="G392" s="3"/>
      <c r="H392" s="3"/>
      <c r="I392" s="3"/>
    </row>
    <row r="393" spans="2:9" x14ac:dyDescent="0.3">
      <c r="B393" s="3"/>
      <c r="C393" s="3"/>
      <c r="D393" s="3"/>
      <c r="E393" s="3"/>
      <c r="F393" s="3"/>
      <c r="G393" s="3"/>
      <c r="H393" s="3"/>
      <c r="I393" s="3"/>
    </row>
    <row r="394" spans="2:9" x14ac:dyDescent="0.3">
      <c r="B394" s="3"/>
      <c r="C394" s="3"/>
      <c r="D394" s="3"/>
      <c r="E394" s="3"/>
      <c r="F394" s="3"/>
      <c r="G394" s="3"/>
      <c r="H394" s="3"/>
      <c r="I394" s="3"/>
    </row>
    <row r="395" spans="2:9" x14ac:dyDescent="0.3">
      <c r="B395" s="3"/>
      <c r="C395" s="3"/>
      <c r="D395" s="3"/>
      <c r="E395" s="3"/>
      <c r="F395" s="3"/>
      <c r="G395" s="3"/>
      <c r="H395" s="3"/>
      <c r="I395" s="3"/>
    </row>
    <row r="396" spans="2:9" x14ac:dyDescent="0.3">
      <c r="B396" s="3"/>
      <c r="C396" s="3"/>
      <c r="D396" s="3"/>
      <c r="E396" s="3"/>
      <c r="F396" s="3"/>
      <c r="G396" s="3"/>
      <c r="H396" s="3"/>
      <c r="I396" s="3"/>
    </row>
    <row r="397" spans="2:9" x14ac:dyDescent="0.3">
      <c r="B397" s="3"/>
      <c r="C397" s="3"/>
      <c r="D397" s="3"/>
      <c r="E397" s="3"/>
      <c r="F397" s="3"/>
      <c r="G397" s="3"/>
      <c r="H397" s="3"/>
      <c r="I397" s="3"/>
    </row>
  </sheetData>
  <sheetProtection algorithmName="SHA-512" hashValue="86DMq8pReQ8acQZ9czOC6FeT3U7sht0IkDRaVs8JuN5ghHGv9l+tIXwK1OQ5yvcc7hUr8r5EA1iSbP6/09NM6Q==" saltValue="upuu4gGGoHjsr3pPbmaGsQ==" spinCount="100000" sheet="1" formatCells="0" formatColumns="0" formatRows="0" sort="0" autoFilter="0" pivotTables="0"/>
  <mergeCells count="13">
    <mergeCell ref="B38:F39"/>
    <mergeCell ref="B43:J43"/>
    <mergeCell ref="L11:N11"/>
    <mergeCell ref="C1:H1"/>
    <mergeCell ref="I2:J2"/>
    <mergeCell ref="I3:J3"/>
    <mergeCell ref="H42:I42"/>
    <mergeCell ref="B41:J41"/>
    <mergeCell ref="B40:J40"/>
    <mergeCell ref="A1:B5"/>
    <mergeCell ref="D2:F2"/>
    <mergeCell ref="I1:J1"/>
    <mergeCell ref="H23:I23"/>
  </mergeCells>
  <phoneticPr fontId="47" type="noConversion"/>
  <conditionalFormatting sqref="B17:B18">
    <cfRule type="containsErrors" dxfId="137" priority="45">
      <formula>ISERROR(B17)</formula>
    </cfRule>
  </conditionalFormatting>
  <conditionalFormatting sqref="B28:B29 D29 B31:B36 D31:D37">
    <cfRule type="expression" dxfId="136" priority="5">
      <formula>ISERROR(B28)</formula>
    </cfRule>
  </conditionalFormatting>
  <conditionalFormatting sqref="B44">
    <cfRule type="expression" dxfId="135" priority="21">
      <formula>ISERROR(A53)</formula>
    </cfRule>
  </conditionalFormatting>
  <conditionalFormatting sqref="B56:B103">
    <cfRule type="containsText" dxfId="134" priority="23" operator="containsText" text="FALSO">
      <formula>NOT(ISERROR(SEARCH("FALSO",B56)))</formula>
    </cfRule>
  </conditionalFormatting>
  <conditionalFormatting sqref="B106 B217">
    <cfRule type="expression" dxfId="133" priority="255">
      <formula>ISERROR(B116)</formula>
    </cfRule>
  </conditionalFormatting>
  <conditionalFormatting sqref="B116:B212">
    <cfRule type="containsText" dxfId="132" priority="14" operator="containsText" text="FALSO">
      <formula>NOT(ISERROR(SEARCH("FALSO",B116)))</formula>
    </cfRule>
    <cfRule type="containsErrors" dxfId="131" priority="15">
      <formula>ISERROR(B116)</formula>
    </cfRule>
  </conditionalFormatting>
  <conditionalFormatting sqref="B226">
    <cfRule type="containsErrors" dxfId="130" priority="13">
      <formula>ISERROR(B226)</formula>
    </cfRule>
  </conditionalFormatting>
  <conditionalFormatting sqref="B226:B347">
    <cfRule type="containsText" dxfId="129" priority="10" operator="containsText" text="FALSO">
      <formula>NOT(ISERROR(SEARCH("FALSO",B226)))</formula>
    </cfRule>
  </conditionalFormatting>
  <conditionalFormatting sqref="B227:B347">
    <cfRule type="containsErrors" dxfId="128" priority="11">
      <formula>ISERROR(B227)</formula>
    </cfRule>
  </conditionalFormatting>
  <conditionalFormatting sqref="B19:C23">
    <cfRule type="containsErrors" dxfId="127" priority="46">
      <formula>ISERROR(B19)</formula>
    </cfRule>
  </conditionalFormatting>
  <conditionalFormatting sqref="B115:J115 B212 D212:J212 A213:A214 C213:J214">
    <cfRule type="containsErrors" dxfId="126" priority="121">
      <formula>ISERROR(A115)</formula>
    </cfRule>
  </conditionalFormatting>
  <conditionalFormatting sqref="B115:J115 D212:J212 A213:A214 C213:J214">
    <cfRule type="containsText" dxfId="125" priority="120" operator="containsText" text="FALSO">
      <formula>NOT(ISERROR(SEARCH("FALSO",A115)))</formula>
    </cfRule>
  </conditionalFormatting>
  <conditionalFormatting sqref="C1:C3">
    <cfRule type="containsErrors" dxfId="124" priority="106">
      <formula>ISERROR(C1)</formula>
    </cfRule>
  </conditionalFormatting>
  <conditionalFormatting sqref="C5">
    <cfRule type="containsErrors" dxfId="123" priority="59">
      <formula>ISERROR(C5)</formula>
    </cfRule>
  </conditionalFormatting>
  <conditionalFormatting sqref="C228:C347">
    <cfRule type="containsText" dxfId="122" priority="25" operator="containsText" text="FALSO">
      <formula>NOT(ISERROR(SEARCH("FALSO",C228)))</formula>
    </cfRule>
  </conditionalFormatting>
  <conditionalFormatting sqref="D2:D3">
    <cfRule type="containsErrors" dxfId="121" priority="100">
      <formula>ISERROR(D2)</formula>
    </cfRule>
  </conditionalFormatting>
  <conditionalFormatting sqref="D8:D10">
    <cfRule type="expression" dxfId="120" priority="29">
      <formula>ISERROR(D51)</formula>
    </cfRule>
  </conditionalFormatting>
  <conditionalFormatting sqref="D35:D37">
    <cfRule type="containsErrors" dxfId="119" priority="2">
      <formula>ISERROR(D35)</formula>
    </cfRule>
  </conditionalFormatting>
  <conditionalFormatting sqref="D117:D211">
    <cfRule type="containsText" dxfId="118" priority="22" operator="containsText" text="FALSO">
      <formula>NOT(ISERROR(SEARCH("FALSO",D117)))</formula>
    </cfRule>
  </conditionalFormatting>
  <conditionalFormatting sqref="E56:E104 D105:D114 E115:E211">
    <cfRule type="containsText" dxfId="117" priority="28" operator="containsText" text="FALSO">
      <formula>NOT(ISERROR(SEARCH("FALSO",D56)))</formula>
    </cfRule>
  </conditionalFormatting>
  <conditionalFormatting sqref="E228:E347">
    <cfRule type="containsText" dxfId="116" priority="27" operator="containsText" text="FALSO">
      <formula>NOT(ISERROR(SEARCH("FALSO",E228)))</formula>
    </cfRule>
  </conditionalFormatting>
  <conditionalFormatting sqref="F4:F5">
    <cfRule type="containsErrors" dxfId="115" priority="112">
      <formula>ISERROR(F4)</formula>
    </cfRule>
  </conditionalFormatting>
  <conditionalFormatting sqref="G17:G22">
    <cfRule type="containsErrors" dxfId="114" priority="111">
      <formula>ISERROR(G17)</formula>
    </cfRule>
  </conditionalFormatting>
  <conditionalFormatting sqref="G2:H2 I2:I3 B6:B10 I7 C7:C9 C11 C12:E12 E13 C14:E15 C16:H16 D18:E23 J19:J23 B24 A40 G42 L45:XFD46 C45:J54 S47:XFD128 B55:J104 A105:J105 B106:J106 C107:J114 B115:J115 L129:XFD1048576 D212:J212 A213:A214 C213:J214 A215:J216 B217:J217 C218:J225 B226:J226 C227:J347 B288:J291 A289:A1048576 B293:J297 B299:J306 B308:J312 B314:J327 B329:J341 B343:J345 B347:J1048576">
    <cfRule type="containsErrors" dxfId="113" priority="125">
      <formula>ISERROR(A2)</formula>
    </cfRule>
  </conditionalFormatting>
  <conditionalFormatting sqref="H3">
    <cfRule type="containsErrors" dxfId="112" priority="102">
      <formula>ISERROR(H3)</formula>
    </cfRule>
  </conditionalFormatting>
  <conditionalFormatting sqref="H7:H15">
    <cfRule type="containsErrors" dxfId="111" priority="71">
      <formula>ISERROR(H7)</formula>
    </cfRule>
  </conditionalFormatting>
  <conditionalFormatting sqref="H17">
    <cfRule type="containsErrors" dxfId="110" priority="54">
      <formula>ISERROR(H17)</formula>
    </cfRule>
  </conditionalFormatting>
  <conditionalFormatting sqref="H19:H23 H20:I22">
    <cfRule type="containsErrors" dxfId="109" priority="56">
      <formula>ISERROR(H19)</formula>
    </cfRule>
  </conditionalFormatting>
  <conditionalFormatting sqref="H5:I6">
    <cfRule type="containsErrors" dxfId="108" priority="61">
      <formula>ISERROR(H5)</formula>
    </cfRule>
  </conditionalFormatting>
  <conditionalFormatting sqref="I10">
    <cfRule type="cellIs" dxfId="107" priority="30" operator="equal">
      <formula>0</formula>
    </cfRule>
    <cfRule type="cellIs" dxfId="106" priority="31" operator="lessThan">
      <formula>0.0001</formula>
    </cfRule>
    <cfRule type="containsErrors" dxfId="105" priority="32">
      <formula>ISERROR(I10)</formula>
    </cfRule>
  </conditionalFormatting>
  <conditionalFormatting sqref="I12:I15">
    <cfRule type="cellIs" dxfId="104" priority="34" operator="equal">
      <formula>0</formula>
    </cfRule>
    <cfRule type="cellIs" dxfId="103" priority="35" operator="lessThan">
      <formula>0.0001</formula>
    </cfRule>
    <cfRule type="containsErrors" dxfId="102" priority="36">
      <formula>ISERROR(I12)</formula>
    </cfRule>
  </conditionalFormatting>
  <conditionalFormatting sqref="I18:I22">
    <cfRule type="containsErrors" dxfId="101" priority="55">
      <formula>ISERROR(I18)</formula>
    </cfRule>
  </conditionalFormatting>
  <conditionalFormatting sqref="J17">
    <cfRule type="containsErrors" dxfId="100" priority="53">
      <formula>ISERROR(J17)</formula>
    </cfRule>
  </conditionalFormatting>
  <conditionalFormatting sqref="J29">
    <cfRule type="containsBlanks" dxfId="99" priority="1">
      <formula>LEN(TRIM(J29))=0</formula>
    </cfRule>
    <cfRule type="containsErrors" dxfId="98" priority="8">
      <formula>ISERROR(J29)</formula>
    </cfRule>
  </conditionalFormatting>
  <conditionalFormatting sqref="J31:J34">
    <cfRule type="containsErrors" dxfId="97" priority="7">
      <formula>ISERROR(J31)</formula>
    </cfRule>
  </conditionalFormatting>
  <conditionalFormatting sqref="L9:L10">
    <cfRule type="containsErrors" dxfId="96" priority="70">
      <formula>ISERROR(L9)</formula>
    </cfRule>
  </conditionalFormatting>
  <conditionalFormatting sqref="L12:L13">
    <cfRule type="containsErrors" dxfId="95" priority="18">
      <formula>ISERROR(L12)</formula>
    </cfRule>
  </conditionalFormatting>
  <dataValidations xWindow="444" yWindow="393" count="5">
    <dataValidation allowBlank="1" showInputMessage="1" showErrorMessage="1" promptTitle="PAGO DE MENSUALIDAD" prompt="*Si aparta del 1 al  5 de mes 1ra mensualidad es el mes siguiente._x000a_*Si apartadel 6  al 31 de mes 1ra mensualidad es hasta el mes entrante._x000a_Ejemplo:_x000a_ Apartado 1 al 5 de Junio_x000a_    Mensualidad 1 de Julio_x000a_Apartado 6 al 31 de Junio _x000a_    Mensualidad 1 de Agosto" sqref="C56" xr:uid="{00000000-0002-0000-0100-000000000000}"/>
    <dataValidation allowBlank="1" showInputMessage="1" showErrorMessage="1" promptTitle="DESCUENTO ENGANCHE" prompt="Colocar % de Descuento en base a promoción vigente." sqref="J11" xr:uid="{584D823C-1522-4807-A4F4-342EF51CEEAA}"/>
    <dataValidation type="list" allowBlank="1" showInputMessage="1" showErrorMessage="1" sqref="D7" xr:uid="{07946AC8-10CB-4550-BD15-0402DC2B06D2}">
      <formula1>INDIRECT($D$6)</formula1>
    </dataValidation>
    <dataValidation type="decimal" errorStyle="information" operator="equal" allowBlank="1" showInputMessage="1" showErrorMessage="1" errorTitle="ERROR" sqref="E17" xr:uid="{1C30E4A6-16EF-46A2-8665-A4865E8EA8AF}">
      <formula1>E17</formula1>
    </dataValidation>
    <dataValidation type="list" allowBlank="1" showInputMessage="1" showErrorMessage="1" sqref="D18" xr:uid="{C2E8503A-1A19-4563-B04D-488FE3AAD83D}">
      <formula1>INDIRECT($D$7)</formula1>
    </dataValidation>
  </dataValidations>
  <pageMargins left="0.70866141732283472" right="0.70866141732283472" top="1.5354330708661419" bottom="0.94488188976377963" header="0.31496062992125984" footer="0.31496062992125984"/>
  <pageSetup scale="38" orientation="portrait" r:id="rId1"/>
  <headerFooter scaleWithDoc="0">
    <oddHeader>&amp;C&amp;G</oddHeader>
    <oddFooter>&amp;C&amp;G</oddFooter>
  </headerFooter>
  <rowBreaks count="4" manualBreakCount="4">
    <brk id="103" max="10" man="1"/>
    <brk id="104" max="10" man="1"/>
    <brk id="216" max="10" man="1"/>
    <brk id="347" max="10" man="1"/>
  </rowBreaks>
  <drawing r:id="rId2"/>
  <legacyDrawing r:id="rId3"/>
  <legacyDrawingHF r:id="rId4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xWindow="444" yWindow="393" count="4">
        <x14:dataValidation type="list" allowBlank="1" showInputMessage="1" showErrorMessage="1" xr:uid="{9E49FA7B-69CA-41AD-BB75-13741E1078FC}">
          <x14:formula1>
            <xm:f>DATOS!$I$7:$I$9</xm:f>
          </x14:formula1>
          <xm:sqref>D6</xm:sqref>
        </x14:dataValidation>
        <x14:dataValidation type="list" allowBlank="1" showInputMessage="1" showErrorMessage="1" xr:uid="{EAD48505-F01D-4146-BA67-D93F38A234DD}">
          <x14:formula1>
            <xm:f>DATOS!$N$7:$N$8</xm:f>
          </x14:formula1>
          <xm:sqref>D10</xm:sqref>
        </x14:dataValidation>
        <x14:dataValidation type="list" allowBlank="1" showInputMessage="1" showErrorMessage="1" xr:uid="{5F40B50F-8E02-40AD-BB7A-4A6CFE0F74CD}">
          <x14:formula1>
            <xm:f>DATOS!$R$33:$R$34</xm:f>
          </x14:formula1>
          <xm:sqref>G29</xm:sqref>
        </x14:dataValidation>
        <x14:dataValidation type="list" allowBlank="1" showInputMessage="1" showErrorMessage="1" xr:uid="{6EFDD11A-2276-459A-8D8D-D5B5CEA72C78}">
          <x14:formula1>
            <xm:f>DATOS!$R$33:$R$35</xm:f>
          </x14:formula1>
          <xm:sqref>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V95"/>
  <sheetViews>
    <sheetView showGridLines="0" zoomScale="73" zoomScaleNormal="73" zoomScaleSheetLayoutView="73" zoomScalePageLayoutView="53" workbookViewId="0">
      <selection activeCell="B7" sqref="B7:AU7"/>
    </sheetView>
  </sheetViews>
  <sheetFormatPr baseColWidth="10" defaultColWidth="11" defaultRowHeight="16.5" outlineLevelRow="1" x14ac:dyDescent="0.3"/>
  <cols>
    <col min="1" max="1" width="3.875" style="9" customWidth="1"/>
    <col min="2" max="2" width="6.75" style="9" customWidth="1"/>
    <col min="3" max="3" width="3.75" style="9" customWidth="1"/>
    <col min="4" max="4" width="3.125" style="9" customWidth="1"/>
    <col min="5" max="5" width="4.625" style="9" customWidth="1"/>
    <col min="6" max="6" width="4.125" style="9" customWidth="1"/>
    <col min="7" max="7" width="3.125" style="9" customWidth="1"/>
    <col min="8" max="8" width="4.125" style="9" customWidth="1"/>
    <col min="9" max="9" width="4.375" style="9" customWidth="1"/>
    <col min="10" max="10" width="6.125" style="9" customWidth="1"/>
    <col min="11" max="11" width="4.5" style="9" customWidth="1"/>
    <col min="12" max="12" width="7.25" style="9" customWidth="1"/>
    <col min="13" max="14" width="3.125" style="9" customWidth="1"/>
    <col min="15" max="15" width="3.625" style="9" customWidth="1"/>
    <col min="16" max="16" width="14" style="9" customWidth="1"/>
    <col min="17" max="18" width="4.375" style="9" customWidth="1"/>
    <col min="19" max="23" width="3.125" style="9" customWidth="1"/>
    <col min="24" max="24" width="6.375" style="9" customWidth="1"/>
    <col min="25" max="25" width="3.125" style="9" customWidth="1"/>
    <col min="26" max="26" width="5.375" style="9" customWidth="1"/>
    <col min="27" max="27" width="11.625" style="9" customWidth="1"/>
    <col min="28" max="29" width="3.125" style="9" customWidth="1"/>
    <col min="30" max="30" width="4.375" style="9" customWidth="1"/>
    <col min="31" max="31" width="6.375" style="9" customWidth="1"/>
    <col min="32" max="35" width="3.125" style="9" customWidth="1"/>
    <col min="36" max="36" width="5" style="9" customWidth="1"/>
    <col min="37" max="37" width="4.125" style="9" customWidth="1"/>
    <col min="38" max="38" width="8.125" style="9" customWidth="1"/>
    <col min="39" max="45" width="3.125" style="9" customWidth="1"/>
    <col min="46" max="46" width="3.5" style="9" customWidth="1"/>
    <col min="47" max="47" width="1.875" style="9" customWidth="1"/>
    <col min="48" max="48" width="4.5" style="9" customWidth="1"/>
    <col min="49" max="16384" width="11" style="9"/>
  </cols>
  <sheetData>
    <row r="2" spans="2:48" s="17" customFormat="1" ht="27.75" customHeight="1" thickBot="1" x14ac:dyDescent="0.35">
      <c r="B2" s="23" t="s">
        <v>239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68"/>
      <c r="U2" s="268"/>
      <c r="V2" s="22"/>
      <c r="W2" s="22"/>
      <c r="X2" s="22"/>
      <c r="Y2" s="22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</row>
    <row r="3" spans="2:48" ht="27.75" customHeight="1" thickBot="1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68"/>
      <c r="U3" s="268"/>
      <c r="V3" s="22"/>
      <c r="W3" s="22"/>
      <c r="X3" s="22"/>
      <c r="Y3" s="22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17"/>
    </row>
    <row r="4" spans="2:48" ht="27.75" customHeight="1" thickBot="1" x14ac:dyDescent="0.35">
      <c r="B4" s="491" t="s">
        <v>227</v>
      </c>
      <c r="C4" s="491"/>
      <c r="D4" s="491"/>
      <c r="E4" s="491"/>
      <c r="F4" s="491"/>
      <c r="G4" s="491"/>
      <c r="H4" s="488" t="s">
        <v>228</v>
      </c>
      <c r="I4" s="489"/>
      <c r="J4" s="489"/>
      <c r="K4" s="489"/>
      <c r="L4" s="489"/>
      <c r="M4" s="489"/>
      <c r="N4" s="489"/>
      <c r="O4" s="490"/>
      <c r="P4" s="23"/>
      <c r="Q4" s="23"/>
      <c r="R4" s="23"/>
      <c r="S4" s="23"/>
      <c r="T4" s="268"/>
      <c r="U4" s="268"/>
      <c r="V4" s="22"/>
      <c r="W4" s="22"/>
      <c r="X4" s="22"/>
      <c r="Y4" s="22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17"/>
    </row>
    <row r="5" spans="2:48" s="10" customFormat="1" ht="27.75" customHeight="1" thickBot="1" x14ac:dyDescent="0.35">
      <c r="B5" s="492" t="s">
        <v>85</v>
      </c>
      <c r="C5" s="492"/>
      <c r="D5" s="492"/>
      <c r="E5" s="492"/>
      <c r="F5" s="492"/>
      <c r="G5" s="492"/>
      <c r="H5" s="493"/>
      <c r="I5" s="494"/>
      <c r="J5" s="494"/>
      <c r="K5" s="494"/>
      <c r="L5" s="494"/>
      <c r="M5" s="494"/>
      <c r="N5" s="494"/>
      <c r="O5" s="495"/>
      <c r="P5" s="23"/>
      <c r="Q5" s="23"/>
      <c r="R5" s="23"/>
      <c r="S5" s="23"/>
      <c r="T5" s="269"/>
      <c r="U5" s="269"/>
      <c r="V5" s="22"/>
      <c r="W5" s="22"/>
      <c r="X5" s="22"/>
      <c r="Y5" s="22"/>
      <c r="Z5" s="22"/>
      <c r="AA5" s="254"/>
      <c r="AB5" s="22"/>
      <c r="AC5" s="21"/>
      <c r="AD5" s="22"/>
      <c r="AE5" s="211"/>
      <c r="AF5" s="22"/>
      <c r="AG5" s="22"/>
      <c r="AH5" s="22"/>
      <c r="AI5" s="22"/>
      <c r="AJ5" s="22"/>
      <c r="AK5" s="22"/>
      <c r="AL5" s="22"/>
      <c r="AM5" s="22"/>
      <c r="AN5" s="211"/>
      <c r="AO5" s="211"/>
      <c r="AP5" s="211"/>
      <c r="AQ5" s="22"/>
      <c r="AR5" s="22"/>
      <c r="AS5" s="367"/>
      <c r="AT5" s="368"/>
      <c r="AU5" s="369"/>
      <c r="AV5" s="211"/>
    </row>
    <row r="6" spans="2:48" s="10" customFormat="1" ht="11.25" customHeight="1" thickBot="1" x14ac:dyDescent="0.35">
      <c r="B6" s="216"/>
      <c r="C6" s="216"/>
      <c r="D6" s="216"/>
      <c r="E6" s="216"/>
      <c r="F6" s="216"/>
      <c r="G6" s="216"/>
      <c r="H6" s="217"/>
      <c r="I6" s="217"/>
      <c r="J6" s="217"/>
      <c r="K6" s="217"/>
      <c r="L6" s="217"/>
      <c r="M6" s="217"/>
      <c r="N6" s="217"/>
      <c r="O6" s="217"/>
      <c r="P6" s="23"/>
      <c r="Q6" s="23"/>
      <c r="R6" s="23"/>
      <c r="S6" s="23"/>
      <c r="T6" s="269"/>
      <c r="U6" s="269"/>
      <c r="V6" s="22"/>
      <c r="W6" s="22"/>
      <c r="X6" s="22"/>
      <c r="Y6" s="22"/>
      <c r="Z6" s="22"/>
      <c r="AA6" s="254"/>
      <c r="AB6" s="22"/>
      <c r="AC6" s="21"/>
      <c r="AD6" s="22"/>
      <c r="AE6" s="211"/>
      <c r="AF6" s="22"/>
      <c r="AG6" s="22"/>
      <c r="AH6" s="22"/>
      <c r="AI6" s="22"/>
      <c r="AJ6" s="22"/>
      <c r="AK6" s="22"/>
      <c r="AL6" s="22"/>
      <c r="AM6" s="22"/>
      <c r="AN6" s="211"/>
      <c r="AO6" s="211"/>
      <c r="AP6" s="211"/>
      <c r="AQ6" s="22"/>
      <c r="AR6" s="22"/>
      <c r="AS6" s="212"/>
      <c r="AT6" s="212"/>
      <c r="AU6" s="213"/>
      <c r="AV6" s="211"/>
    </row>
    <row r="7" spans="2:48" s="11" customFormat="1" ht="26.1" customHeight="1" thickBot="1" x14ac:dyDescent="0.35">
      <c r="B7" s="445" t="s">
        <v>80</v>
      </c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7"/>
    </row>
    <row r="8" spans="2:48" ht="24" hidden="1" customHeight="1" outlineLevel="1" thickBot="1" x14ac:dyDescent="0.35">
      <c r="B8" s="464" t="s">
        <v>38</v>
      </c>
      <c r="C8" s="464"/>
      <c r="D8" s="464"/>
      <c r="E8" s="464"/>
      <c r="F8" s="464"/>
      <c r="G8" s="464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462"/>
      <c r="U8" s="462"/>
      <c r="V8" s="462"/>
      <c r="W8" s="462"/>
      <c r="X8" s="462"/>
      <c r="Y8" s="462"/>
      <c r="Z8" s="462"/>
      <c r="AA8" s="462"/>
      <c r="AB8" s="462"/>
      <c r="AC8" s="462"/>
      <c r="AD8" s="270"/>
      <c r="AE8" s="20" t="s">
        <v>39</v>
      </c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</row>
    <row r="9" spans="2:48" ht="24" hidden="1" customHeight="1" outlineLevel="1" thickBot="1" x14ac:dyDescent="0.35">
      <c r="B9" s="465" t="s">
        <v>40</v>
      </c>
      <c r="C9" s="465"/>
      <c r="D9" s="465"/>
      <c r="E9" s="465"/>
      <c r="F9" s="465"/>
      <c r="G9" s="465"/>
      <c r="H9" s="468"/>
      <c r="I9" s="468"/>
      <c r="J9" s="468"/>
      <c r="K9" s="468"/>
      <c r="L9" s="468"/>
      <c r="M9" s="468"/>
      <c r="N9" s="468"/>
      <c r="O9" s="468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468"/>
      <c r="AF9" s="468"/>
      <c r="AG9" s="468"/>
      <c r="AH9" s="468"/>
      <c r="AI9" s="468"/>
      <c r="AJ9" s="468"/>
      <c r="AK9" s="468"/>
      <c r="AL9" s="468"/>
      <c r="AM9" s="468"/>
      <c r="AN9" s="468"/>
      <c r="AO9" s="468"/>
      <c r="AP9" s="468"/>
      <c r="AQ9" s="468"/>
      <c r="AR9" s="468"/>
      <c r="AS9" s="468"/>
      <c r="AT9" s="468"/>
      <c r="AU9" s="468"/>
    </row>
    <row r="10" spans="2:48" ht="24" hidden="1" customHeight="1" outlineLevel="1" thickBot="1" x14ac:dyDescent="0.35">
      <c r="B10" s="465" t="s">
        <v>41</v>
      </c>
      <c r="C10" s="465"/>
      <c r="D10" s="465"/>
      <c r="E10" s="465"/>
      <c r="F10" s="465"/>
      <c r="G10" s="466"/>
      <c r="H10" s="434" t="s">
        <v>122</v>
      </c>
      <c r="I10" s="435"/>
      <c r="J10" s="435"/>
      <c r="K10" s="471" t="s">
        <v>42</v>
      </c>
      <c r="L10" s="460"/>
      <c r="M10" s="460"/>
      <c r="N10" s="460"/>
      <c r="O10" s="460"/>
      <c r="P10" s="469"/>
      <c r="Q10" s="469"/>
      <c r="R10" s="469"/>
      <c r="S10" s="469"/>
      <c r="T10" s="469"/>
      <c r="U10" s="469"/>
      <c r="V10" s="469"/>
      <c r="W10" s="469"/>
      <c r="X10" s="469"/>
      <c r="Y10" s="469"/>
      <c r="Z10" s="469"/>
      <c r="AA10" s="469"/>
      <c r="AB10" s="469"/>
      <c r="AC10" s="396" t="s">
        <v>45</v>
      </c>
      <c r="AD10" s="396"/>
      <c r="AE10" s="396"/>
      <c r="AF10" s="396"/>
      <c r="AG10" s="449"/>
      <c r="AH10" s="449"/>
      <c r="AI10" s="449"/>
      <c r="AJ10" s="449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</row>
    <row r="11" spans="2:48" ht="24" hidden="1" customHeight="1" outlineLevel="1" thickBot="1" x14ac:dyDescent="0.35">
      <c r="B11" s="465" t="s">
        <v>44</v>
      </c>
      <c r="C11" s="465"/>
      <c r="D11" s="465"/>
      <c r="E11" s="465"/>
      <c r="F11" s="465"/>
      <c r="G11" s="465"/>
      <c r="H11" s="452"/>
      <c r="I11" s="452"/>
      <c r="J11" s="452"/>
      <c r="K11" s="452"/>
      <c r="L11" s="452"/>
      <c r="M11" s="452"/>
      <c r="N11" s="452"/>
      <c r="O11" s="452"/>
      <c r="P11" s="396" t="s">
        <v>68</v>
      </c>
      <c r="Q11" s="396"/>
      <c r="R11" s="396"/>
      <c r="S11" s="396"/>
      <c r="T11" s="452"/>
      <c r="U11" s="452"/>
      <c r="V11" s="452"/>
      <c r="W11" s="452"/>
      <c r="X11" s="452"/>
      <c r="Y11" s="455" t="s">
        <v>69</v>
      </c>
      <c r="Z11" s="455"/>
      <c r="AA11" s="449"/>
      <c r="AB11" s="449"/>
      <c r="AC11" s="449"/>
      <c r="AD11" s="449"/>
      <c r="AE11" s="449"/>
      <c r="AF11" s="437" t="s">
        <v>139</v>
      </c>
      <c r="AG11" s="437"/>
      <c r="AH11" s="437"/>
      <c r="AI11" s="442"/>
      <c r="AJ11" s="442"/>
      <c r="AK11" s="442"/>
      <c r="AL11" s="442"/>
      <c r="AM11" s="442"/>
      <c r="AN11" s="442"/>
      <c r="AO11" s="442"/>
      <c r="AP11" s="442"/>
      <c r="AQ11" s="442"/>
      <c r="AR11" s="442"/>
      <c r="AS11" s="442"/>
      <c r="AT11" s="442"/>
      <c r="AU11" s="442"/>
    </row>
    <row r="12" spans="2:48" ht="24" hidden="1" customHeight="1" outlineLevel="1" thickBot="1" x14ac:dyDescent="0.35">
      <c r="B12" s="465" t="s">
        <v>46</v>
      </c>
      <c r="C12" s="465"/>
      <c r="D12" s="465"/>
      <c r="E12" s="465"/>
      <c r="F12" s="465"/>
      <c r="G12" s="466"/>
      <c r="H12" s="434" t="s">
        <v>122</v>
      </c>
      <c r="I12" s="435"/>
      <c r="J12" s="435"/>
      <c r="K12" s="435"/>
      <c r="L12" s="435"/>
      <c r="M12" s="435"/>
      <c r="N12" s="435"/>
      <c r="O12" s="467"/>
      <c r="P12" s="472" t="s">
        <v>212</v>
      </c>
      <c r="Q12" s="454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54" t="s">
        <v>47</v>
      </c>
      <c r="AC12" s="454"/>
      <c r="AD12" s="454"/>
      <c r="AE12" s="454"/>
      <c r="AF12" s="454"/>
      <c r="AG12" s="443"/>
      <c r="AH12" s="443"/>
      <c r="AI12" s="443"/>
      <c r="AJ12" s="443"/>
      <c r="AK12" s="443"/>
      <c r="AL12" s="443"/>
      <c r="AM12" s="443"/>
      <c r="AN12" s="443"/>
      <c r="AO12" s="443"/>
      <c r="AP12" s="443"/>
      <c r="AQ12" s="443"/>
      <c r="AR12" s="443"/>
      <c r="AS12" s="443"/>
      <c r="AT12" s="443"/>
      <c r="AU12" s="443"/>
    </row>
    <row r="13" spans="2:48" ht="24" hidden="1" customHeight="1" outlineLevel="1" x14ac:dyDescent="0.3">
      <c r="B13" s="465" t="s">
        <v>83</v>
      </c>
      <c r="C13" s="465"/>
      <c r="D13" s="465"/>
      <c r="E13" s="465"/>
      <c r="F13" s="465"/>
      <c r="G13" s="465"/>
      <c r="H13" s="442"/>
      <c r="I13" s="442"/>
      <c r="J13" s="442"/>
      <c r="K13" s="442"/>
      <c r="L13" s="442"/>
      <c r="M13" s="442"/>
      <c r="N13" s="442"/>
      <c r="O13" s="442"/>
      <c r="P13" s="444" t="s">
        <v>49</v>
      </c>
      <c r="Q13" s="444"/>
      <c r="R13" s="442"/>
      <c r="S13" s="442"/>
      <c r="T13" s="442"/>
      <c r="U13" s="442"/>
      <c r="V13" s="442"/>
      <c r="W13" s="442"/>
      <c r="X13" s="442"/>
      <c r="Y13" s="442"/>
      <c r="Z13" s="442"/>
      <c r="AA13" s="442"/>
      <c r="AB13" s="454" t="s">
        <v>48</v>
      </c>
      <c r="AC13" s="454"/>
      <c r="AD13" s="454"/>
      <c r="AE13" s="454"/>
      <c r="AF13" s="454"/>
      <c r="AG13" s="443"/>
      <c r="AH13" s="443"/>
      <c r="AI13" s="443"/>
      <c r="AJ13" s="443"/>
      <c r="AK13" s="443"/>
      <c r="AL13" s="443"/>
      <c r="AM13" s="443"/>
      <c r="AN13" s="443"/>
      <c r="AO13" s="443"/>
      <c r="AP13" s="443"/>
      <c r="AQ13" s="443"/>
      <c r="AR13" s="443"/>
      <c r="AS13" s="443"/>
      <c r="AT13" s="443"/>
      <c r="AU13" s="443"/>
    </row>
    <row r="14" spans="2:48" ht="27.75" hidden="1" customHeight="1" outlineLevel="1" x14ac:dyDescent="0.3">
      <c r="B14" s="465" t="s">
        <v>43</v>
      </c>
      <c r="C14" s="465"/>
      <c r="D14" s="465"/>
      <c r="E14" s="465"/>
      <c r="F14" s="465"/>
      <c r="G14" s="466"/>
      <c r="H14" s="434" t="s">
        <v>213</v>
      </c>
      <c r="I14" s="435"/>
      <c r="J14" s="435"/>
      <c r="K14" s="454" t="s">
        <v>140</v>
      </c>
      <c r="L14" s="454"/>
      <c r="M14" s="454"/>
      <c r="N14" s="454"/>
      <c r="O14" s="457"/>
      <c r="P14" s="434" t="s">
        <v>61</v>
      </c>
      <c r="Q14" s="435"/>
      <c r="R14" s="435"/>
      <c r="S14" s="435"/>
      <c r="T14" s="435"/>
      <c r="U14" s="435"/>
      <c r="V14" s="435"/>
      <c r="W14" s="467"/>
      <c r="X14" s="461"/>
      <c r="Y14" s="461"/>
      <c r="Z14" s="461"/>
      <c r="AA14" s="461"/>
      <c r="AB14" s="461"/>
      <c r="AC14" s="461"/>
      <c r="AD14" s="461"/>
      <c r="AE14" s="461"/>
      <c r="AF14" s="441"/>
      <c r="AG14" s="441"/>
      <c r="AH14" s="441"/>
      <c r="AI14" s="441"/>
      <c r="AJ14" s="441"/>
      <c r="AK14" s="441"/>
      <c r="AL14" s="441"/>
      <c r="AM14" s="441"/>
      <c r="AN14" s="441"/>
      <c r="AO14" s="441"/>
      <c r="AP14" s="441"/>
      <c r="AQ14" s="143"/>
      <c r="AR14" s="17"/>
      <c r="AS14" s="441"/>
      <c r="AT14" s="441"/>
      <c r="AU14" s="441"/>
    </row>
    <row r="15" spans="2:48" ht="12.6" hidden="1" customHeight="1" outlineLevel="1" thickBot="1" x14ac:dyDescent="0.35">
      <c r="B15" s="304"/>
      <c r="C15" s="305"/>
      <c r="D15" s="305"/>
      <c r="E15" s="305"/>
      <c r="F15" s="305"/>
      <c r="G15" s="305"/>
      <c r="H15" s="129"/>
      <c r="I15" s="144"/>
      <c r="J15" s="144"/>
      <c r="K15" s="47"/>
      <c r="L15" s="140"/>
      <c r="M15" s="140"/>
      <c r="N15" s="140"/>
      <c r="O15" s="140"/>
      <c r="P15" s="47"/>
      <c r="Q15" s="47"/>
      <c r="R15" s="47"/>
      <c r="S15" s="47"/>
      <c r="T15" s="47"/>
      <c r="U15" s="47"/>
      <c r="V15" s="47"/>
      <c r="W15" s="47"/>
      <c r="X15" s="141"/>
      <c r="Y15" s="141"/>
      <c r="Z15" s="141"/>
      <c r="AA15" s="141"/>
      <c r="AB15" s="141"/>
      <c r="AC15" s="141"/>
      <c r="AD15" s="141"/>
      <c r="AE15" s="141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3"/>
      <c r="AR15" s="17"/>
      <c r="AS15" s="142"/>
      <c r="AT15" s="142"/>
      <c r="AU15" s="142"/>
    </row>
    <row r="16" spans="2:48" ht="27.75" hidden="1" customHeight="1" outlineLevel="1" thickBot="1" x14ac:dyDescent="0.35">
      <c r="B16" s="465" t="s">
        <v>216</v>
      </c>
      <c r="C16" s="465"/>
      <c r="D16" s="465"/>
      <c r="E16" s="465"/>
      <c r="F16" s="465"/>
      <c r="G16" s="465"/>
      <c r="H16" s="462"/>
      <c r="I16" s="462"/>
      <c r="J16" s="462"/>
      <c r="K16" s="462"/>
      <c r="L16" s="462"/>
      <c r="M16" s="462"/>
      <c r="N16" s="462"/>
      <c r="O16" s="462"/>
      <c r="P16" s="462"/>
      <c r="Q16" s="462"/>
      <c r="R16" s="462"/>
      <c r="S16" s="462"/>
      <c r="T16" s="462"/>
      <c r="U16" s="462"/>
      <c r="V16" s="462"/>
      <c r="W16" s="462"/>
      <c r="X16" s="462"/>
      <c r="Y16" s="462"/>
      <c r="Z16" s="462"/>
      <c r="AA16" s="462"/>
      <c r="AB16" s="462"/>
      <c r="AC16" s="462"/>
      <c r="AD16" s="462"/>
      <c r="AE16" s="20" t="s">
        <v>39</v>
      </c>
      <c r="AF16" s="442"/>
      <c r="AG16" s="442"/>
      <c r="AH16" s="442"/>
      <c r="AI16" s="442"/>
      <c r="AJ16" s="442"/>
      <c r="AK16" s="442"/>
      <c r="AL16" s="442"/>
      <c r="AM16" s="442"/>
      <c r="AN16" s="442"/>
      <c r="AO16" s="442"/>
      <c r="AP16" s="442"/>
      <c r="AQ16" s="442"/>
      <c r="AR16" s="442"/>
      <c r="AS16" s="442"/>
      <c r="AT16" s="442"/>
      <c r="AU16" s="442"/>
    </row>
    <row r="17" spans="1:47" ht="27.75" hidden="1" customHeight="1" outlineLevel="1" thickBot="1" x14ac:dyDescent="0.35">
      <c r="B17" s="465" t="s">
        <v>40</v>
      </c>
      <c r="C17" s="465"/>
      <c r="D17" s="465"/>
      <c r="E17" s="465"/>
      <c r="F17" s="465"/>
      <c r="G17" s="465"/>
      <c r="H17" s="473"/>
      <c r="I17" s="473"/>
      <c r="J17" s="473"/>
      <c r="K17" s="473"/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73"/>
      <c r="W17" s="473"/>
      <c r="X17" s="473"/>
      <c r="Y17" s="473"/>
      <c r="Z17" s="473"/>
      <c r="AA17" s="473"/>
      <c r="AB17" s="473"/>
      <c r="AC17" s="473"/>
      <c r="AD17" s="473"/>
      <c r="AE17" s="473"/>
      <c r="AF17" s="473"/>
      <c r="AG17" s="473"/>
      <c r="AH17" s="473"/>
      <c r="AI17" s="473"/>
      <c r="AJ17" s="473"/>
      <c r="AK17" s="473"/>
      <c r="AL17" s="473"/>
      <c r="AM17" s="473"/>
      <c r="AN17" s="473"/>
      <c r="AO17" s="473"/>
      <c r="AP17" s="473"/>
      <c r="AQ17" s="473"/>
      <c r="AR17" s="473"/>
      <c r="AS17" s="473"/>
      <c r="AT17" s="473"/>
      <c r="AU17" s="473"/>
    </row>
    <row r="18" spans="1:47" ht="27.75" hidden="1" customHeight="1" outlineLevel="1" thickBot="1" x14ac:dyDescent="0.35">
      <c r="B18" s="465" t="s">
        <v>41</v>
      </c>
      <c r="C18" s="465"/>
      <c r="D18" s="465"/>
      <c r="E18" s="465"/>
      <c r="F18" s="465"/>
      <c r="G18" s="466"/>
      <c r="H18" s="434" t="s">
        <v>122</v>
      </c>
      <c r="I18" s="435"/>
      <c r="J18" s="435"/>
      <c r="K18" s="460" t="s">
        <v>42</v>
      </c>
      <c r="L18" s="460"/>
      <c r="M18" s="460"/>
      <c r="N18" s="460"/>
      <c r="O18" s="460"/>
      <c r="P18" s="462"/>
      <c r="Q18" s="462"/>
      <c r="R18" s="462"/>
      <c r="S18" s="462"/>
      <c r="T18" s="462"/>
      <c r="U18" s="462"/>
      <c r="V18" s="462"/>
      <c r="W18" s="462"/>
      <c r="X18" s="462"/>
      <c r="Y18" s="462"/>
      <c r="Z18" s="462"/>
      <c r="AA18" s="462"/>
      <c r="AB18" s="462"/>
      <c r="AC18" s="396" t="s">
        <v>45</v>
      </c>
      <c r="AD18" s="396"/>
      <c r="AE18" s="396"/>
      <c r="AF18" s="396"/>
      <c r="AG18" s="429"/>
      <c r="AH18" s="429"/>
      <c r="AI18" s="429"/>
      <c r="AJ18" s="429"/>
      <c r="AK18" s="429"/>
      <c r="AL18" s="429"/>
      <c r="AM18" s="429"/>
      <c r="AN18" s="429"/>
      <c r="AO18" s="429"/>
      <c r="AP18" s="429"/>
      <c r="AQ18" s="429"/>
      <c r="AR18" s="429"/>
      <c r="AS18" s="429"/>
      <c r="AT18" s="429"/>
      <c r="AU18" s="429"/>
    </row>
    <row r="19" spans="1:47" ht="27.75" hidden="1" customHeight="1" outlineLevel="1" thickBot="1" x14ac:dyDescent="0.35">
      <c r="B19" s="465" t="s">
        <v>44</v>
      </c>
      <c r="C19" s="465"/>
      <c r="D19" s="465"/>
      <c r="E19" s="465"/>
      <c r="F19" s="465"/>
      <c r="G19" s="465"/>
      <c r="H19" s="442"/>
      <c r="I19" s="442"/>
      <c r="J19" s="442"/>
      <c r="K19" s="442"/>
      <c r="L19" s="442"/>
      <c r="M19" s="442"/>
      <c r="N19" s="442"/>
      <c r="O19" s="442"/>
      <c r="P19" s="396" t="s">
        <v>68</v>
      </c>
      <c r="Q19" s="396"/>
      <c r="R19" s="396"/>
      <c r="S19" s="396"/>
      <c r="T19" s="429"/>
      <c r="U19" s="429"/>
      <c r="V19" s="429"/>
      <c r="W19" s="429"/>
      <c r="X19" s="429"/>
      <c r="Y19" s="470" t="s">
        <v>69</v>
      </c>
      <c r="Z19" s="470"/>
      <c r="AA19" s="429"/>
      <c r="AB19" s="429"/>
      <c r="AC19" s="429"/>
      <c r="AD19" s="429"/>
      <c r="AE19" s="429"/>
      <c r="AF19" s="437" t="s">
        <v>139</v>
      </c>
      <c r="AG19" s="437"/>
      <c r="AH19" s="437"/>
      <c r="AI19" s="429"/>
      <c r="AJ19" s="429"/>
      <c r="AK19" s="429"/>
      <c r="AL19" s="429"/>
      <c r="AM19" s="429"/>
      <c r="AN19" s="429"/>
      <c r="AO19" s="429"/>
      <c r="AP19" s="429"/>
      <c r="AQ19" s="429"/>
      <c r="AR19" s="429"/>
      <c r="AS19" s="429"/>
      <c r="AT19" s="429"/>
      <c r="AU19" s="429"/>
    </row>
    <row r="20" spans="1:47" ht="30" hidden="1" customHeight="1" outlineLevel="1" thickBot="1" x14ac:dyDescent="0.35">
      <c r="B20" s="465" t="s">
        <v>46</v>
      </c>
      <c r="C20" s="465"/>
      <c r="D20" s="465"/>
      <c r="E20" s="465"/>
      <c r="F20" s="465"/>
      <c r="G20" s="466"/>
      <c r="H20" s="458" t="s">
        <v>122</v>
      </c>
      <c r="I20" s="459"/>
      <c r="J20" s="459"/>
      <c r="K20" s="459"/>
      <c r="L20" s="459"/>
      <c r="M20" s="459"/>
      <c r="N20" s="459"/>
      <c r="O20" s="459"/>
      <c r="P20" s="454" t="s">
        <v>212</v>
      </c>
      <c r="Q20" s="454"/>
      <c r="R20" s="429"/>
      <c r="S20" s="429"/>
      <c r="T20" s="429"/>
      <c r="U20" s="429"/>
      <c r="V20" s="429"/>
      <c r="W20" s="429"/>
      <c r="X20" s="429"/>
      <c r="Y20" s="429"/>
      <c r="Z20" s="429"/>
      <c r="AA20" s="429"/>
      <c r="AB20" s="454" t="s">
        <v>47</v>
      </c>
      <c r="AC20" s="454"/>
      <c r="AD20" s="454"/>
      <c r="AE20" s="454"/>
      <c r="AF20" s="454"/>
      <c r="AG20" s="442"/>
      <c r="AH20" s="442"/>
      <c r="AI20" s="442"/>
      <c r="AJ20" s="442"/>
      <c r="AK20" s="442"/>
      <c r="AL20" s="442"/>
      <c r="AM20" s="442"/>
      <c r="AN20" s="442"/>
      <c r="AO20" s="442"/>
      <c r="AP20" s="442"/>
      <c r="AQ20" s="442"/>
      <c r="AR20" s="442"/>
      <c r="AS20" s="442"/>
      <c r="AT20" s="442"/>
      <c r="AU20" s="442"/>
    </row>
    <row r="21" spans="1:47" ht="27.75" hidden="1" customHeight="1" outlineLevel="1" thickBot="1" x14ac:dyDescent="0.35">
      <c r="B21" s="474" t="s">
        <v>83</v>
      </c>
      <c r="C21" s="474"/>
      <c r="D21" s="474"/>
      <c r="E21" s="474"/>
      <c r="F21" s="474"/>
      <c r="G21" s="474"/>
      <c r="H21" s="429"/>
      <c r="I21" s="429"/>
      <c r="J21" s="429"/>
      <c r="K21" s="429"/>
      <c r="L21" s="429"/>
      <c r="M21" s="429"/>
      <c r="N21" s="429"/>
      <c r="O21" s="429"/>
      <c r="P21" s="444" t="s">
        <v>49</v>
      </c>
      <c r="Q21" s="444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60" t="s">
        <v>48</v>
      </c>
      <c r="AC21" s="460"/>
      <c r="AD21" s="460"/>
      <c r="AE21" s="460"/>
      <c r="AF21" s="460"/>
      <c r="AG21" s="463"/>
      <c r="AH21" s="463"/>
      <c r="AI21" s="463"/>
      <c r="AJ21" s="463"/>
      <c r="AK21" s="463"/>
      <c r="AL21" s="463"/>
      <c r="AM21" s="463"/>
      <c r="AN21" s="463"/>
      <c r="AO21" s="463"/>
      <c r="AP21" s="463"/>
      <c r="AQ21" s="463"/>
      <c r="AR21" s="463"/>
      <c r="AS21" s="463"/>
      <c r="AT21" s="463"/>
      <c r="AU21" s="463"/>
    </row>
    <row r="22" spans="1:47" s="11" customFormat="1" ht="26.1" customHeight="1" collapsed="1" thickBot="1" x14ac:dyDescent="0.35">
      <c r="B22" s="445" t="s">
        <v>87</v>
      </c>
      <c r="C22" s="446"/>
      <c r="D22" s="446"/>
      <c r="E22" s="446"/>
      <c r="F22" s="446"/>
      <c r="G22" s="446"/>
      <c r="H22" s="446"/>
      <c r="I22" s="446"/>
      <c r="J22" s="446"/>
      <c r="K22" s="446"/>
      <c r="L22" s="446"/>
      <c r="M22" s="446"/>
      <c r="N22" s="446"/>
      <c r="O22" s="446"/>
      <c r="P22" s="446"/>
      <c r="Q22" s="446"/>
      <c r="R22" s="446"/>
      <c r="S22" s="446"/>
      <c r="T22" s="446"/>
      <c r="U22" s="446"/>
      <c r="V22" s="446"/>
      <c r="W22" s="446"/>
      <c r="X22" s="446"/>
      <c r="Y22" s="446"/>
      <c r="Z22" s="446"/>
      <c r="AA22" s="446"/>
      <c r="AB22" s="446"/>
      <c r="AC22" s="446"/>
      <c r="AD22" s="446"/>
      <c r="AE22" s="446"/>
      <c r="AF22" s="446"/>
      <c r="AG22" s="446"/>
      <c r="AH22" s="446"/>
      <c r="AI22" s="446"/>
      <c r="AJ22" s="446"/>
      <c r="AK22" s="446"/>
      <c r="AL22" s="446"/>
      <c r="AM22" s="446"/>
      <c r="AN22" s="446"/>
      <c r="AO22" s="446"/>
      <c r="AP22" s="446"/>
      <c r="AQ22" s="446"/>
      <c r="AR22" s="446"/>
      <c r="AS22" s="446"/>
      <c r="AT22" s="446"/>
      <c r="AU22" s="447"/>
    </row>
    <row r="23" spans="1:47" ht="24" hidden="1" customHeight="1" outlineLevel="1" thickBot="1" x14ac:dyDescent="0.35">
      <c r="A23" s="218" t="s">
        <v>241</v>
      </c>
      <c r="B23" s="475" t="s">
        <v>88</v>
      </c>
      <c r="C23" s="475"/>
      <c r="D23" s="475"/>
      <c r="E23" s="475"/>
      <c r="F23" s="475"/>
      <c r="G23" s="475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208"/>
      <c r="AE23" s="20" t="s">
        <v>39</v>
      </c>
      <c r="AF23" s="432"/>
      <c r="AG23" s="432"/>
      <c r="AH23" s="432"/>
      <c r="AI23" s="432"/>
      <c r="AJ23" s="432"/>
      <c r="AK23" s="432"/>
      <c r="AL23" s="432"/>
      <c r="AM23" s="432"/>
      <c r="AN23" s="432"/>
      <c r="AO23" s="432"/>
      <c r="AP23" s="432"/>
      <c r="AQ23" s="432"/>
      <c r="AR23" s="432"/>
      <c r="AS23" s="432"/>
      <c r="AT23" s="432"/>
      <c r="AU23" s="432"/>
    </row>
    <row r="24" spans="1:47" ht="24" hidden="1" customHeight="1" outlineLevel="1" thickBot="1" x14ac:dyDescent="0.35">
      <c r="A24" s="120"/>
      <c r="B24" s="476" t="s">
        <v>40</v>
      </c>
      <c r="C24" s="476"/>
      <c r="D24" s="476"/>
      <c r="E24" s="476"/>
      <c r="F24" s="476"/>
      <c r="G24" s="476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  <c r="AO24" s="433"/>
      <c r="AP24" s="433"/>
      <c r="AQ24" s="433"/>
      <c r="AR24" s="433"/>
      <c r="AS24" s="433"/>
      <c r="AT24" s="433"/>
      <c r="AU24" s="433"/>
    </row>
    <row r="25" spans="1:47" ht="24" hidden="1" customHeight="1" outlineLevel="1" thickBot="1" x14ac:dyDescent="0.35">
      <c r="B25" s="476" t="s">
        <v>41</v>
      </c>
      <c r="C25" s="476"/>
      <c r="D25" s="476"/>
      <c r="E25" s="476"/>
      <c r="F25" s="476"/>
      <c r="G25" s="477"/>
      <c r="H25" s="434" t="s">
        <v>122</v>
      </c>
      <c r="I25" s="435"/>
      <c r="J25" s="435"/>
      <c r="L25" s="145" t="s">
        <v>42</v>
      </c>
      <c r="M25" s="145"/>
      <c r="N25" s="145"/>
      <c r="O25" s="145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438"/>
      <c r="AB25" s="208"/>
      <c r="AC25" s="396" t="s">
        <v>45</v>
      </c>
      <c r="AD25" s="396"/>
      <c r="AE25" s="396"/>
      <c r="AF25" s="396"/>
      <c r="AG25" s="436"/>
      <c r="AH25" s="436"/>
      <c r="AI25" s="436"/>
      <c r="AJ25" s="436"/>
      <c r="AK25" s="436"/>
      <c r="AL25" s="436"/>
      <c r="AM25" s="436"/>
      <c r="AN25" s="436"/>
      <c r="AO25" s="436"/>
      <c r="AP25" s="436"/>
      <c r="AQ25" s="436"/>
      <c r="AR25" s="436"/>
      <c r="AS25" s="436"/>
      <c r="AT25" s="436"/>
      <c r="AU25" s="436"/>
    </row>
    <row r="26" spans="1:47" ht="24" hidden="1" customHeight="1" outlineLevel="1" thickBot="1" x14ac:dyDescent="0.35">
      <c r="B26" s="476" t="s">
        <v>44</v>
      </c>
      <c r="C26" s="476"/>
      <c r="D26" s="476"/>
      <c r="E26" s="476"/>
      <c r="F26" s="476"/>
      <c r="G26" s="476"/>
      <c r="H26" s="429"/>
      <c r="I26" s="429"/>
      <c r="J26" s="429"/>
      <c r="K26" s="429"/>
      <c r="L26" s="429"/>
      <c r="M26" s="429"/>
      <c r="N26" s="429"/>
      <c r="O26" s="429"/>
      <c r="P26" s="396" t="s">
        <v>68</v>
      </c>
      <c r="Q26" s="396"/>
      <c r="R26" s="396"/>
      <c r="S26" s="396"/>
      <c r="T26" s="436"/>
      <c r="U26" s="436"/>
      <c r="V26" s="436"/>
      <c r="W26" s="436"/>
      <c r="X26" s="436"/>
      <c r="Y26" s="440" t="s">
        <v>69</v>
      </c>
      <c r="Z26" s="440"/>
      <c r="AA26" s="429"/>
      <c r="AB26" s="429"/>
      <c r="AC26" s="429"/>
      <c r="AD26" s="429"/>
      <c r="AE26" s="429"/>
      <c r="AF26" s="437" t="s">
        <v>139</v>
      </c>
      <c r="AG26" s="437"/>
      <c r="AH26" s="437"/>
      <c r="AI26" s="436"/>
      <c r="AJ26" s="436"/>
      <c r="AK26" s="436"/>
      <c r="AL26" s="436"/>
      <c r="AM26" s="436"/>
      <c r="AN26" s="436"/>
      <c r="AO26" s="436"/>
      <c r="AP26" s="436"/>
      <c r="AQ26" s="436"/>
      <c r="AR26" s="436"/>
      <c r="AS26" s="436"/>
      <c r="AT26" s="436"/>
      <c r="AU26" s="436"/>
    </row>
    <row r="27" spans="1:47" ht="24" hidden="1" customHeight="1" outlineLevel="1" thickBot="1" x14ac:dyDescent="0.35">
      <c r="B27" s="476" t="s">
        <v>46</v>
      </c>
      <c r="C27" s="476"/>
      <c r="D27" s="476"/>
      <c r="E27" s="476"/>
      <c r="F27" s="476"/>
      <c r="G27" s="477"/>
      <c r="H27" s="458" t="s">
        <v>122</v>
      </c>
      <c r="I27" s="459"/>
      <c r="J27" s="459"/>
      <c r="K27" s="459"/>
      <c r="L27" s="459"/>
      <c r="M27" s="459"/>
      <c r="N27" s="459"/>
      <c r="O27" s="459"/>
      <c r="P27" s="396" t="s">
        <v>212</v>
      </c>
      <c r="Q27" s="396"/>
      <c r="R27" s="436"/>
      <c r="S27" s="436"/>
      <c r="T27" s="436"/>
      <c r="U27" s="436"/>
      <c r="V27" s="436"/>
      <c r="W27" s="436"/>
      <c r="X27" s="436"/>
      <c r="Y27" s="436"/>
      <c r="Z27" s="436"/>
      <c r="AA27" s="436"/>
      <c r="AB27" s="454" t="s">
        <v>47</v>
      </c>
      <c r="AC27" s="454"/>
      <c r="AD27" s="454"/>
      <c r="AE27" s="454"/>
      <c r="AF27" s="454"/>
      <c r="AG27" s="442"/>
      <c r="AH27" s="442"/>
      <c r="AI27" s="442"/>
      <c r="AJ27" s="442"/>
      <c r="AK27" s="442"/>
      <c r="AL27" s="442"/>
      <c r="AM27" s="442"/>
      <c r="AN27" s="442"/>
      <c r="AO27" s="442"/>
      <c r="AP27" s="442"/>
      <c r="AQ27" s="442"/>
      <c r="AR27" s="442"/>
      <c r="AS27" s="442"/>
      <c r="AT27" s="442"/>
      <c r="AU27" s="442"/>
    </row>
    <row r="28" spans="1:47" ht="24" hidden="1" customHeight="1" outlineLevel="1" thickBot="1" x14ac:dyDescent="0.35">
      <c r="B28" s="476" t="s">
        <v>83</v>
      </c>
      <c r="C28" s="476"/>
      <c r="D28" s="476"/>
      <c r="E28" s="476"/>
      <c r="F28" s="476"/>
      <c r="G28" s="476"/>
      <c r="H28" s="429"/>
      <c r="I28" s="429"/>
      <c r="J28" s="429"/>
      <c r="K28" s="429"/>
      <c r="L28" s="429"/>
      <c r="M28" s="429"/>
      <c r="N28" s="429"/>
      <c r="O28" s="429"/>
      <c r="P28" s="444" t="s">
        <v>49</v>
      </c>
      <c r="Q28" s="444"/>
      <c r="R28" s="436"/>
      <c r="S28" s="436"/>
      <c r="T28" s="436"/>
      <c r="U28" s="436"/>
      <c r="V28" s="436"/>
      <c r="W28" s="436"/>
      <c r="X28" s="436"/>
      <c r="Y28" s="436"/>
      <c r="Z28" s="436"/>
      <c r="AA28" s="436"/>
      <c r="AB28" s="454" t="s">
        <v>48</v>
      </c>
      <c r="AC28" s="454"/>
      <c r="AD28" s="454"/>
      <c r="AE28" s="454"/>
      <c r="AF28" s="454"/>
      <c r="AG28" s="443"/>
      <c r="AH28" s="443"/>
      <c r="AI28" s="443"/>
      <c r="AJ28" s="443"/>
      <c r="AK28" s="443"/>
      <c r="AL28" s="443"/>
      <c r="AM28" s="443"/>
      <c r="AN28" s="443"/>
      <c r="AO28" s="443"/>
      <c r="AP28" s="443"/>
      <c r="AQ28" s="443"/>
      <c r="AR28" s="443"/>
      <c r="AS28" s="443"/>
      <c r="AT28" s="443"/>
      <c r="AU28" s="443"/>
    </row>
    <row r="29" spans="1:47" ht="24" hidden="1" customHeight="1" outlineLevel="1" x14ac:dyDescent="0.3">
      <c r="B29" s="476" t="s">
        <v>43</v>
      </c>
      <c r="C29" s="476"/>
      <c r="D29" s="476"/>
      <c r="E29" s="476"/>
      <c r="F29" s="476"/>
      <c r="G29" s="477"/>
      <c r="H29" s="434" t="s">
        <v>213</v>
      </c>
      <c r="I29" s="435"/>
      <c r="J29" s="435"/>
      <c r="K29" s="478" t="s">
        <v>140</v>
      </c>
      <c r="L29" s="478"/>
      <c r="M29" s="478"/>
      <c r="N29" s="478"/>
      <c r="O29" s="479"/>
      <c r="P29" s="434" t="s">
        <v>61</v>
      </c>
      <c r="Q29" s="435"/>
      <c r="R29" s="435"/>
      <c r="S29" s="12"/>
      <c r="T29" s="47"/>
      <c r="U29" s="47"/>
      <c r="V29" s="47"/>
      <c r="W29" s="47"/>
      <c r="X29" s="461"/>
      <c r="Y29" s="461"/>
      <c r="Z29" s="461"/>
      <c r="AA29" s="461"/>
      <c r="AB29" s="461"/>
      <c r="AC29" s="461"/>
      <c r="AD29" s="461"/>
      <c r="AE29" s="461"/>
      <c r="AF29" s="441"/>
      <c r="AG29" s="441"/>
      <c r="AH29" s="441"/>
      <c r="AI29" s="441"/>
      <c r="AJ29" s="441"/>
      <c r="AK29" s="441"/>
      <c r="AL29" s="441"/>
      <c r="AM29" s="441"/>
      <c r="AN29" s="441"/>
      <c r="AO29" s="441"/>
      <c r="AP29" s="441"/>
      <c r="AQ29" s="143"/>
      <c r="AR29" s="17"/>
      <c r="AS29" s="441"/>
      <c r="AT29" s="441"/>
      <c r="AU29" s="441"/>
    </row>
    <row r="30" spans="1:47" ht="24" hidden="1" customHeight="1" outlineLevel="1" thickBot="1" x14ac:dyDescent="0.35">
      <c r="B30" s="140"/>
      <c r="C30" s="22"/>
      <c r="D30" s="22"/>
      <c r="E30" s="22"/>
      <c r="F30" s="22"/>
      <c r="G30" s="22"/>
      <c r="H30"/>
      <c r="I30"/>
      <c r="J30"/>
      <c r="K30"/>
      <c r="L30"/>
      <c r="M30" s="121"/>
      <c r="N30" s="121"/>
      <c r="O30" s="121"/>
      <c r="P30" s="129"/>
      <c r="Q30" s="12"/>
      <c r="R30" s="12"/>
      <c r="S30" s="12"/>
      <c r="T30" s="47"/>
      <c r="U30" s="47"/>
      <c r="V30" s="47"/>
      <c r="W30" s="47"/>
      <c r="X30" s="141"/>
      <c r="Y30" s="141"/>
      <c r="Z30" s="141"/>
      <c r="AA30" s="141"/>
      <c r="AB30" s="141"/>
      <c r="AC30" s="141"/>
      <c r="AD30" s="141"/>
      <c r="AE30" s="141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3"/>
      <c r="AR30" s="17"/>
      <c r="AS30" s="142"/>
      <c r="AT30" s="142"/>
      <c r="AU30" s="142"/>
    </row>
    <row r="31" spans="1:47" ht="24" hidden="1" customHeight="1" outlineLevel="1" thickBot="1" x14ac:dyDescent="0.35">
      <c r="B31" s="476" t="s">
        <v>89</v>
      </c>
      <c r="C31" s="476"/>
      <c r="D31" s="476"/>
      <c r="E31" s="476"/>
      <c r="F31" s="476"/>
      <c r="G31" s="476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  <c r="X31" s="429"/>
      <c r="Y31" s="429"/>
      <c r="Z31" s="429"/>
      <c r="AA31" s="429"/>
      <c r="AB31" s="429"/>
      <c r="AC31" s="429"/>
      <c r="AD31" s="208"/>
      <c r="AE31" s="20" t="s">
        <v>39</v>
      </c>
      <c r="AF31" s="483"/>
      <c r="AG31" s="483"/>
      <c r="AH31" s="483"/>
      <c r="AI31" s="483"/>
      <c r="AJ31" s="483"/>
      <c r="AK31" s="483"/>
      <c r="AL31" s="483"/>
      <c r="AM31" s="483"/>
      <c r="AN31" s="483"/>
      <c r="AO31" s="483"/>
      <c r="AP31" s="483"/>
      <c r="AQ31" s="483"/>
      <c r="AR31" s="483"/>
      <c r="AS31" s="483"/>
      <c r="AT31" s="483"/>
      <c r="AU31" s="483"/>
    </row>
    <row r="32" spans="1:47" ht="24" hidden="1" customHeight="1" outlineLevel="1" thickBot="1" x14ac:dyDescent="0.35">
      <c r="B32" s="476" t="s">
        <v>40</v>
      </c>
      <c r="C32" s="476"/>
      <c r="D32" s="476"/>
      <c r="E32" s="476"/>
      <c r="F32" s="476"/>
      <c r="G32" s="476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29"/>
      <c r="X32" s="429"/>
      <c r="Y32" s="429"/>
      <c r="Z32" s="429"/>
      <c r="AA32" s="429"/>
      <c r="AB32" s="429"/>
      <c r="AC32" s="429"/>
      <c r="AD32" s="429"/>
      <c r="AE32" s="429"/>
      <c r="AF32" s="429"/>
      <c r="AG32" s="429"/>
      <c r="AH32" s="429"/>
      <c r="AI32" s="429"/>
      <c r="AJ32" s="429"/>
      <c r="AK32" s="429"/>
      <c r="AL32" s="429"/>
      <c r="AM32" s="429"/>
      <c r="AN32" s="429"/>
      <c r="AO32" s="429"/>
      <c r="AP32" s="429"/>
      <c r="AQ32" s="429"/>
      <c r="AR32" s="429"/>
      <c r="AS32" s="429"/>
      <c r="AT32" s="429"/>
      <c r="AU32" s="429"/>
    </row>
    <row r="33" spans="2:47" ht="24" hidden="1" customHeight="1" outlineLevel="1" thickBot="1" x14ac:dyDescent="0.35">
      <c r="B33" s="476" t="s">
        <v>41</v>
      </c>
      <c r="C33" s="476"/>
      <c r="D33" s="476"/>
      <c r="E33" s="476"/>
      <c r="F33" s="476"/>
      <c r="G33" s="477"/>
      <c r="H33" s="434" t="s">
        <v>122</v>
      </c>
      <c r="I33" s="435"/>
      <c r="J33" s="435"/>
      <c r="K33" s="480" t="s">
        <v>42</v>
      </c>
      <c r="L33" s="480"/>
      <c r="M33" s="480"/>
      <c r="N33" s="480"/>
      <c r="O33" s="480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208"/>
      <c r="AC33" s="396" t="s">
        <v>45</v>
      </c>
      <c r="AD33" s="396"/>
      <c r="AE33" s="396"/>
      <c r="AF33" s="396"/>
      <c r="AG33" s="429"/>
      <c r="AH33" s="429"/>
      <c r="AI33" s="429"/>
      <c r="AJ33" s="429"/>
      <c r="AK33" s="429"/>
      <c r="AL33" s="429"/>
      <c r="AM33" s="429"/>
      <c r="AN33" s="429"/>
      <c r="AO33" s="429"/>
      <c r="AP33" s="429"/>
      <c r="AQ33" s="429"/>
      <c r="AR33" s="429"/>
      <c r="AS33" s="429"/>
      <c r="AT33" s="429"/>
      <c r="AU33" s="429"/>
    </row>
    <row r="34" spans="2:47" ht="24" hidden="1" customHeight="1" outlineLevel="1" thickBot="1" x14ac:dyDescent="0.35">
      <c r="B34" s="476" t="s">
        <v>44</v>
      </c>
      <c r="C34" s="476"/>
      <c r="D34" s="476"/>
      <c r="E34" s="476"/>
      <c r="F34" s="476"/>
      <c r="G34" s="476"/>
      <c r="H34" s="429"/>
      <c r="I34" s="429"/>
      <c r="J34" s="429"/>
      <c r="K34" s="429"/>
      <c r="L34" s="429"/>
      <c r="M34" s="429"/>
      <c r="N34" s="429"/>
      <c r="O34" s="429"/>
      <c r="P34" s="396" t="s">
        <v>68</v>
      </c>
      <c r="Q34" s="396"/>
      <c r="R34" s="396"/>
      <c r="S34" s="396"/>
      <c r="T34" s="429"/>
      <c r="U34" s="429"/>
      <c r="V34" s="429"/>
      <c r="W34" s="429"/>
      <c r="X34" s="429"/>
      <c r="Y34" s="440" t="s">
        <v>69</v>
      </c>
      <c r="Z34" s="440"/>
      <c r="AA34" s="429"/>
      <c r="AB34" s="429"/>
      <c r="AC34" s="429"/>
      <c r="AD34" s="429"/>
      <c r="AE34" s="429"/>
      <c r="AF34" s="437" t="s">
        <v>139</v>
      </c>
      <c r="AG34" s="437"/>
      <c r="AH34" s="437"/>
      <c r="AI34" s="429"/>
      <c r="AJ34" s="429"/>
      <c r="AK34" s="429"/>
      <c r="AL34" s="429"/>
      <c r="AM34" s="429"/>
      <c r="AN34" s="429"/>
      <c r="AO34" s="429"/>
      <c r="AP34" s="429"/>
      <c r="AQ34" s="429"/>
      <c r="AR34" s="429"/>
      <c r="AS34" s="429"/>
      <c r="AT34" s="429"/>
      <c r="AU34" s="429"/>
    </row>
    <row r="35" spans="2:47" ht="24" hidden="1" customHeight="1" outlineLevel="1" thickBot="1" x14ac:dyDescent="0.35">
      <c r="B35" s="476" t="s">
        <v>46</v>
      </c>
      <c r="C35" s="476"/>
      <c r="D35" s="476"/>
      <c r="E35" s="476"/>
      <c r="F35" s="476"/>
      <c r="G35" s="477"/>
      <c r="H35" s="458" t="s">
        <v>122</v>
      </c>
      <c r="I35" s="459"/>
      <c r="J35" s="459"/>
      <c r="K35" s="459"/>
      <c r="L35" s="459"/>
      <c r="M35" s="459"/>
      <c r="N35" s="459"/>
      <c r="O35" s="459"/>
      <c r="P35" s="396" t="s">
        <v>212</v>
      </c>
      <c r="Q35" s="396"/>
      <c r="R35" s="429"/>
      <c r="S35" s="429"/>
      <c r="T35" s="429"/>
      <c r="U35" s="429"/>
      <c r="V35" s="429"/>
      <c r="W35" s="429"/>
      <c r="X35" s="429"/>
      <c r="Y35" s="429"/>
      <c r="Z35" s="429"/>
      <c r="AA35" s="429"/>
      <c r="AB35" s="454" t="s">
        <v>47</v>
      </c>
      <c r="AC35" s="454"/>
      <c r="AD35" s="454"/>
      <c r="AE35" s="454"/>
      <c r="AF35" s="454"/>
      <c r="AG35" s="442"/>
      <c r="AH35" s="442"/>
      <c r="AI35" s="442"/>
      <c r="AJ35" s="442"/>
      <c r="AK35" s="442"/>
      <c r="AL35" s="442"/>
      <c r="AM35" s="442"/>
      <c r="AN35" s="442"/>
      <c r="AO35" s="442"/>
      <c r="AP35" s="442"/>
      <c r="AQ35" s="442"/>
      <c r="AR35" s="442"/>
      <c r="AS35" s="442"/>
      <c r="AT35" s="442"/>
      <c r="AU35" s="442"/>
    </row>
    <row r="36" spans="2:47" ht="24" hidden="1" customHeight="1" outlineLevel="1" thickBot="1" x14ac:dyDescent="0.35">
      <c r="B36" s="476" t="s">
        <v>83</v>
      </c>
      <c r="C36" s="476"/>
      <c r="D36" s="476"/>
      <c r="E36" s="476"/>
      <c r="F36" s="476"/>
      <c r="G36" s="476"/>
      <c r="H36" s="429"/>
      <c r="I36" s="429"/>
      <c r="J36" s="429"/>
      <c r="K36" s="429"/>
      <c r="L36" s="429"/>
      <c r="M36" s="429"/>
      <c r="N36" s="429"/>
      <c r="O36" s="429"/>
      <c r="P36" s="444" t="s">
        <v>49</v>
      </c>
      <c r="Q36" s="444"/>
      <c r="R36" s="429"/>
      <c r="S36" s="429"/>
      <c r="T36" s="429"/>
      <c r="U36" s="429"/>
      <c r="V36" s="429"/>
      <c r="W36" s="429"/>
      <c r="X36" s="429"/>
      <c r="Y36" s="429"/>
      <c r="Z36" s="429"/>
      <c r="AA36" s="429"/>
      <c r="AB36" s="454" t="s">
        <v>48</v>
      </c>
      <c r="AC36" s="454"/>
      <c r="AD36" s="454"/>
      <c r="AE36" s="454"/>
      <c r="AF36" s="454"/>
      <c r="AG36" s="443"/>
      <c r="AH36" s="443"/>
      <c r="AI36" s="443"/>
      <c r="AJ36" s="443"/>
      <c r="AK36" s="443"/>
      <c r="AL36" s="443"/>
      <c r="AM36" s="443"/>
      <c r="AN36" s="443"/>
      <c r="AO36" s="443"/>
      <c r="AP36" s="443"/>
      <c r="AQ36" s="443"/>
      <c r="AR36" s="443"/>
      <c r="AS36" s="443"/>
      <c r="AT36" s="443"/>
      <c r="AU36" s="443"/>
    </row>
    <row r="37" spans="2:47" ht="24" hidden="1" customHeight="1" outlineLevel="1" x14ac:dyDescent="0.3">
      <c r="B37" s="476" t="s">
        <v>43</v>
      </c>
      <c r="C37" s="476"/>
      <c r="D37" s="476"/>
      <c r="E37" s="476"/>
      <c r="F37" s="476"/>
      <c r="G37" s="477"/>
      <c r="H37" s="434" t="s">
        <v>213</v>
      </c>
      <c r="I37" s="435"/>
      <c r="J37" s="435"/>
      <c r="K37" s="481" t="s">
        <v>140</v>
      </c>
      <c r="L37" s="481"/>
      <c r="M37" s="481"/>
      <c r="N37" s="481"/>
      <c r="O37" s="482"/>
      <c r="P37" s="434" t="s">
        <v>61</v>
      </c>
      <c r="Q37" s="435"/>
      <c r="R37" s="435"/>
      <c r="S37" s="12"/>
      <c r="T37" s="47"/>
      <c r="U37" s="47"/>
      <c r="V37" s="47"/>
      <c r="W37" s="47"/>
      <c r="X37" s="461"/>
      <c r="Y37" s="461"/>
      <c r="Z37" s="461"/>
      <c r="AA37" s="461"/>
      <c r="AB37" s="461"/>
      <c r="AC37" s="461"/>
      <c r="AD37" s="461"/>
      <c r="AE37" s="461"/>
      <c r="AF37" s="441"/>
      <c r="AG37" s="441"/>
      <c r="AH37" s="441"/>
      <c r="AI37" s="441"/>
      <c r="AJ37" s="441"/>
      <c r="AK37" s="441"/>
      <c r="AL37" s="441"/>
      <c r="AM37" s="441"/>
      <c r="AN37" s="441"/>
      <c r="AO37" s="441"/>
      <c r="AP37" s="441"/>
      <c r="AQ37" s="143"/>
      <c r="AR37" s="17"/>
      <c r="AS37" s="441"/>
      <c r="AT37" s="441"/>
      <c r="AU37" s="441"/>
    </row>
    <row r="38" spans="2:47" ht="16.5" hidden="1" customHeight="1" outlineLevel="1" thickBot="1" x14ac:dyDescent="0.35">
      <c r="B38" s="140"/>
      <c r="C38" s="22"/>
      <c r="D38" s="22"/>
      <c r="E38" s="22"/>
      <c r="F38" s="22"/>
      <c r="G38" s="22"/>
      <c r="H38" s="144"/>
      <c r="I38" s="144"/>
      <c r="J38" s="144"/>
      <c r="K38" s="47"/>
      <c r="L38" s="140"/>
      <c r="M38" s="140"/>
      <c r="N38" s="140"/>
      <c r="O38" s="140"/>
      <c r="P38" s="144"/>
      <c r="Q38" s="47"/>
      <c r="R38" s="47"/>
      <c r="S38" s="47"/>
      <c r="T38" s="47"/>
      <c r="U38" s="47"/>
      <c r="V38" s="47"/>
      <c r="W38" s="47"/>
      <c r="X38" s="141"/>
      <c r="Y38" s="141"/>
      <c r="Z38" s="141"/>
      <c r="AA38" s="141"/>
      <c r="AB38" s="141"/>
      <c r="AC38" s="141"/>
      <c r="AD38" s="141"/>
      <c r="AE38" s="141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3"/>
      <c r="AR38" s="17"/>
      <c r="AS38" s="142"/>
      <c r="AT38" s="142"/>
      <c r="AU38" s="142"/>
    </row>
    <row r="39" spans="2:47" ht="24" hidden="1" customHeight="1" outlineLevel="1" thickBot="1" x14ac:dyDescent="0.35">
      <c r="B39" s="476" t="s">
        <v>134</v>
      </c>
      <c r="C39" s="476"/>
      <c r="D39" s="476"/>
      <c r="E39" s="476"/>
      <c r="F39" s="476"/>
      <c r="G39" s="476"/>
      <c r="H39" s="429"/>
      <c r="I39" s="429"/>
      <c r="J39" s="429"/>
      <c r="K39" s="429"/>
      <c r="L39" s="429"/>
      <c r="M39" s="429"/>
      <c r="N39" s="429"/>
      <c r="O39" s="429"/>
      <c r="P39" s="429"/>
      <c r="Q39" s="429"/>
      <c r="R39" s="429"/>
      <c r="S39" s="429"/>
      <c r="T39" s="429"/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20" t="s">
        <v>39</v>
      </c>
      <c r="AF39" s="429"/>
      <c r="AG39" s="429"/>
      <c r="AH39" s="429"/>
      <c r="AI39" s="429"/>
      <c r="AJ39" s="429"/>
      <c r="AK39" s="429"/>
      <c r="AL39" s="429"/>
      <c r="AM39" s="429"/>
      <c r="AN39" s="429"/>
      <c r="AO39" s="429"/>
      <c r="AP39" s="429"/>
      <c r="AQ39" s="429"/>
      <c r="AR39" s="429"/>
      <c r="AS39" s="429"/>
      <c r="AT39" s="429"/>
      <c r="AU39" s="429"/>
    </row>
    <row r="40" spans="2:47" ht="24" hidden="1" customHeight="1" outlineLevel="1" thickBot="1" x14ac:dyDescent="0.35">
      <c r="B40" s="476" t="s">
        <v>40</v>
      </c>
      <c r="C40" s="476"/>
      <c r="D40" s="476"/>
      <c r="E40" s="476"/>
      <c r="F40" s="476"/>
      <c r="G40" s="476"/>
      <c r="H40" s="429"/>
      <c r="I40" s="429"/>
      <c r="J40" s="429"/>
      <c r="K40" s="429"/>
      <c r="L40" s="429"/>
      <c r="M40" s="429"/>
      <c r="N40" s="429"/>
      <c r="O40" s="429"/>
      <c r="P40" s="429"/>
      <c r="Q40" s="429"/>
      <c r="R40" s="429"/>
      <c r="S40" s="429"/>
      <c r="T40" s="429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  <c r="AN40" s="429"/>
      <c r="AO40" s="429"/>
      <c r="AP40" s="429"/>
      <c r="AQ40" s="429"/>
      <c r="AR40" s="429"/>
      <c r="AS40" s="429"/>
      <c r="AT40" s="429"/>
      <c r="AU40" s="429"/>
    </row>
    <row r="41" spans="2:47" ht="24" hidden="1" customHeight="1" outlineLevel="1" thickBot="1" x14ac:dyDescent="0.35">
      <c r="B41" s="476" t="s">
        <v>41</v>
      </c>
      <c r="C41" s="476"/>
      <c r="D41" s="476"/>
      <c r="E41" s="476"/>
      <c r="F41" s="476"/>
      <c r="G41" s="477"/>
      <c r="H41" s="434" t="s">
        <v>122</v>
      </c>
      <c r="I41" s="435"/>
      <c r="J41" s="435"/>
      <c r="K41" s="480" t="s">
        <v>42</v>
      </c>
      <c r="L41" s="480"/>
      <c r="M41" s="480"/>
      <c r="N41" s="480"/>
      <c r="O41" s="480"/>
      <c r="P41" s="429"/>
      <c r="Q41" s="429"/>
      <c r="R41" s="429"/>
      <c r="S41" s="429"/>
      <c r="T41" s="429"/>
      <c r="U41" s="429"/>
      <c r="V41" s="429"/>
      <c r="W41" s="429"/>
      <c r="X41" s="429"/>
      <c r="Y41" s="429"/>
      <c r="Z41" s="429"/>
      <c r="AA41" s="429"/>
      <c r="AB41" s="429"/>
      <c r="AC41" s="396" t="s">
        <v>45</v>
      </c>
      <c r="AD41" s="396"/>
      <c r="AE41" s="396"/>
      <c r="AF41" s="396"/>
      <c r="AG41" s="429"/>
      <c r="AH41" s="429"/>
      <c r="AI41" s="429"/>
      <c r="AJ41" s="429"/>
      <c r="AK41" s="429"/>
      <c r="AL41" s="429"/>
      <c r="AM41" s="429"/>
      <c r="AN41" s="429"/>
      <c r="AO41" s="429"/>
      <c r="AP41" s="429"/>
      <c r="AQ41" s="429"/>
      <c r="AR41" s="429"/>
      <c r="AS41" s="429"/>
      <c r="AT41" s="429"/>
      <c r="AU41" s="429"/>
    </row>
    <row r="42" spans="2:47" ht="24" hidden="1" customHeight="1" outlineLevel="1" thickBot="1" x14ac:dyDescent="0.35">
      <c r="B42" s="476" t="s">
        <v>44</v>
      </c>
      <c r="C42" s="476"/>
      <c r="D42" s="476"/>
      <c r="E42" s="476"/>
      <c r="F42" s="476"/>
      <c r="G42" s="476"/>
      <c r="H42" s="429"/>
      <c r="I42" s="429"/>
      <c r="J42" s="429"/>
      <c r="K42" s="429"/>
      <c r="L42" s="429"/>
      <c r="M42" s="429"/>
      <c r="N42" s="429"/>
      <c r="O42" s="429"/>
      <c r="P42" s="396" t="s">
        <v>68</v>
      </c>
      <c r="Q42" s="396"/>
      <c r="R42" s="396"/>
      <c r="S42" s="396"/>
      <c r="T42" s="429"/>
      <c r="U42" s="429"/>
      <c r="V42" s="429"/>
      <c r="W42" s="429"/>
      <c r="X42" s="429"/>
      <c r="Y42" s="440" t="s">
        <v>69</v>
      </c>
      <c r="Z42" s="440"/>
      <c r="AA42" s="429"/>
      <c r="AB42" s="429"/>
      <c r="AC42" s="429"/>
      <c r="AD42" s="429"/>
      <c r="AE42" s="429"/>
      <c r="AF42" s="437" t="s">
        <v>139</v>
      </c>
      <c r="AG42" s="437"/>
      <c r="AH42" s="437"/>
      <c r="AI42" s="429"/>
      <c r="AJ42" s="429"/>
      <c r="AK42" s="429"/>
      <c r="AL42" s="429"/>
      <c r="AM42" s="429"/>
      <c r="AN42" s="429"/>
      <c r="AO42" s="429"/>
      <c r="AP42" s="429"/>
      <c r="AQ42" s="429"/>
      <c r="AR42" s="429"/>
      <c r="AS42" s="429"/>
      <c r="AT42" s="429"/>
      <c r="AU42" s="429"/>
    </row>
    <row r="43" spans="2:47" ht="24" hidden="1" customHeight="1" outlineLevel="1" thickBot="1" x14ac:dyDescent="0.35">
      <c r="B43" s="476" t="s">
        <v>46</v>
      </c>
      <c r="C43" s="476"/>
      <c r="D43" s="476"/>
      <c r="E43" s="476"/>
      <c r="F43" s="476"/>
      <c r="G43" s="477"/>
      <c r="H43" s="458" t="s">
        <v>122</v>
      </c>
      <c r="I43" s="459"/>
      <c r="J43" s="459"/>
      <c r="K43" s="459"/>
      <c r="L43" s="459"/>
      <c r="M43" s="459"/>
      <c r="N43" s="459"/>
      <c r="O43" s="459"/>
      <c r="P43" s="396" t="s">
        <v>212</v>
      </c>
      <c r="Q43" s="396"/>
      <c r="R43" s="429"/>
      <c r="S43" s="429"/>
      <c r="T43" s="429"/>
      <c r="U43" s="429"/>
      <c r="V43" s="429"/>
      <c r="W43" s="429"/>
      <c r="X43" s="429"/>
      <c r="Y43" s="429"/>
      <c r="Z43" s="429"/>
      <c r="AA43" s="429"/>
      <c r="AB43" s="396" t="s">
        <v>47</v>
      </c>
      <c r="AC43" s="396"/>
      <c r="AD43" s="396"/>
      <c r="AE43" s="396"/>
      <c r="AF43" s="396"/>
      <c r="AG43" s="442"/>
      <c r="AH43" s="442"/>
      <c r="AI43" s="442"/>
      <c r="AJ43" s="442"/>
      <c r="AK43" s="442"/>
      <c r="AL43" s="442"/>
      <c r="AM43" s="442"/>
      <c r="AN43" s="442"/>
      <c r="AO43" s="442"/>
      <c r="AP43" s="442"/>
      <c r="AQ43" s="442"/>
      <c r="AR43" s="442"/>
      <c r="AS43" s="442"/>
      <c r="AT43" s="442"/>
      <c r="AU43" s="442"/>
    </row>
    <row r="44" spans="2:47" ht="24" hidden="1" customHeight="1" outlineLevel="1" thickBot="1" x14ac:dyDescent="0.35">
      <c r="B44" s="476" t="s">
        <v>83</v>
      </c>
      <c r="C44" s="476"/>
      <c r="D44" s="476"/>
      <c r="E44" s="476"/>
      <c r="F44" s="476"/>
      <c r="G44" s="476"/>
      <c r="H44" s="429"/>
      <c r="I44" s="429"/>
      <c r="J44" s="429"/>
      <c r="K44" s="429"/>
      <c r="L44" s="429"/>
      <c r="M44" s="429"/>
      <c r="N44" s="429"/>
      <c r="O44" s="429"/>
      <c r="P44" s="444" t="s">
        <v>49</v>
      </c>
      <c r="Q44" s="444"/>
      <c r="R44" s="429"/>
      <c r="S44" s="429"/>
      <c r="T44" s="429"/>
      <c r="U44" s="429"/>
      <c r="V44" s="429"/>
      <c r="W44" s="429"/>
      <c r="X44" s="429"/>
      <c r="Y44" s="429"/>
      <c r="Z44" s="429"/>
      <c r="AA44" s="429"/>
      <c r="AB44" s="396" t="s">
        <v>48</v>
      </c>
      <c r="AC44" s="396"/>
      <c r="AD44" s="396"/>
      <c r="AE44" s="396"/>
      <c r="AF44" s="396"/>
      <c r="AG44" s="443"/>
      <c r="AH44" s="443"/>
      <c r="AI44" s="443"/>
      <c r="AJ44" s="443"/>
      <c r="AK44" s="443"/>
      <c r="AL44" s="443"/>
      <c r="AM44" s="443"/>
      <c r="AN44" s="443"/>
      <c r="AO44" s="443"/>
      <c r="AP44" s="443"/>
      <c r="AQ44" s="443"/>
      <c r="AR44" s="443"/>
      <c r="AS44" s="443"/>
      <c r="AT44" s="443"/>
      <c r="AU44" s="443"/>
    </row>
    <row r="45" spans="2:47" ht="24" hidden="1" customHeight="1" outlineLevel="1" thickBot="1" x14ac:dyDescent="0.35">
      <c r="B45" s="484" t="s">
        <v>43</v>
      </c>
      <c r="C45" s="484"/>
      <c r="D45" s="484"/>
      <c r="E45" s="484"/>
      <c r="F45" s="484"/>
      <c r="G45" s="485"/>
      <c r="H45" s="434" t="s">
        <v>213</v>
      </c>
      <c r="I45" s="435"/>
      <c r="J45" s="435"/>
      <c r="K45" s="480" t="s">
        <v>140</v>
      </c>
      <c r="L45" s="480"/>
      <c r="M45" s="480"/>
      <c r="N45" s="480"/>
      <c r="O45" s="486"/>
      <c r="P45" s="434" t="s">
        <v>61</v>
      </c>
      <c r="Q45" s="435"/>
      <c r="R45" s="47"/>
      <c r="S45" s="47"/>
      <c r="T45" s="47"/>
      <c r="U45" s="47"/>
      <c r="V45" s="47"/>
      <c r="W45" s="47"/>
      <c r="X45" s="461"/>
      <c r="Y45" s="461"/>
      <c r="Z45" s="461"/>
      <c r="AA45" s="461"/>
      <c r="AB45" s="461"/>
      <c r="AC45" s="461"/>
      <c r="AD45" s="461"/>
      <c r="AE45" s="461"/>
      <c r="AF45" s="441"/>
      <c r="AG45" s="441"/>
      <c r="AH45" s="441"/>
      <c r="AI45" s="441"/>
      <c r="AJ45" s="441"/>
      <c r="AK45" s="441"/>
      <c r="AL45" s="441"/>
      <c r="AM45" s="441"/>
      <c r="AN45" s="441"/>
      <c r="AO45" s="441"/>
      <c r="AP45" s="441"/>
      <c r="AQ45" s="143"/>
      <c r="AR45" s="17"/>
      <c r="AS45" s="441"/>
      <c r="AT45" s="441"/>
      <c r="AU45" s="441"/>
    </row>
    <row r="46" spans="2:47" s="12" customFormat="1" ht="26.1" customHeight="1" collapsed="1" thickBot="1" x14ac:dyDescent="0.35">
      <c r="B46" s="445" t="s">
        <v>81</v>
      </c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446"/>
      <c r="T46" s="446"/>
      <c r="U46" s="446"/>
      <c r="V46" s="446"/>
      <c r="W46" s="446"/>
      <c r="X46" s="446"/>
      <c r="Y46" s="446"/>
      <c r="Z46" s="446"/>
      <c r="AA46" s="446"/>
      <c r="AB46" s="446"/>
      <c r="AC46" s="446"/>
      <c r="AD46" s="446"/>
      <c r="AE46" s="446"/>
      <c r="AF46" s="446"/>
      <c r="AG46" s="446"/>
      <c r="AH46" s="446"/>
      <c r="AI46" s="446"/>
      <c r="AJ46" s="446"/>
      <c r="AK46" s="446"/>
      <c r="AL46" s="446"/>
      <c r="AM46" s="446"/>
      <c r="AN46" s="446"/>
      <c r="AO46" s="446"/>
      <c r="AP46" s="446"/>
      <c r="AQ46" s="446"/>
      <c r="AR46" s="446"/>
      <c r="AS46" s="446"/>
      <c r="AT46" s="446"/>
      <c r="AU46" s="447"/>
    </row>
    <row r="47" spans="2:47" ht="24" hidden="1" customHeight="1" outlineLevel="1" thickBot="1" x14ac:dyDescent="0.35">
      <c r="B47" s="475" t="s">
        <v>38</v>
      </c>
      <c r="C47" s="475"/>
      <c r="D47" s="475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208"/>
      <c r="AC47" s="270"/>
      <c r="AD47" s="270"/>
      <c r="AE47" s="146" t="s">
        <v>39</v>
      </c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</row>
    <row r="48" spans="2:47" ht="24" hidden="1" customHeight="1" outlineLevel="1" thickBot="1" x14ac:dyDescent="0.35">
      <c r="B48" s="476" t="s">
        <v>40</v>
      </c>
      <c r="C48" s="476"/>
      <c r="D48" s="476"/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  <c r="AA48" s="442"/>
      <c r="AB48" s="442"/>
      <c r="AC48" s="442"/>
      <c r="AD48" s="442"/>
      <c r="AE48" s="442"/>
      <c r="AF48" s="442"/>
      <c r="AG48" s="442"/>
      <c r="AH48" s="442"/>
      <c r="AI48" s="442"/>
      <c r="AJ48" s="442"/>
      <c r="AK48" s="442"/>
      <c r="AL48" s="442"/>
      <c r="AM48" s="442"/>
      <c r="AN48" s="442"/>
      <c r="AO48" s="442"/>
      <c r="AP48" s="442"/>
      <c r="AQ48" s="442"/>
      <c r="AR48" s="442"/>
      <c r="AS48" s="442"/>
      <c r="AT48" s="442"/>
      <c r="AU48" s="442"/>
    </row>
    <row r="49" spans="1:48" ht="24" hidden="1" customHeight="1" outlineLevel="1" thickBot="1" x14ac:dyDescent="0.35">
      <c r="B49" s="476" t="s">
        <v>42</v>
      </c>
      <c r="C49" s="476"/>
      <c r="D49" s="476"/>
      <c r="E49" s="439"/>
      <c r="F49" s="439"/>
      <c r="G49" s="439"/>
      <c r="H49" s="439"/>
      <c r="I49" s="439"/>
      <c r="J49" s="439"/>
      <c r="K49" s="439"/>
      <c r="L49" s="439"/>
      <c r="M49" s="439"/>
      <c r="N49" s="396" t="s">
        <v>69</v>
      </c>
      <c r="O49" s="396"/>
      <c r="P49" s="429"/>
      <c r="Q49" s="429"/>
      <c r="R49" s="429"/>
      <c r="S49" s="429"/>
      <c r="T49" s="429"/>
      <c r="U49" s="396" t="s">
        <v>70</v>
      </c>
      <c r="V49" s="396"/>
      <c r="W49" s="429"/>
      <c r="X49" s="429"/>
      <c r="Y49" s="429"/>
      <c r="Z49" s="429"/>
      <c r="AA49" s="429"/>
      <c r="AB49" s="396" t="s">
        <v>71</v>
      </c>
      <c r="AC49" s="396"/>
      <c r="AD49" s="396"/>
      <c r="AE49" s="396"/>
      <c r="AF49" s="452"/>
      <c r="AG49" s="452"/>
      <c r="AH49" s="452"/>
      <c r="AI49" s="452"/>
      <c r="AJ49" s="452"/>
      <c r="AK49" s="452"/>
      <c r="AL49" s="452"/>
      <c r="AM49" s="452"/>
      <c r="AN49" s="452"/>
      <c r="AO49" s="452"/>
      <c r="AP49" s="452"/>
      <c r="AQ49" s="452"/>
      <c r="AR49" s="452"/>
      <c r="AS49" s="452"/>
      <c r="AT49" s="452"/>
      <c r="AU49" s="452"/>
    </row>
    <row r="50" spans="1:48" ht="24" hidden="1" customHeight="1" outlineLevel="1" thickBot="1" x14ac:dyDescent="0.35">
      <c r="B50" s="451" t="s">
        <v>72</v>
      </c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  <c r="AB50" s="451"/>
      <c r="AC50" s="451"/>
      <c r="AD50" s="451"/>
      <c r="AE50" s="451"/>
      <c r="AF50" s="451"/>
      <c r="AG50" s="451"/>
      <c r="AH50" s="451"/>
      <c r="AI50" s="451"/>
      <c r="AJ50" s="451"/>
      <c r="AK50" s="451"/>
      <c r="AL50" s="451"/>
      <c r="AM50" s="451"/>
      <c r="AN50" s="451"/>
      <c r="AO50" s="451"/>
      <c r="AP50" s="451"/>
      <c r="AQ50" s="451"/>
      <c r="AR50" s="451"/>
      <c r="AS50" s="451"/>
      <c r="AT50" s="451"/>
      <c r="AU50" s="17"/>
      <c r="AV50" s="17"/>
    </row>
    <row r="51" spans="1:48" ht="24" hidden="1" customHeight="1" outlineLevel="1" thickBot="1" x14ac:dyDescent="0.35">
      <c r="B51" s="476" t="s">
        <v>73</v>
      </c>
      <c r="C51" s="476"/>
      <c r="D51" s="476"/>
      <c r="E51" s="476"/>
      <c r="F51" s="476"/>
      <c r="G51" s="429"/>
      <c r="H51" s="429"/>
      <c r="I51" s="429"/>
      <c r="J51" s="429"/>
      <c r="K51" s="429"/>
      <c r="L51" s="429"/>
      <c r="M51" s="429"/>
      <c r="N51" s="429"/>
      <c r="O51" s="429"/>
      <c r="P51" s="429"/>
      <c r="Q51" s="429"/>
      <c r="R51" s="429"/>
      <c r="S51" s="429"/>
      <c r="T51" s="429"/>
      <c r="U51" s="429"/>
      <c r="V51" s="429"/>
      <c r="W51" s="429"/>
      <c r="X51" s="429"/>
      <c r="Y51" s="429"/>
      <c r="Z51" s="429"/>
      <c r="AA51" s="429"/>
      <c r="AB51" s="429"/>
      <c r="AC51" s="396" t="s">
        <v>74</v>
      </c>
      <c r="AD51" s="396"/>
      <c r="AE51" s="396"/>
      <c r="AF51" s="396"/>
      <c r="AG51" s="396"/>
      <c r="AH51" s="396"/>
      <c r="AI51" s="396"/>
      <c r="AJ51" s="396"/>
      <c r="AK51" s="453"/>
      <c r="AL51" s="453"/>
      <c r="AM51" s="453"/>
      <c r="AN51" s="453"/>
      <c r="AO51" s="453"/>
      <c r="AP51" s="453"/>
      <c r="AQ51" s="453"/>
      <c r="AR51" s="453"/>
      <c r="AS51" s="453"/>
      <c r="AT51" s="453"/>
      <c r="AU51" s="453"/>
    </row>
    <row r="52" spans="1:48" ht="24" hidden="1" customHeight="1" outlineLevel="1" thickBot="1" x14ac:dyDescent="0.35">
      <c r="B52" s="476" t="s">
        <v>75</v>
      </c>
      <c r="C52" s="476"/>
      <c r="D52" s="476"/>
      <c r="E52" s="476"/>
      <c r="F52" s="476"/>
      <c r="G52" s="429"/>
      <c r="H52" s="429"/>
      <c r="I52" s="429"/>
      <c r="J52" s="429"/>
      <c r="K52" s="429"/>
      <c r="L52" s="429"/>
      <c r="M52" s="429"/>
      <c r="N52" s="429"/>
      <c r="O52" s="429"/>
      <c r="P52" s="429"/>
      <c r="Q52" s="429"/>
      <c r="R52" s="429"/>
      <c r="S52" s="429"/>
      <c r="T52" s="429"/>
      <c r="U52" s="429"/>
      <c r="V52" s="429"/>
      <c r="W52" s="429"/>
      <c r="X52" s="429"/>
      <c r="Y52" s="429"/>
      <c r="Z52" s="429"/>
      <c r="AA52" s="429"/>
      <c r="AB52" s="429"/>
      <c r="AC52" s="396" t="s">
        <v>76</v>
      </c>
      <c r="AD52" s="396"/>
      <c r="AE52" s="396"/>
      <c r="AF52" s="396"/>
      <c r="AG52" s="396"/>
      <c r="AH52" s="396"/>
      <c r="AI52" s="396"/>
      <c r="AJ52" s="396"/>
      <c r="AK52" s="452"/>
      <c r="AL52" s="452"/>
      <c r="AM52" s="452"/>
      <c r="AN52" s="452"/>
      <c r="AO52" s="452"/>
      <c r="AP52" s="452"/>
      <c r="AQ52" s="452"/>
      <c r="AR52" s="452"/>
      <c r="AS52" s="452"/>
      <c r="AT52" s="452"/>
      <c r="AU52" s="452"/>
    </row>
    <row r="53" spans="1:48" ht="24" hidden="1" customHeight="1" outlineLevel="1" thickBot="1" x14ac:dyDescent="0.35">
      <c r="B53" s="476" t="s">
        <v>77</v>
      </c>
      <c r="C53" s="476"/>
      <c r="D53" s="476"/>
      <c r="E53" s="476"/>
      <c r="F53" s="476"/>
      <c r="G53" s="429"/>
      <c r="H53" s="429"/>
      <c r="I53" s="429"/>
      <c r="J53" s="429"/>
      <c r="K53" s="429"/>
      <c r="L53" s="429"/>
      <c r="M53" s="429"/>
      <c r="N53" s="429"/>
      <c r="O53" s="429"/>
      <c r="P53" s="429"/>
      <c r="Q53" s="429"/>
      <c r="R53" s="429"/>
      <c r="S53" s="429"/>
      <c r="T53" s="429"/>
      <c r="U53" s="429"/>
      <c r="V53" s="429"/>
      <c r="W53" s="429"/>
      <c r="X53" s="429"/>
      <c r="Y53" s="429"/>
      <c r="Z53" s="429"/>
      <c r="AA53" s="429"/>
      <c r="AB53" s="429"/>
      <c r="AC53" s="396" t="s">
        <v>78</v>
      </c>
      <c r="AD53" s="396"/>
      <c r="AE53" s="396"/>
      <c r="AF53" s="396"/>
      <c r="AG53" s="396"/>
      <c r="AH53" s="396"/>
      <c r="AI53" s="396"/>
      <c r="AJ53" s="396"/>
      <c r="AK53" s="452"/>
      <c r="AL53" s="452"/>
      <c r="AM53" s="452"/>
      <c r="AN53" s="452"/>
      <c r="AO53" s="452"/>
      <c r="AP53" s="452"/>
      <c r="AQ53" s="452"/>
      <c r="AR53" s="452"/>
      <c r="AS53" s="452"/>
      <c r="AT53" s="452"/>
      <c r="AU53" s="452"/>
    </row>
    <row r="54" spans="1:48" ht="24" hidden="1" customHeight="1" outlineLevel="1" thickBot="1" x14ac:dyDescent="0.35">
      <c r="B54" s="476" t="s">
        <v>79</v>
      </c>
      <c r="C54" s="476"/>
      <c r="D54" s="476"/>
      <c r="E54" s="476"/>
      <c r="F54" s="476"/>
      <c r="G54" s="429"/>
      <c r="H54" s="429"/>
      <c r="I54" s="429"/>
      <c r="J54" s="429"/>
      <c r="K54" s="429"/>
      <c r="L54" s="429"/>
      <c r="M54" s="429"/>
      <c r="N54" s="429"/>
      <c r="O54" s="429"/>
      <c r="P54" s="429"/>
      <c r="Q54" s="429"/>
      <c r="R54" s="429"/>
      <c r="S54" s="429"/>
      <c r="T54" s="429"/>
      <c r="U54" s="429"/>
      <c r="V54" s="429"/>
      <c r="W54" s="429"/>
      <c r="X54" s="429"/>
      <c r="Y54" s="429"/>
      <c r="Z54" s="429"/>
      <c r="AA54" s="429"/>
      <c r="AB54" s="429"/>
      <c r="AC54" s="147"/>
      <c r="AD54" s="147"/>
      <c r="AE54" s="146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149"/>
    </row>
    <row r="55" spans="1:48" ht="24" hidden="1" customHeight="1" outlineLevel="1" thickBot="1" x14ac:dyDescent="0.35">
      <c r="A55" s="17"/>
      <c r="B55" s="140"/>
      <c r="C55" s="22"/>
      <c r="D55" s="22"/>
      <c r="E55" s="22"/>
      <c r="F55" s="22"/>
      <c r="G55" s="22"/>
      <c r="H55" s="22"/>
      <c r="I55" s="22"/>
      <c r="J55" s="2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7"/>
      <c r="AD55" s="147"/>
      <c r="AE55" s="146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149"/>
    </row>
    <row r="56" spans="1:48" ht="24" hidden="1" customHeight="1" outlineLevel="1" thickBot="1" x14ac:dyDescent="0.35">
      <c r="B56" s="476" t="s">
        <v>217</v>
      </c>
      <c r="C56" s="476"/>
      <c r="D56" s="476"/>
      <c r="E56" s="476"/>
      <c r="F56" s="476"/>
      <c r="G56" s="476"/>
      <c r="H56" s="429"/>
      <c r="I56" s="429"/>
      <c r="J56" s="429"/>
      <c r="K56" s="429"/>
      <c r="L56" s="429"/>
      <c r="M56" s="429"/>
      <c r="N56" s="429"/>
      <c r="O56" s="429"/>
      <c r="P56" s="429"/>
      <c r="Q56" s="429"/>
      <c r="R56" s="429"/>
      <c r="S56" s="429"/>
      <c r="T56" s="429"/>
      <c r="U56" s="429"/>
      <c r="V56" s="429"/>
      <c r="W56" s="429"/>
      <c r="X56" s="429"/>
      <c r="Y56" s="429"/>
      <c r="Z56" s="429"/>
      <c r="AA56" s="429"/>
      <c r="AB56" s="429"/>
      <c r="AC56" s="429"/>
      <c r="AD56" s="429"/>
      <c r="AE56" s="20" t="s">
        <v>39</v>
      </c>
      <c r="AF56" s="483"/>
      <c r="AG56" s="483"/>
      <c r="AH56" s="483"/>
      <c r="AI56" s="483"/>
      <c r="AJ56" s="483"/>
      <c r="AK56" s="483"/>
      <c r="AL56" s="483"/>
      <c r="AM56" s="483"/>
      <c r="AN56" s="483"/>
      <c r="AO56" s="483"/>
      <c r="AP56" s="483"/>
      <c r="AQ56" s="483"/>
      <c r="AR56" s="483"/>
      <c r="AS56" s="483"/>
      <c r="AT56" s="483"/>
      <c r="AU56" s="483"/>
    </row>
    <row r="57" spans="1:48" ht="24" hidden="1" customHeight="1" outlineLevel="1" thickBot="1" x14ac:dyDescent="0.35">
      <c r="B57" s="476" t="s">
        <v>40</v>
      </c>
      <c r="C57" s="476"/>
      <c r="D57" s="476"/>
      <c r="E57" s="476"/>
      <c r="F57" s="476"/>
      <c r="G57" s="476"/>
      <c r="H57" s="442"/>
      <c r="I57" s="442"/>
      <c r="J57" s="442"/>
      <c r="K57" s="442"/>
      <c r="L57" s="442"/>
      <c r="M57" s="442"/>
      <c r="N57" s="442"/>
      <c r="O57" s="442"/>
      <c r="P57" s="442"/>
      <c r="Q57" s="442"/>
      <c r="R57" s="442"/>
      <c r="S57" s="442"/>
      <c r="T57" s="442"/>
      <c r="U57" s="442"/>
      <c r="V57" s="442"/>
      <c r="W57" s="442"/>
      <c r="X57" s="442"/>
      <c r="Y57" s="442"/>
      <c r="Z57" s="442"/>
      <c r="AA57" s="442"/>
      <c r="AB57" s="442"/>
      <c r="AC57" s="442"/>
      <c r="AD57" s="442"/>
      <c r="AE57" s="442"/>
      <c r="AF57" s="442"/>
      <c r="AG57" s="442"/>
      <c r="AH57" s="442"/>
      <c r="AI57" s="442"/>
      <c r="AJ57" s="442"/>
      <c r="AK57" s="442"/>
      <c r="AL57" s="442"/>
      <c r="AM57" s="442"/>
      <c r="AN57" s="442"/>
      <c r="AO57" s="442"/>
      <c r="AP57" s="442"/>
      <c r="AQ57" s="442"/>
      <c r="AR57" s="442"/>
      <c r="AS57" s="442"/>
      <c r="AT57" s="442"/>
      <c r="AU57" s="442"/>
    </row>
    <row r="58" spans="1:48" ht="24" hidden="1" customHeight="1" outlineLevel="1" thickBot="1" x14ac:dyDescent="0.35">
      <c r="B58" s="476" t="s">
        <v>41</v>
      </c>
      <c r="C58" s="476"/>
      <c r="D58" s="476"/>
      <c r="E58" s="476"/>
      <c r="F58" s="476"/>
      <c r="G58" s="477"/>
      <c r="H58" s="434" t="s">
        <v>122</v>
      </c>
      <c r="I58" s="435"/>
      <c r="J58" s="435"/>
      <c r="K58" s="487" t="s">
        <v>42</v>
      </c>
      <c r="L58" s="487"/>
      <c r="M58" s="487"/>
      <c r="N58" s="487"/>
      <c r="O58" s="487"/>
      <c r="P58" s="430"/>
      <c r="Q58" s="430"/>
      <c r="R58" s="430"/>
      <c r="S58" s="430"/>
      <c r="T58" s="430"/>
      <c r="U58" s="430"/>
      <c r="V58" s="430"/>
      <c r="W58" s="430"/>
      <c r="X58" s="430"/>
      <c r="Y58" s="430"/>
      <c r="Z58" s="430"/>
      <c r="AA58" s="430"/>
      <c r="AB58" s="205"/>
      <c r="AC58" s="396" t="s">
        <v>45</v>
      </c>
      <c r="AD58" s="396"/>
      <c r="AE58" s="396"/>
      <c r="AF58" s="396"/>
      <c r="AG58" s="429"/>
      <c r="AH58" s="429"/>
      <c r="AI58" s="429"/>
      <c r="AJ58" s="429"/>
      <c r="AK58" s="429"/>
      <c r="AL58" s="429"/>
      <c r="AM58" s="429"/>
      <c r="AN58" s="429"/>
      <c r="AO58" s="429"/>
      <c r="AP58" s="429"/>
      <c r="AQ58" s="429"/>
      <c r="AR58" s="429"/>
      <c r="AS58" s="429"/>
      <c r="AT58" s="429"/>
      <c r="AU58" s="429"/>
    </row>
    <row r="59" spans="1:48" ht="24" hidden="1" customHeight="1" outlineLevel="1" thickBot="1" x14ac:dyDescent="0.35">
      <c r="B59" s="476" t="s">
        <v>44</v>
      </c>
      <c r="C59" s="476"/>
      <c r="D59" s="476"/>
      <c r="E59" s="476"/>
      <c r="F59" s="476"/>
      <c r="G59" s="476"/>
      <c r="H59" s="442"/>
      <c r="I59" s="442"/>
      <c r="J59" s="442"/>
      <c r="K59" s="442"/>
      <c r="L59" s="442"/>
      <c r="M59" s="442"/>
      <c r="N59" s="442"/>
      <c r="O59" s="442"/>
      <c r="P59" s="396" t="s">
        <v>68</v>
      </c>
      <c r="Q59" s="396"/>
      <c r="R59" s="396"/>
      <c r="S59" s="396"/>
      <c r="T59" s="442"/>
      <c r="U59" s="442"/>
      <c r="V59" s="442"/>
      <c r="W59" s="442"/>
      <c r="X59" s="442"/>
      <c r="Y59" s="455" t="s">
        <v>69</v>
      </c>
      <c r="Z59" s="455"/>
      <c r="AA59" s="429"/>
      <c r="AB59" s="429"/>
      <c r="AC59" s="429"/>
      <c r="AD59" s="429"/>
      <c r="AE59" s="429"/>
      <c r="AF59" s="437" t="s">
        <v>139</v>
      </c>
      <c r="AG59" s="437"/>
      <c r="AH59" s="437"/>
      <c r="AI59" s="429"/>
      <c r="AJ59" s="429"/>
      <c r="AK59" s="429"/>
      <c r="AL59" s="429"/>
      <c r="AM59" s="429"/>
      <c r="AN59" s="429"/>
      <c r="AO59" s="429"/>
      <c r="AP59" s="429"/>
      <c r="AQ59" s="429"/>
      <c r="AR59" s="429"/>
      <c r="AS59" s="429"/>
      <c r="AT59" s="429"/>
      <c r="AU59" s="429"/>
    </row>
    <row r="60" spans="1:48" ht="24" hidden="1" customHeight="1" outlineLevel="1" thickBot="1" x14ac:dyDescent="0.35">
      <c r="B60" s="476" t="s">
        <v>46</v>
      </c>
      <c r="C60" s="476"/>
      <c r="D60" s="476"/>
      <c r="E60" s="476"/>
      <c r="F60" s="476"/>
      <c r="G60" s="477"/>
      <c r="H60" s="458" t="s">
        <v>122</v>
      </c>
      <c r="I60" s="459"/>
      <c r="J60" s="459"/>
      <c r="K60" s="459"/>
      <c r="L60" s="459"/>
      <c r="M60" s="459"/>
      <c r="N60" s="459"/>
      <c r="O60" s="459"/>
      <c r="P60" s="396" t="s">
        <v>212</v>
      </c>
      <c r="Q60" s="396"/>
      <c r="R60" s="442"/>
      <c r="S60" s="442"/>
      <c r="T60" s="442"/>
      <c r="U60" s="442"/>
      <c r="V60" s="442"/>
      <c r="W60" s="442"/>
      <c r="X60" s="442"/>
      <c r="Y60" s="442"/>
      <c r="Z60" s="442"/>
      <c r="AA60" s="442"/>
      <c r="AB60" s="454" t="s">
        <v>47</v>
      </c>
      <c r="AC60" s="454"/>
      <c r="AD60" s="454"/>
      <c r="AE60" s="454"/>
      <c r="AF60" s="454"/>
      <c r="AG60" s="442"/>
      <c r="AH60" s="442"/>
      <c r="AI60" s="442"/>
      <c r="AJ60" s="442"/>
      <c r="AK60" s="442"/>
      <c r="AL60" s="442"/>
      <c r="AM60" s="442"/>
      <c r="AN60" s="442"/>
      <c r="AO60" s="442"/>
      <c r="AP60" s="442"/>
      <c r="AQ60" s="442"/>
      <c r="AR60" s="442"/>
      <c r="AS60" s="442"/>
      <c r="AT60" s="442"/>
      <c r="AU60" s="442"/>
    </row>
    <row r="61" spans="1:48" ht="24" hidden="1" customHeight="1" outlineLevel="1" x14ac:dyDescent="0.3">
      <c r="B61" s="476" t="s">
        <v>83</v>
      </c>
      <c r="C61" s="476"/>
      <c r="D61" s="476"/>
      <c r="E61" s="476"/>
      <c r="F61" s="476"/>
      <c r="G61" s="476"/>
      <c r="H61" s="442"/>
      <c r="I61" s="442"/>
      <c r="J61" s="442"/>
      <c r="K61" s="442"/>
      <c r="L61" s="442"/>
      <c r="M61" s="442"/>
      <c r="N61" s="442"/>
      <c r="O61" s="442"/>
      <c r="P61" s="444" t="s">
        <v>49</v>
      </c>
      <c r="Q61" s="444"/>
      <c r="R61" s="442"/>
      <c r="S61" s="442"/>
      <c r="T61" s="442"/>
      <c r="U61" s="442"/>
      <c r="V61" s="442"/>
      <c r="W61" s="442"/>
      <c r="X61" s="442"/>
      <c r="Y61" s="442"/>
      <c r="Z61" s="442"/>
      <c r="AA61" s="442"/>
      <c r="AB61" s="396" t="s">
        <v>48</v>
      </c>
      <c r="AC61" s="396"/>
      <c r="AD61" s="396"/>
      <c r="AE61" s="396"/>
      <c r="AF61" s="396"/>
      <c r="AG61" s="443"/>
      <c r="AH61" s="443"/>
      <c r="AI61" s="443"/>
      <c r="AJ61" s="443"/>
      <c r="AK61" s="443"/>
      <c r="AL61" s="443"/>
      <c r="AM61" s="443"/>
      <c r="AN61" s="443"/>
      <c r="AO61" s="443"/>
      <c r="AP61" s="443"/>
      <c r="AQ61" s="443"/>
      <c r="AR61" s="443"/>
      <c r="AS61" s="443"/>
      <c r="AT61" s="443"/>
      <c r="AU61" s="443"/>
    </row>
    <row r="62" spans="1:48" ht="24" hidden="1" customHeight="1" outlineLevel="1" x14ac:dyDescent="0.3">
      <c r="B62" s="476" t="s">
        <v>43</v>
      </c>
      <c r="C62" s="476"/>
      <c r="D62" s="476"/>
      <c r="E62" s="476"/>
      <c r="F62" s="476"/>
      <c r="G62" s="477"/>
      <c r="H62" s="434" t="s">
        <v>213</v>
      </c>
      <c r="I62" s="435"/>
      <c r="J62" s="435"/>
      <c r="K62" s="454" t="s">
        <v>140</v>
      </c>
      <c r="L62" s="454"/>
      <c r="M62" s="454"/>
      <c r="N62" s="454"/>
      <c r="O62" s="457"/>
      <c r="P62" s="434" t="s">
        <v>61</v>
      </c>
      <c r="Q62" s="435"/>
      <c r="R62" s="435"/>
      <c r="S62" s="12"/>
      <c r="T62" s="12"/>
      <c r="U62" s="47"/>
      <c r="V62" s="47"/>
      <c r="W62" s="47"/>
      <c r="X62" s="461"/>
      <c r="Y62" s="461"/>
      <c r="Z62" s="461"/>
      <c r="AA62" s="461"/>
      <c r="AB62" s="461"/>
      <c r="AC62" s="461"/>
      <c r="AD62" s="461"/>
      <c r="AE62" s="461"/>
      <c r="AF62" s="441"/>
      <c r="AG62" s="441"/>
      <c r="AH62" s="441"/>
      <c r="AI62" s="441"/>
      <c r="AJ62" s="441"/>
      <c r="AK62" s="441"/>
      <c r="AL62" s="441"/>
      <c r="AM62" s="441"/>
      <c r="AN62" s="441"/>
      <c r="AO62" s="441"/>
      <c r="AP62" s="441"/>
      <c r="AQ62" s="143"/>
      <c r="AR62" s="17"/>
      <c r="AS62" s="441"/>
      <c r="AT62" s="441"/>
      <c r="AU62" s="441"/>
    </row>
    <row r="63" spans="1:48" ht="24" hidden="1" customHeight="1" outlineLevel="1" thickBot="1" x14ac:dyDescent="0.35">
      <c r="B63" s="140"/>
      <c r="C63" s="22"/>
      <c r="D63" s="22"/>
      <c r="E63" s="22"/>
      <c r="F63" s="22"/>
      <c r="G63" s="22"/>
      <c r="H63" s="144"/>
      <c r="I63" s="144"/>
      <c r="J63" s="144"/>
      <c r="K63" s="47"/>
      <c r="L63" s="140"/>
      <c r="M63" s="140"/>
      <c r="N63" s="140"/>
      <c r="O63" s="140"/>
      <c r="P63" s="144"/>
      <c r="Q63" s="47"/>
      <c r="R63" s="47"/>
      <c r="S63" s="47"/>
      <c r="T63" s="47"/>
      <c r="U63" s="47"/>
      <c r="V63" s="47"/>
      <c r="W63" s="47"/>
      <c r="X63" s="141"/>
      <c r="Y63" s="141"/>
      <c r="Z63" s="141"/>
      <c r="AA63" s="141"/>
      <c r="AB63" s="141"/>
      <c r="AC63" s="141"/>
      <c r="AD63" s="141"/>
      <c r="AE63" s="141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7"/>
      <c r="AS63" s="142"/>
      <c r="AT63" s="142"/>
      <c r="AU63" s="142"/>
    </row>
    <row r="64" spans="1:48" ht="24" hidden="1" customHeight="1" outlineLevel="1" thickBot="1" x14ac:dyDescent="0.35">
      <c r="B64" s="396" t="s">
        <v>218</v>
      </c>
      <c r="C64" s="396"/>
      <c r="D64" s="396"/>
      <c r="E64" s="396"/>
      <c r="F64" s="396"/>
      <c r="G64" s="396"/>
      <c r="H64" s="429"/>
      <c r="I64" s="429"/>
      <c r="J64" s="429"/>
      <c r="K64" s="429"/>
      <c r="L64" s="429"/>
      <c r="M64" s="429"/>
      <c r="N64" s="429"/>
      <c r="O64" s="429"/>
      <c r="P64" s="429"/>
      <c r="Q64" s="429"/>
      <c r="R64" s="429"/>
      <c r="S64" s="429"/>
      <c r="T64" s="429"/>
      <c r="U64" s="429"/>
      <c r="V64" s="429"/>
      <c r="W64" s="429"/>
      <c r="X64" s="429"/>
      <c r="Y64" s="429"/>
      <c r="Z64" s="429"/>
      <c r="AA64" s="429"/>
      <c r="AB64" s="429"/>
      <c r="AC64" s="429"/>
      <c r="AD64" s="429"/>
      <c r="AE64" s="20" t="s">
        <v>39</v>
      </c>
      <c r="AF64" s="483"/>
      <c r="AG64" s="483"/>
      <c r="AH64" s="483"/>
      <c r="AI64" s="483"/>
      <c r="AJ64" s="483"/>
      <c r="AK64" s="483"/>
      <c r="AL64" s="483"/>
      <c r="AM64" s="483"/>
      <c r="AN64" s="483"/>
      <c r="AO64" s="483"/>
      <c r="AP64" s="483"/>
      <c r="AQ64" s="483"/>
      <c r="AR64" s="483"/>
      <c r="AS64" s="483"/>
      <c r="AT64" s="483"/>
      <c r="AU64" s="483"/>
    </row>
    <row r="65" spans="1:47" ht="24" hidden="1" customHeight="1" outlineLevel="1" thickBot="1" x14ac:dyDescent="0.35">
      <c r="B65" s="476" t="s">
        <v>40</v>
      </c>
      <c r="C65" s="476"/>
      <c r="D65" s="476"/>
      <c r="E65" s="476"/>
      <c r="F65" s="476"/>
      <c r="G65" s="476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  <c r="AA65" s="442"/>
      <c r="AB65" s="442"/>
      <c r="AC65" s="442"/>
      <c r="AD65" s="442"/>
      <c r="AE65" s="442"/>
      <c r="AF65" s="442"/>
      <c r="AG65" s="442"/>
      <c r="AH65" s="442"/>
      <c r="AI65" s="442"/>
      <c r="AJ65" s="442"/>
      <c r="AK65" s="442"/>
      <c r="AL65" s="442"/>
      <c r="AM65" s="442"/>
      <c r="AN65" s="442"/>
      <c r="AO65" s="442"/>
      <c r="AP65" s="442"/>
      <c r="AQ65" s="442"/>
      <c r="AR65" s="442"/>
      <c r="AS65" s="442"/>
      <c r="AT65" s="442"/>
      <c r="AU65" s="442"/>
    </row>
    <row r="66" spans="1:47" ht="24" hidden="1" customHeight="1" outlineLevel="1" thickBot="1" x14ac:dyDescent="0.35">
      <c r="B66" s="476" t="s">
        <v>41</v>
      </c>
      <c r="C66" s="476"/>
      <c r="D66" s="476"/>
      <c r="E66" s="476"/>
      <c r="F66" s="476"/>
      <c r="G66" s="477"/>
      <c r="H66" s="434" t="s">
        <v>122</v>
      </c>
      <c r="I66" s="435"/>
      <c r="J66" s="435"/>
      <c r="K66" s="460" t="s">
        <v>42</v>
      </c>
      <c r="L66" s="460"/>
      <c r="M66" s="460"/>
      <c r="N66" s="460"/>
      <c r="O66" s="460"/>
      <c r="P66" s="430"/>
      <c r="Q66" s="430"/>
      <c r="R66" s="430"/>
      <c r="S66" s="430"/>
      <c r="T66" s="430"/>
      <c r="U66" s="430"/>
      <c r="V66" s="430"/>
      <c r="W66" s="430"/>
      <c r="X66" s="430"/>
      <c r="Y66" s="430"/>
      <c r="Z66" s="430"/>
      <c r="AA66" s="430"/>
      <c r="AB66" s="298"/>
      <c r="AC66" s="396" t="s">
        <v>45</v>
      </c>
      <c r="AD66" s="396"/>
      <c r="AE66" s="396"/>
      <c r="AF66" s="396"/>
      <c r="AG66" s="429"/>
      <c r="AH66" s="429"/>
      <c r="AI66" s="429"/>
      <c r="AJ66" s="429"/>
      <c r="AK66" s="429"/>
      <c r="AL66" s="429"/>
      <c r="AM66" s="429"/>
      <c r="AN66" s="429"/>
      <c r="AO66" s="429"/>
      <c r="AP66" s="429"/>
      <c r="AQ66" s="429"/>
      <c r="AR66" s="429"/>
      <c r="AS66" s="429"/>
      <c r="AT66" s="429"/>
      <c r="AU66" s="429"/>
    </row>
    <row r="67" spans="1:47" ht="24" hidden="1" customHeight="1" outlineLevel="1" thickBot="1" x14ac:dyDescent="0.35">
      <c r="B67" s="476" t="s">
        <v>44</v>
      </c>
      <c r="C67" s="476"/>
      <c r="D67" s="476"/>
      <c r="E67" s="476"/>
      <c r="F67" s="476"/>
      <c r="G67" s="476"/>
      <c r="H67" s="442"/>
      <c r="I67" s="442"/>
      <c r="J67" s="442"/>
      <c r="K67" s="442"/>
      <c r="L67" s="442"/>
      <c r="M67" s="442"/>
      <c r="N67" s="442"/>
      <c r="O67" s="442"/>
      <c r="P67" s="396" t="s">
        <v>68</v>
      </c>
      <c r="Q67" s="396"/>
      <c r="R67" s="396"/>
      <c r="S67" s="396"/>
      <c r="T67" s="442"/>
      <c r="U67" s="442"/>
      <c r="V67" s="442"/>
      <c r="W67" s="442"/>
      <c r="X67" s="442"/>
      <c r="Y67" s="455" t="s">
        <v>69</v>
      </c>
      <c r="Z67" s="455"/>
      <c r="AA67" s="429"/>
      <c r="AB67" s="429"/>
      <c r="AC67" s="429"/>
      <c r="AD67" s="429"/>
      <c r="AE67" s="429"/>
      <c r="AF67" s="437" t="s">
        <v>139</v>
      </c>
      <c r="AG67" s="437"/>
      <c r="AH67" s="437"/>
      <c r="AI67" s="429"/>
      <c r="AJ67" s="429"/>
      <c r="AK67" s="429"/>
      <c r="AL67" s="429"/>
      <c r="AM67" s="429"/>
      <c r="AN67" s="429"/>
      <c r="AO67" s="429"/>
      <c r="AP67" s="429"/>
      <c r="AQ67" s="429"/>
      <c r="AR67" s="429"/>
      <c r="AS67" s="429"/>
      <c r="AT67" s="429"/>
      <c r="AU67" s="429"/>
    </row>
    <row r="68" spans="1:47" ht="24" hidden="1" customHeight="1" outlineLevel="1" thickBot="1" x14ac:dyDescent="0.35">
      <c r="B68" s="476" t="s">
        <v>46</v>
      </c>
      <c r="C68" s="476"/>
      <c r="D68" s="476"/>
      <c r="E68" s="476"/>
      <c r="F68" s="476"/>
      <c r="G68" s="477"/>
      <c r="H68" s="458" t="s">
        <v>122</v>
      </c>
      <c r="I68" s="459"/>
      <c r="J68" s="459"/>
      <c r="K68" s="459"/>
      <c r="L68" s="459"/>
      <c r="M68" s="459"/>
      <c r="N68" s="459"/>
      <c r="O68" s="459"/>
      <c r="P68" s="396" t="s">
        <v>212</v>
      </c>
      <c r="Q68" s="396"/>
      <c r="R68" s="442"/>
      <c r="S68" s="442"/>
      <c r="T68" s="442"/>
      <c r="U68" s="442"/>
      <c r="V68" s="442"/>
      <c r="W68" s="442"/>
      <c r="X68" s="442"/>
      <c r="Y68" s="442"/>
      <c r="Z68" s="442"/>
      <c r="AA68" s="442"/>
      <c r="AB68" s="454" t="s">
        <v>47</v>
      </c>
      <c r="AC68" s="454"/>
      <c r="AD68" s="454"/>
      <c r="AE68" s="454"/>
      <c r="AF68" s="454"/>
      <c r="AG68" s="442"/>
      <c r="AH68" s="442"/>
      <c r="AI68" s="442"/>
      <c r="AJ68" s="442"/>
      <c r="AK68" s="442"/>
      <c r="AL68" s="442"/>
      <c r="AM68" s="442"/>
      <c r="AN68" s="442"/>
      <c r="AO68" s="442"/>
      <c r="AP68" s="442"/>
      <c r="AQ68" s="442"/>
      <c r="AR68" s="442"/>
      <c r="AS68" s="442"/>
      <c r="AT68" s="442"/>
      <c r="AU68" s="442"/>
    </row>
    <row r="69" spans="1:47" ht="24" hidden="1" customHeight="1" outlineLevel="1" x14ac:dyDescent="0.3">
      <c r="B69" s="476" t="s">
        <v>83</v>
      </c>
      <c r="C69" s="476"/>
      <c r="D69" s="476"/>
      <c r="E69" s="476"/>
      <c r="F69" s="476"/>
      <c r="G69" s="476"/>
      <c r="H69" s="442"/>
      <c r="I69" s="442"/>
      <c r="J69" s="442"/>
      <c r="K69" s="442"/>
      <c r="L69" s="442"/>
      <c r="M69" s="442"/>
      <c r="N69" s="442"/>
      <c r="O69" s="442"/>
      <c r="P69" s="456" t="s">
        <v>49</v>
      </c>
      <c r="Q69" s="456"/>
      <c r="R69" s="442"/>
      <c r="S69" s="442"/>
      <c r="T69" s="442"/>
      <c r="U69" s="442"/>
      <c r="V69" s="442"/>
      <c r="W69" s="442"/>
      <c r="X69" s="442"/>
      <c r="Y69" s="442"/>
      <c r="Z69" s="442"/>
      <c r="AA69" s="442"/>
      <c r="AB69" s="454" t="s">
        <v>48</v>
      </c>
      <c r="AC69" s="454"/>
      <c r="AD69" s="454"/>
      <c r="AE69" s="454"/>
      <c r="AF69" s="454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</row>
    <row r="70" spans="1:47" ht="24" hidden="1" customHeight="1" outlineLevel="1" x14ac:dyDescent="0.3">
      <c r="B70" s="476" t="s">
        <v>43</v>
      </c>
      <c r="C70" s="476"/>
      <c r="D70" s="476"/>
      <c r="E70" s="476"/>
      <c r="F70" s="476"/>
      <c r="G70" s="477"/>
      <c r="H70" s="434" t="s">
        <v>213</v>
      </c>
      <c r="I70" s="435"/>
      <c r="J70" s="435"/>
      <c r="K70" s="454" t="s">
        <v>140</v>
      </c>
      <c r="L70" s="454"/>
      <c r="M70" s="454"/>
      <c r="N70" s="454"/>
      <c r="O70" s="457"/>
      <c r="P70" s="434" t="s">
        <v>61</v>
      </c>
      <c r="Q70" s="435"/>
      <c r="R70" s="435"/>
      <c r="S70" s="12"/>
      <c r="T70" s="47"/>
      <c r="U70" s="47"/>
      <c r="V70" s="47"/>
      <c r="W70" s="47"/>
      <c r="X70" s="461"/>
      <c r="Y70" s="461"/>
      <c r="Z70" s="461"/>
      <c r="AA70" s="461"/>
      <c r="AB70" s="461"/>
      <c r="AC70" s="461"/>
      <c r="AD70" s="461"/>
      <c r="AE70" s="461"/>
      <c r="AF70" s="441"/>
      <c r="AG70" s="441"/>
      <c r="AH70" s="441"/>
      <c r="AI70" s="441"/>
      <c r="AJ70" s="441"/>
      <c r="AK70" s="441"/>
      <c r="AL70" s="441"/>
      <c r="AM70" s="441"/>
      <c r="AN70" s="441"/>
      <c r="AO70" s="441"/>
      <c r="AP70" s="441"/>
      <c r="AQ70" s="143"/>
      <c r="AR70" s="17"/>
      <c r="AS70" s="441"/>
      <c r="AT70" s="441"/>
      <c r="AU70" s="441"/>
    </row>
    <row r="71" spans="1:47" ht="24" hidden="1" customHeight="1" outlineLevel="1" thickBot="1" x14ac:dyDescent="0.35">
      <c r="B71" s="140"/>
      <c r="C71" s="22"/>
      <c r="D71" s="22"/>
      <c r="E71" s="22"/>
      <c r="F71" s="22"/>
      <c r="G71" s="22"/>
      <c r="H71" s="144"/>
      <c r="I71" s="144"/>
      <c r="J71" s="144"/>
      <c r="K71" s="47"/>
      <c r="L71" s="140"/>
      <c r="M71" s="140"/>
      <c r="N71" s="140"/>
      <c r="O71" s="140"/>
      <c r="P71" s="144"/>
      <c r="Q71" s="47"/>
      <c r="R71" s="47"/>
      <c r="S71" s="47"/>
      <c r="T71" s="47"/>
      <c r="U71" s="47"/>
      <c r="V71" s="47"/>
      <c r="W71" s="47"/>
      <c r="X71" s="141"/>
      <c r="Y71" s="141"/>
      <c r="Z71" s="141"/>
      <c r="AA71" s="141"/>
      <c r="AB71" s="141"/>
      <c r="AC71" s="141"/>
      <c r="AD71" s="141"/>
      <c r="AE71" s="141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3"/>
      <c r="AR71" s="17"/>
      <c r="AS71" s="142"/>
      <c r="AT71" s="142"/>
      <c r="AU71" s="142"/>
    </row>
    <row r="72" spans="1:47" ht="24" hidden="1" customHeight="1" outlineLevel="1" thickBot="1" x14ac:dyDescent="0.35">
      <c r="B72" s="476" t="s">
        <v>219</v>
      </c>
      <c r="C72" s="476"/>
      <c r="D72" s="476"/>
      <c r="E72" s="476"/>
      <c r="F72" s="476"/>
      <c r="G72" s="476"/>
      <c r="H72" s="429"/>
      <c r="I72" s="429"/>
      <c r="J72" s="429"/>
      <c r="K72" s="429"/>
      <c r="L72" s="429"/>
      <c r="M72" s="429"/>
      <c r="N72" s="429"/>
      <c r="O72" s="429"/>
      <c r="P72" s="429"/>
      <c r="Q72" s="429"/>
      <c r="R72" s="429"/>
      <c r="S72" s="429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20" t="s">
        <v>39</v>
      </c>
      <c r="AF72" s="429"/>
      <c r="AG72" s="429"/>
      <c r="AH72" s="429"/>
      <c r="AI72" s="429"/>
      <c r="AJ72" s="429"/>
      <c r="AK72" s="429"/>
      <c r="AL72" s="429"/>
      <c r="AM72" s="429"/>
      <c r="AN72" s="429"/>
      <c r="AO72" s="429"/>
      <c r="AP72" s="429"/>
      <c r="AQ72" s="429"/>
      <c r="AR72" s="429"/>
      <c r="AS72" s="429"/>
      <c r="AT72" s="429"/>
      <c r="AU72" s="429"/>
    </row>
    <row r="73" spans="1:47" ht="24" hidden="1" customHeight="1" outlineLevel="1" thickBot="1" x14ac:dyDescent="0.35">
      <c r="B73" s="476" t="s">
        <v>40</v>
      </c>
      <c r="C73" s="476"/>
      <c r="D73" s="476"/>
      <c r="E73" s="476"/>
      <c r="F73" s="476"/>
      <c r="G73" s="476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</row>
    <row r="74" spans="1:47" ht="24" hidden="1" customHeight="1" outlineLevel="1" thickBot="1" x14ac:dyDescent="0.35">
      <c r="B74" s="476" t="s">
        <v>41</v>
      </c>
      <c r="C74" s="476"/>
      <c r="D74" s="476"/>
      <c r="E74" s="476"/>
      <c r="F74" s="476"/>
      <c r="G74" s="477"/>
      <c r="H74" s="434" t="s">
        <v>122</v>
      </c>
      <c r="I74" s="435"/>
      <c r="J74" s="435"/>
      <c r="K74" s="460" t="s">
        <v>42</v>
      </c>
      <c r="L74" s="460"/>
      <c r="M74" s="460"/>
      <c r="N74" s="460"/>
      <c r="O74" s="460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  <c r="AA74" s="442"/>
      <c r="AB74" s="442"/>
      <c r="AC74" s="396" t="s">
        <v>45</v>
      </c>
      <c r="AD74" s="396"/>
      <c r="AE74" s="396"/>
      <c r="AF74" s="396"/>
      <c r="AG74" s="429"/>
      <c r="AH74" s="429"/>
      <c r="AI74" s="429"/>
      <c r="AJ74" s="429"/>
      <c r="AK74" s="429"/>
      <c r="AL74" s="429"/>
      <c r="AM74" s="429"/>
      <c r="AN74" s="429"/>
      <c r="AO74" s="429"/>
      <c r="AP74" s="429"/>
      <c r="AQ74" s="429"/>
      <c r="AR74" s="429"/>
      <c r="AS74" s="429"/>
      <c r="AT74" s="429"/>
      <c r="AU74" s="429"/>
    </row>
    <row r="75" spans="1:47" ht="24" hidden="1" customHeight="1" outlineLevel="1" thickBot="1" x14ac:dyDescent="0.35">
      <c r="B75" s="476" t="s">
        <v>44</v>
      </c>
      <c r="C75" s="476"/>
      <c r="D75" s="476"/>
      <c r="E75" s="476"/>
      <c r="F75" s="476"/>
      <c r="G75" s="476"/>
      <c r="H75" s="442"/>
      <c r="I75" s="442"/>
      <c r="J75" s="442"/>
      <c r="K75" s="442"/>
      <c r="L75" s="442"/>
      <c r="M75" s="442"/>
      <c r="N75" s="442"/>
      <c r="O75" s="442"/>
      <c r="P75" s="396" t="s">
        <v>68</v>
      </c>
      <c r="Q75" s="396"/>
      <c r="R75" s="396"/>
      <c r="S75" s="396"/>
      <c r="T75" s="442"/>
      <c r="U75" s="442"/>
      <c r="V75" s="442"/>
      <c r="W75" s="442"/>
      <c r="X75" s="442"/>
      <c r="Y75" s="455" t="s">
        <v>69</v>
      </c>
      <c r="Z75" s="455"/>
      <c r="AA75" s="429"/>
      <c r="AB75" s="429"/>
      <c r="AC75" s="429"/>
      <c r="AD75" s="429"/>
      <c r="AE75" s="429"/>
      <c r="AF75" s="437" t="s">
        <v>139</v>
      </c>
      <c r="AG75" s="437"/>
      <c r="AH75" s="437"/>
      <c r="AI75" s="429"/>
      <c r="AJ75" s="429"/>
      <c r="AK75" s="429"/>
      <c r="AL75" s="429"/>
      <c r="AM75" s="429"/>
      <c r="AN75" s="429"/>
      <c r="AO75" s="429"/>
      <c r="AP75" s="429"/>
      <c r="AQ75" s="429"/>
      <c r="AR75" s="429"/>
      <c r="AS75" s="429"/>
      <c r="AT75" s="429"/>
      <c r="AU75" s="429"/>
    </row>
    <row r="76" spans="1:47" ht="24" hidden="1" customHeight="1" outlineLevel="1" thickBot="1" x14ac:dyDescent="0.35">
      <c r="B76" s="476" t="s">
        <v>46</v>
      </c>
      <c r="C76" s="476"/>
      <c r="D76" s="476"/>
      <c r="E76" s="476"/>
      <c r="F76" s="476"/>
      <c r="G76" s="477"/>
      <c r="H76" s="458" t="s">
        <v>122</v>
      </c>
      <c r="I76" s="459"/>
      <c r="J76" s="459"/>
      <c r="K76" s="459"/>
      <c r="L76" s="459"/>
      <c r="M76" s="459"/>
      <c r="N76" s="459"/>
      <c r="O76" s="459"/>
      <c r="P76" s="396" t="s">
        <v>212</v>
      </c>
      <c r="Q76" s="396"/>
      <c r="R76" s="442"/>
      <c r="S76" s="442"/>
      <c r="T76" s="442"/>
      <c r="U76" s="442"/>
      <c r="V76" s="442"/>
      <c r="W76" s="442"/>
      <c r="X76" s="442"/>
      <c r="Y76" s="442"/>
      <c r="Z76" s="442"/>
      <c r="AA76" s="442"/>
      <c r="AB76" s="454" t="s">
        <v>47</v>
      </c>
      <c r="AC76" s="454"/>
      <c r="AD76" s="454"/>
      <c r="AE76" s="454"/>
      <c r="AF76" s="454"/>
      <c r="AG76" s="442"/>
      <c r="AH76" s="442"/>
      <c r="AI76" s="442"/>
      <c r="AJ76" s="442"/>
      <c r="AK76" s="442"/>
      <c r="AL76" s="442"/>
      <c r="AM76" s="442"/>
      <c r="AN76" s="442"/>
      <c r="AO76" s="442"/>
      <c r="AP76" s="442"/>
      <c r="AQ76" s="442"/>
      <c r="AR76" s="442"/>
      <c r="AS76" s="442"/>
      <c r="AT76" s="442"/>
      <c r="AU76" s="442"/>
    </row>
    <row r="77" spans="1:47" ht="24" hidden="1" customHeight="1" outlineLevel="1" x14ac:dyDescent="0.3">
      <c r="B77" s="476" t="s">
        <v>83</v>
      </c>
      <c r="C77" s="476"/>
      <c r="D77" s="476"/>
      <c r="E77" s="476"/>
      <c r="F77" s="476"/>
      <c r="G77" s="476"/>
      <c r="H77" s="442"/>
      <c r="I77" s="442"/>
      <c r="J77" s="442"/>
      <c r="K77" s="442"/>
      <c r="L77" s="442"/>
      <c r="M77" s="442"/>
      <c r="N77" s="442"/>
      <c r="O77" s="442"/>
      <c r="P77" s="456" t="s">
        <v>49</v>
      </c>
      <c r="Q77" s="456"/>
      <c r="R77" s="442"/>
      <c r="S77" s="442"/>
      <c r="T77" s="442"/>
      <c r="U77" s="442"/>
      <c r="V77" s="442"/>
      <c r="W77" s="442"/>
      <c r="X77" s="442"/>
      <c r="Y77" s="442"/>
      <c r="Z77" s="442"/>
      <c r="AA77" s="442"/>
      <c r="AB77" s="454" t="s">
        <v>48</v>
      </c>
      <c r="AC77" s="454"/>
      <c r="AD77" s="454"/>
      <c r="AE77" s="454"/>
      <c r="AF77" s="454"/>
      <c r="AG77" s="443"/>
      <c r="AH77" s="443"/>
      <c r="AI77" s="443"/>
      <c r="AJ77" s="443"/>
      <c r="AK77" s="443"/>
      <c r="AL77" s="443"/>
      <c r="AM77" s="443"/>
      <c r="AN77" s="443"/>
      <c r="AO77" s="443"/>
      <c r="AP77" s="443"/>
      <c r="AQ77" s="443"/>
      <c r="AR77" s="443"/>
      <c r="AS77" s="443"/>
      <c r="AT77" s="443"/>
      <c r="AU77" s="443"/>
    </row>
    <row r="78" spans="1:47" ht="24" hidden="1" customHeight="1" outlineLevel="1" thickBot="1" x14ac:dyDescent="0.35">
      <c r="B78" s="476" t="s">
        <v>43</v>
      </c>
      <c r="C78" s="476"/>
      <c r="D78" s="476"/>
      <c r="E78" s="476"/>
      <c r="F78" s="476"/>
      <c r="G78" s="477"/>
      <c r="H78" s="434" t="s">
        <v>213</v>
      </c>
      <c r="I78" s="435"/>
      <c r="J78" s="435"/>
      <c r="K78" s="454" t="s">
        <v>140</v>
      </c>
      <c r="L78" s="454"/>
      <c r="M78" s="454"/>
      <c r="N78" s="454"/>
      <c r="O78" s="457"/>
      <c r="P78" s="434" t="s">
        <v>61</v>
      </c>
      <c r="Q78" s="435"/>
      <c r="R78" s="435"/>
      <c r="S78" s="12"/>
      <c r="T78" s="47"/>
      <c r="U78" s="47"/>
      <c r="V78" s="47"/>
      <c r="W78" s="47"/>
      <c r="X78" s="461"/>
      <c r="Y78" s="461"/>
      <c r="Z78" s="461"/>
      <c r="AA78" s="461"/>
      <c r="AB78" s="461"/>
      <c r="AC78" s="461"/>
      <c r="AD78" s="461"/>
      <c r="AE78" s="461"/>
      <c r="AF78" s="441"/>
      <c r="AG78" s="441"/>
      <c r="AH78" s="441"/>
      <c r="AI78" s="441"/>
      <c r="AJ78" s="441"/>
      <c r="AK78" s="441"/>
      <c r="AL78" s="441"/>
      <c r="AM78" s="441"/>
      <c r="AN78" s="441"/>
      <c r="AO78" s="441"/>
      <c r="AP78" s="441"/>
      <c r="AQ78" s="143"/>
      <c r="AR78" s="17"/>
      <c r="AS78" s="441"/>
      <c r="AT78" s="441"/>
      <c r="AU78" s="441"/>
    </row>
    <row r="79" spans="1:47" ht="26.1" customHeight="1" collapsed="1" thickBot="1" x14ac:dyDescent="0.35">
      <c r="B79" s="445" t="s">
        <v>197</v>
      </c>
      <c r="C79" s="446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  <c r="AD79" s="446"/>
      <c r="AE79" s="446"/>
      <c r="AF79" s="446"/>
      <c r="AG79" s="446"/>
      <c r="AH79" s="446"/>
      <c r="AI79" s="446"/>
      <c r="AJ79" s="446"/>
      <c r="AK79" s="446"/>
      <c r="AL79" s="446"/>
      <c r="AM79" s="446"/>
      <c r="AN79" s="446"/>
      <c r="AO79" s="446"/>
      <c r="AP79" s="446"/>
      <c r="AQ79" s="446"/>
      <c r="AR79" s="446"/>
      <c r="AS79" s="446"/>
      <c r="AT79" s="446"/>
      <c r="AU79" s="447"/>
    </row>
    <row r="80" spans="1:47" ht="18.600000000000001" customHeight="1" x14ac:dyDescent="0.3">
      <c r="A80" s="17"/>
      <c r="B80" s="151" t="s">
        <v>50</v>
      </c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  <c r="AT80" s="271"/>
      <c r="AU80" s="150"/>
    </row>
    <row r="81" spans="1:47" ht="18.600000000000001" customHeight="1" x14ac:dyDescent="0.3">
      <c r="A81" s="17"/>
      <c r="B81" s="450" t="s">
        <v>51</v>
      </c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0"/>
      <c r="P81" s="450"/>
      <c r="Q81" s="450"/>
      <c r="R81" s="450"/>
      <c r="S81" s="450"/>
      <c r="T81" s="450"/>
      <c r="U81" s="450"/>
      <c r="V81" s="450"/>
      <c r="W81" s="450"/>
      <c r="X81" s="151"/>
      <c r="Y81" s="450" t="s">
        <v>52</v>
      </c>
      <c r="Z81" s="450"/>
      <c r="AA81" s="450"/>
      <c r="AB81" s="450"/>
      <c r="AC81" s="450"/>
      <c r="AD81" s="450"/>
      <c r="AE81" s="450"/>
      <c r="AF81" s="450"/>
      <c r="AG81" s="450"/>
      <c r="AH81" s="450"/>
      <c r="AI81" s="450"/>
      <c r="AJ81" s="450"/>
      <c r="AK81" s="450"/>
      <c r="AL81" s="450"/>
      <c r="AM81" s="450"/>
      <c r="AN81" s="450"/>
      <c r="AO81" s="450"/>
      <c r="AP81" s="450"/>
      <c r="AQ81" s="450"/>
      <c r="AR81" s="450"/>
      <c r="AS81" s="450"/>
      <c r="AT81" s="450"/>
      <c r="AU81" s="150"/>
    </row>
    <row r="82" spans="1:47" ht="18.600000000000001" customHeight="1" x14ac:dyDescent="0.2">
      <c r="A82" s="17"/>
      <c r="B82" s="151"/>
      <c r="C82" s="159" t="s">
        <v>143</v>
      </c>
      <c r="D82" s="164"/>
      <c r="E82" s="164"/>
      <c r="F82" s="164"/>
      <c r="G82" s="165"/>
      <c r="H82" s="165"/>
      <c r="I82" s="165"/>
      <c r="J82" s="150"/>
      <c r="K82" s="150"/>
      <c r="L82" s="150"/>
      <c r="M82" s="150"/>
      <c r="N82" s="152"/>
      <c r="O82" s="271"/>
      <c r="P82" s="271"/>
      <c r="Q82" s="150"/>
      <c r="R82" s="150"/>
      <c r="S82" s="150"/>
      <c r="T82" s="150"/>
      <c r="U82" s="150"/>
      <c r="V82" s="150"/>
      <c r="W82" s="150"/>
      <c r="X82" s="152"/>
      <c r="Y82" s="150"/>
      <c r="Z82" s="150"/>
      <c r="AA82" s="150"/>
      <c r="AB82" s="150"/>
      <c r="AC82" s="154" t="s">
        <v>148</v>
      </c>
      <c r="AD82" s="154"/>
      <c r="AE82" s="154"/>
      <c r="AF82" s="150"/>
      <c r="AG82" s="150"/>
      <c r="AH82" s="150"/>
      <c r="AI82" s="150"/>
      <c r="AJ82" s="150"/>
      <c r="AK82" s="150"/>
      <c r="AL82" s="150"/>
      <c r="AM82" s="151"/>
      <c r="AN82" s="150"/>
      <c r="AO82" s="150"/>
      <c r="AP82" s="150"/>
      <c r="AQ82" s="150"/>
      <c r="AR82" s="150"/>
      <c r="AS82" s="150"/>
      <c r="AT82" s="150"/>
      <c r="AU82" s="150"/>
    </row>
    <row r="83" spans="1:47" ht="18.600000000000001" customHeight="1" x14ac:dyDescent="0.2">
      <c r="A83" s="17"/>
      <c r="B83" s="152"/>
      <c r="C83" s="159" t="s">
        <v>142</v>
      </c>
      <c r="D83" s="160"/>
      <c r="E83" s="160"/>
      <c r="F83" s="160"/>
      <c r="G83" s="161"/>
      <c r="H83" s="161"/>
      <c r="I83" s="161"/>
      <c r="J83" s="152"/>
      <c r="K83" s="152"/>
      <c r="L83" s="152"/>
      <c r="M83" s="152"/>
      <c r="N83" s="152"/>
      <c r="O83" s="271"/>
      <c r="P83" s="271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4" t="s">
        <v>149</v>
      </c>
      <c r="AD83" s="154"/>
      <c r="AE83" s="154"/>
      <c r="AF83" s="152"/>
      <c r="AG83" s="152"/>
      <c r="AH83" s="152"/>
      <c r="AI83" s="152"/>
      <c r="AJ83" s="152"/>
      <c r="AK83" s="152"/>
      <c r="AL83" s="153"/>
      <c r="AM83" s="151"/>
      <c r="AN83" s="152"/>
      <c r="AO83" s="152"/>
      <c r="AP83" s="152"/>
      <c r="AQ83" s="152"/>
      <c r="AR83" s="152"/>
      <c r="AS83" s="152"/>
      <c r="AT83" s="152"/>
      <c r="AU83" s="153"/>
    </row>
    <row r="84" spans="1:47" ht="18.600000000000001" customHeight="1" x14ac:dyDescent="0.2">
      <c r="A84" s="17"/>
      <c r="B84" s="152"/>
      <c r="C84" s="159" t="s">
        <v>144</v>
      </c>
      <c r="D84" s="160"/>
      <c r="E84" s="160"/>
      <c r="F84" s="160"/>
      <c r="G84" s="161"/>
      <c r="H84" s="161"/>
      <c r="I84" s="161"/>
      <c r="J84" s="152"/>
      <c r="K84" s="152"/>
      <c r="L84" s="152"/>
      <c r="M84" s="152"/>
      <c r="N84" s="152"/>
      <c r="O84" s="271"/>
      <c r="P84" s="271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4" t="s">
        <v>150</v>
      </c>
      <c r="AD84" s="154"/>
      <c r="AE84" s="154"/>
      <c r="AF84" s="152"/>
      <c r="AG84" s="152"/>
      <c r="AH84" s="152"/>
      <c r="AI84" s="152"/>
      <c r="AJ84" s="152"/>
      <c r="AK84" s="152"/>
      <c r="AL84" s="153"/>
      <c r="AM84" s="151"/>
      <c r="AN84" s="152"/>
      <c r="AO84" s="152"/>
      <c r="AP84" s="152"/>
      <c r="AQ84" s="152"/>
      <c r="AR84" s="152"/>
      <c r="AS84" s="152"/>
      <c r="AT84" s="152"/>
      <c r="AU84" s="153"/>
    </row>
    <row r="85" spans="1:47" ht="18.600000000000001" customHeight="1" x14ac:dyDescent="0.2">
      <c r="A85" s="17"/>
      <c r="B85" s="152"/>
      <c r="C85" s="154" t="s">
        <v>145</v>
      </c>
      <c r="D85" s="160"/>
      <c r="E85" s="160"/>
      <c r="F85" s="160"/>
      <c r="G85" s="161"/>
      <c r="H85" s="161"/>
      <c r="I85" s="161"/>
      <c r="J85" s="152"/>
      <c r="K85" s="152"/>
      <c r="L85" s="152"/>
      <c r="M85" s="152"/>
      <c r="N85" s="152"/>
      <c r="O85" s="152"/>
      <c r="P85" s="151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4" t="s">
        <v>151</v>
      </c>
      <c r="AD85" s="154"/>
      <c r="AE85" s="154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</row>
    <row r="86" spans="1:47" ht="18.600000000000001" customHeight="1" x14ac:dyDescent="0.2">
      <c r="A86" s="17"/>
      <c r="B86" s="152"/>
      <c r="C86" s="159" t="s">
        <v>146</v>
      </c>
      <c r="D86" s="160"/>
      <c r="E86" s="160"/>
      <c r="F86" s="160"/>
      <c r="G86" s="161"/>
      <c r="H86" s="161"/>
      <c r="I86" s="161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4" t="s">
        <v>152</v>
      </c>
      <c r="AD86" s="154"/>
      <c r="AE86" s="154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</row>
    <row r="87" spans="1:47" ht="18.600000000000001" customHeight="1" x14ac:dyDescent="0.2">
      <c r="A87" s="17"/>
      <c r="B87" s="152"/>
      <c r="C87" s="159" t="s">
        <v>147</v>
      </c>
      <c r="D87" s="159"/>
      <c r="E87" s="161"/>
      <c r="F87" s="161"/>
      <c r="G87" s="161"/>
      <c r="H87" s="161"/>
      <c r="I87" s="161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4" t="s">
        <v>31</v>
      </c>
      <c r="AD87" s="154"/>
      <c r="AE87" s="154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</row>
    <row r="88" spans="1:47" ht="18.600000000000001" customHeight="1" x14ac:dyDescent="0.2">
      <c r="A88" s="17"/>
      <c r="B88" s="152"/>
      <c r="C88" s="162" t="s">
        <v>63</v>
      </c>
      <c r="D88" s="163"/>
      <c r="E88" s="163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4" t="s">
        <v>153</v>
      </c>
      <c r="AD88" s="154"/>
      <c r="AE88" s="154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</row>
    <row r="89" spans="1:47" ht="18.600000000000001" customHeight="1" x14ac:dyDescent="0.2">
      <c r="A89" s="17"/>
      <c r="B89" s="152"/>
      <c r="C89" s="151" t="s">
        <v>64</v>
      </c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4"/>
      <c r="AD89" s="154"/>
      <c r="AE89" s="154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</row>
    <row r="90" spans="1:47" ht="18.600000000000001" customHeight="1" x14ac:dyDescent="0.3">
      <c r="A90" s="17"/>
      <c r="B90" s="152"/>
      <c r="C90" s="151" t="s">
        <v>86</v>
      </c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5" t="s">
        <v>164</v>
      </c>
      <c r="AC90" s="151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2"/>
      <c r="AR90" s="152"/>
      <c r="AS90" s="152"/>
      <c r="AT90" s="152"/>
      <c r="AU90" s="152"/>
    </row>
    <row r="91" spans="1:47" ht="18.600000000000001" customHeight="1" x14ac:dyDescent="0.3">
      <c r="A91" s="17"/>
      <c r="B91" s="152"/>
      <c r="C91" s="151" t="s">
        <v>65</v>
      </c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431" t="s">
        <v>181</v>
      </c>
      <c r="AC91" s="431"/>
      <c r="AD91" s="431"/>
      <c r="AE91" s="431"/>
      <c r="AF91" s="431"/>
      <c r="AG91" s="431"/>
      <c r="AH91" s="431"/>
      <c r="AI91" s="431"/>
      <c r="AJ91" s="431"/>
      <c r="AK91" s="431"/>
      <c r="AL91" s="431"/>
      <c r="AM91" s="431"/>
      <c r="AN91" s="431"/>
      <c r="AO91" s="431"/>
      <c r="AP91" s="431"/>
      <c r="AQ91" s="431"/>
      <c r="AR91" s="431"/>
      <c r="AS91" s="431"/>
      <c r="AT91" s="431"/>
      <c r="AU91" s="431"/>
    </row>
    <row r="92" spans="1:47" ht="18.600000000000001" customHeight="1" x14ac:dyDescent="0.3">
      <c r="A92" s="17"/>
      <c r="B92" s="152"/>
      <c r="C92" s="151" t="s">
        <v>66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431"/>
      <c r="AC92" s="431"/>
      <c r="AD92" s="431"/>
      <c r="AE92" s="431"/>
      <c r="AF92" s="431"/>
      <c r="AG92" s="431"/>
      <c r="AH92" s="431"/>
      <c r="AI92" s="431"/>
      <c r="AJ92" s="431"/>
      <c r="AK92" s="431"/>
      <c r="AL92" s="431"/>
      <c r="AM92" s="431"/>
      <c r="AN92" s="431"/>
      <c r="AO92" s="431"/>
      <c r="AP92" s="431"/>
      <c r="AQ92" s="431"/>
      <c r="AR92" s="431"/>
      <c r="AS92" s="431"/>
      <c r="AT92" s="431"/>
      <c r="AU92" s="431"/>
    </row>
    <row r="93" spans="1:47" ht="18.600000000000001" customHeight="1" x14ac:dyDescent="0.3">
      <c r="A93" s="17"/>
      <c r="B93" s="155"/>
      <c r="C93" s="151" t="s">
        <v>67</v>
      </c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5" t="s">
        <v>182</v>
      </c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2"/>
    </row>
    <row r="94" spans="1:47" ht="18.600000000000001" customHeight="1" x14ac:dyDescent="0.3">
      <c r="A94" s="17"/>
      <c r="B94" s="157"/>
      <c r="C94" t="s">
        <v>285</v>
      </c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7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2"/>
    </row>
    <row r="95" spans="1:47" ht="42" customHeight="1" x14ac:dyDescent="0.3">
      <c r="A95" s="17"/>
      <c r="B95" s="17"/>
      <c r="C95" s="149"/>
      <c r="D95" s="149"/>
      <c r="E95" s="149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2"/>
    </row>
  </sheetData>
  <sheetProtection algorithmName="SHA-512" hashValue="BBoiOATUA1O+KL3nWVyT3kFs4C/BEdspq8SuRJT1tTuhnM6p78L+uYWi28Rkr+/lgSJtngl/ezQokpfHrnOR3Q==" saltValue="9NefGEjfdgc8C2sXdlQTuA==" spinCount="100000" sheet="1" formatCells="0" formatColumns="0" formatRows="0" insertColumns="0" insertRows="0" sort="0" autoFilter="0" pivotTables="0"/>
  <protectedRanges>
    <protectedRange algorithmName="SHA-512" hashValue="zawoY2wFe8bprKxNA8rmkOvMOtfz5gVMmrBHJHhJv4K4M3eHJyy5xt6cYiGw3g5O83s1Mlh/m5VLAfdImdAnPQ==" saltValue="l55jfBri8LUUreIv4fWyYw==" spinCount="100000" sqref="M62:AU63 K63:L63 L67:Y67 AA67 AA75 B95:AU95 AD68:AU69 L68:AB69 M70:AU71 K71:L71 AD76:AU77 L76:AB77 B56:J78 M78:AU78 AB93:AB94 K7 L7:M9 B7:J21 N7:Z10 AB7:AU10 AC11:AU11 K12 K14 AC19:AU19 K20 AC34:AU34 N23:AU25 AC26:AU26 K27 K29 B22:AU22 N49 K35 K37 L31:M32 K43 K45 L39:M40 N39:AU41 AC75:AU75 AC67:AU67 AC59:AU59 K60 AC79:AU94 B79:AA94 K62 K68 K70 L64:M65 K76 K78 L72:M73 N72:AU74 L56:M57 N64:AU66 B46:D48 L46:AU48 E46:K46 E47:J48 B49:M55 P49:U49 W49:AU49 L16:M17 N16:AU18 L23:M24 N31:AU33 AC42:AU42 L75:Y75 B79:AU92 AD20:AU21 L20:AB21 AD27:AU28 L27:AB28 AD35:AU36 L35:AB36 AD12:AU13 L12:AB13 M14:AU15 K15:L15 L19:Y19 AA19 L11:Y11 AA7:AA11 L26:Y26 AA26 M29:AU30 K30:L30 L34:Y34 AA34 M37:AU38 K38:L38 B23:J45 M45:AU45 L42:Y42 AA42 AD43:AU44 L43:AB44 N50:AB58 AE50:AU58 AC50:AD50 AC51:AC53 AC54:AD58 AD60:AU61 L60:AB61 L59:Y59 AA59 A7:A95" name="Rango1"/>
  </protectedRanges>
  <mergeCells count="337">
    <mergeCell ref="H4:O4"/>
    <mergeCell ref="B4:G4"/>
    <mergeCell ref="B5:G5"/>
    <mergeCell ref="H5:O5"/>
    <mergeCell ref="AS5:AU5"/>
    <mergeCell ref="Z2:AU2"/>
    <mergeCell ref="E47:AA47"/>
    <mergeCell ref="B72:G72"/>
    <mergeCell ref="R68:AA68"/>
    <mergeCell ref="R69:AA69"/>
    <mergeCell ref="X70:AE70"/>
    <mergeCell ref="AF70:AP70"/>
    <mergeCell ref="R60:AA60"/>
    <mergeCell ref="AB60:AF60"/>
    <mergeCell ref="AB61:AF61"/>
    <mergeCell ref="Y59:Z59"/>
    <mergeCell ref="B59:G59"/>
    <mergeCell ref="H8:AC8"/>
    <mergeCell ref="H23:AC23"/>
    <mergeCell ref="H31:AC31"/>
    <mergeCell ref="E49:M49"/>
    <mergeCell ref="AF64:AU64"/>
    <mergeCell ref="H64:AD64"/>
    <mergeCell ref="B60:G60"/>
    <mergeCell ref="B73:G73"/>
    <mergeCell ref="B74:G74"/>
    <mergeCell ref="B75:G75"/>
    <mergeCell ref="B76:G76"/>
    <mergeCell ref="B77:G77"/>
    <mergeCell ref="B78:G78"/>
    <mergeCell ref="P45:Q45"/>
    <mergeCell ref="B64:G64"/>
    <mergeCell ref="B65:G65"/>
    <mergeCell ref="B66:G66"/>
    <mergeCell ref="B67:G67"/>
    <mergeCell ref="B68:G68"/>
    <mergeCell ref="B69:G69"/>
    <mergeCell ref="B70:G70"/>
    <mergeCell ref="K66:O66"/>
    <mergeCell ref="B51:F51"/>
    <mergeCell ref="B49:D49"/>
    <mergeCell ref="H69:O69"/>
    <mergeCell ref="H70:J70"/>
    <mergeCell ref="H60:O60"/>
    <mergeCell ref="H61:O61"/>
    <mergeCell ref="B58:G58"/>
    <mergeCell ref="K58:O58"/>
    <mergeCell ref="K62:O62"/>
    <mergeCell ref="B61:G61"/>
    <mergeCell ref="B62:G62"/>
    <mergeCell ref="R61:AA61"/>
    <mergeCell ref="H62:J62"/>
    <mergeCell ref="X62:AE62"/>
    <mergeCell ref="B48:D48"/>
    <mergeCell ref="B47:D47"/>
    <mergeCell ref="B52:F52"/>
    <mergeCell ref="B53:F53"/>
    <mergeCell ref="B54:F54"/>
    <mergeCell ref="B56:G56"/>
    <mergeCell ref="B57:G57"/>
    <mergeCell ref="AC51:AJ51"/>
    <mergeCell ref="AC52:AJ52"/>
    <mergeCell ref="AC53:AJ53"/>
    <mergeCell ref="G54:AB54"/>
    <mergeCell ref="G53:AB53"/>
    <mergeCell ref="G52:AB52"/>
    <mergeCell ref="G51:AB51"/>
    <mergeCell ref="AF56:AU56"/>
    <mergeCell ref="H57:AU57"/>
    <mergeCell ref="P49:T49"/>
    <mergeCell ref="U49:V49"/>
    <mergeCell ref="W49:AA49"/>
    <mergeCell ref="AB49:AE49"/>
    <mergeCell ref="AF47:AU47"/>
    <mergeCell ref="AF49:AU49"/>
    <mergeCell ref="B39:G39"/>
    <mergeCell ref="B40:G40"/>
    <mergeCell ref="B41:G41"/>
    <mergeCell ref="B42:G42"/>
    <mergeCell ref="B43:G43"/>
    <mergeCell ref="B44:G44"/>
    <mergeCell ref="B45:G45"/>
    <mergeCell ref="K45:O45"/>
    <mergeCell ref="K41:O41"/>
    <mergeCell ref="H43:O43"/>
    <mergeCell ref="R43:AA43"/>
    <mergeCell ref="H44:O44"/>
    <mergeCell ref="R44:AA44"/>
    <mergeCell ref="H45:J45"/>
    <mergeCell ref="X45:AE45"/>
    <mergeCell ref="AF45:AP45"/>
    <mergeCell ref="AS45:AU45"/>
    <mergeCell ref="AG43:AU43"/>
    <mergeCell ref="AG44:AU44"/>
    <mergeCell ref="H39:AD39"/>
    <mergeCell ref="E48:AU48"/>
    <mergeCell ref="B31:G31"/>
    <mergeCell ref="B32:G32"/>
    <mergeCell ref="B33:G33"/>
    <mergeCell ref="B34:G34"/>
    <mergeCell ref="B35:G35"/>
    <mergeCell ref="B36:G36"/>
    <mergeCell ref="B37:G37"/>
    <mergeCell ref="K33:O33"/>
    <mergeCell ref="AB35:AF35"/>
    <mergeCell ref="Y34:Z34"/>
    <mergeCell ref="P35:Q35"/>
    <mergeCell ref="K37:O37"/>
    <mergeCell ref="H35:O35"/>
    <mergeCell ref="R35:AA35"/>
    <mergeCell ref="H36:O36"/>
    <mergeCell ref="R36:AA36"/>
    <mergeCell ref="H37:J37"/>
    <mergeCell ref="X37:AE37"/>
    <mergeCell ref="AC33:AF33"/>
    <mergeCell ref="AF31:AU31"/>
    <mergeCell ref="H32:AU32"/>
    <mergeCell ref="H33:J33"/>
    <mergeCell ref="AG33:AU33"/>
    <mergeCell ref="AS37:AU37"/>
    <mergeCell ref="B21:G21"/>
    <mergeCell ref="B23:G23"/>
    <mergeCell ref="B24:G24"/>
    <mergeCell ref="B25:G25"/>
    <mergeCell ref="B26:G26"/>
    <mergeCell ref="B27:G27"/>
    <mergeCell ref="B28:G28"/>
    <mergeCell ref="B29:G29"/>
    <mergeCell ref="P27:Q27"/>
    <mergeCell ref="K29:O29"/>
    <mergeCell ref="H28:O28"/>
    <mergeCell ref="H29:J29"/>
    <mergeCell ref="H27:O27"/>
    <mergeCell ref="H21:O21"/>
    <mergeCell ref="B16:G16"/>
    <mergeCell ref="B17:G17"/>
    <mergeCell ref="B18:G18"/>
    <mergeCell ref="K18:O18"/>
    <mergeCell ref="Y19:Z19"/>
    <mergeCell ref="P20:Q20"/>
    <mergeCell ref="Y11:Z11"/>
    <mergeCell ref="K10:O10"/>
    <mergeCell ref="B19:G19"/>
    <mergeCell ref="B20:G20"/>
    <mergeCell ref="P13:Q13"/>
    <mergeCell ref="H16:AD16"/>
    <mergeCell ref="H11:O11"/>
    <mergeCell ref="P11:S11"/>
    <mergeCell ref="T11:X11"/>
    <mergeCell ref="AA11:AE11"/>
    <mergeCell ref="AB13:AF13"/>
    <mergeCell ref="P12:Q12"/>
    <mergeCell ref="K14:O14"/>
    <mergeCell ref="AB20:AF20"/>
    <mergeCell ref="R20:AA20"/>
    <mergeCell ref="AF16:AU16"/>
    <mergeCell ref="H17:AU17"/>
    <mergeCell ref="H18:J18"/>
    <mergeCell ref="B8:G8"/>
    <mergeCell ref="B9:G9"/>
    <mergeCell ref="B10:G10"/>
    <mergeCell ref="B11:G11"/>
    <mergeCell ref="B12:G12"/>
    <mergeCell ref="B13:G13"/>
    <mergeCell ref="B14:G14"/>
    <mergeCell ref="H12:O12"/>
    <mergeCell ref="R12:AA12"/>
    <mergeCell ref="R13:AA13"/>
    <mergeCell ref="H14:J14"/>
    <mergeCell ref="H9:AU9"/>
    <mergeCell ref="P10:AB10"/>
    <mergeCell ref="AC10:AF10"/>
    <mergeCell ref="AS14:AU14"/>
    <mergeCell ref="AF14:AP14"/>
    <mergeCell ref="X14:AE14"/>
    <mergeCell ref="H13:O13"/>
    <mergeCell ref="AG12:AU12"/>
    <mergeCell ref="AG13:AU13"/>
    <mergeCell ref="AB12:AF12"/>
    <mergeCell ref="P14:W14"/>
    <mergeCell ref="AG21:AU21"/>
    <mergeCell ref="P29:R29"/>
    <mergeCell ref="AG27:AU27"/>
    <mergeCell ref="AG28:AU28"/>
    <mergeCell ref="P21:Q21"/>
    <mergeCell ref="AB21:AF21"/>
    <mergeCell ref="P28:Q28"/>
    <mergeCell ref="AB28:AF28"/>
    <mergeCell ref="AB27:AF27"/>
    <mergeCell ref="Y26:Z26"/>
    <mergeCell ref="R28:AA28"/>
    <mergeCell ref="X29:AE29"/>
    <mergeCell ref="AS29:AU29"/>
    <mergeCell ref="R27:AA27"/>
    <mergeCell ref="AF29:AP29"/>
    <mergeCell ref="R21:AA21"/>
    <mergeCell ref="P18:AB18"/>
    <mergeCell ref="AC18:AF18"/>
    <mergeCell ref="AG18:AU18"/>
    <mergeCell ref="H19:O19"/>
    <mergeCell ref="P19:S19"/>
    <mergeCell ref="T19:X19"/>
    <mergeCell ref="AA19:AE19"/>
    <mergeCell ref="AF19:AH19"/>
    <mergeCell ref="H20:O20"/>
    <mergeCell ref="AI19:AU19"/>
    <mergeCell ref="AG20:AU20"/>
    <mergeCell ref="H76:O76"/>
    <mergeCell ref="R76:AA76"/>
    <mergeCell ref="H77:O77"/>
    <mergeCell ref="R77:AA77"/>
    <mergeCell ref="H78:J78"/>
    <mergeCell ref="X78:AE78"/>
    <mergeCell ref="AS78:AU78"/>
    <mergeCell ref="P78:R78"/>
    <mergeCell ref="AG76:AU76"/>
    <mergeCell ref="AG77:AU77"/>
    <mergeCell ref="AB76:AF76"/>
    <mergeCell ref="AB77:AF77"/>
    <mergeCell ref="P76:Q76"/>
    <mergeCell ref="P77:Q77"/>
    <mergeCell ref="K78:O78"/>
    <mergeCell ref="AF72:AU72"/>
    <mergeCell ref="H73:AU73"/>
    <mergeCell ref="H74:J74"/>
    <mergeCell ref="P74:AB74"/>
    <mergeCell ref="AC74:AF74"/>
    <mergeCell ref="AG74:AU74"/>
    <mergeCell ref="H75:O75"/>
    <mergeCell ref="P75:S75"/>
    <mergeCell ref="T75:X75"/>
    <mergeCell ref="AA75:AE75"/>
    <mergeCell ref="AF75:AH75"/>
    <mergeCell ref="AI75:AU75"/>
    <mergeCell ref="Y75:Z75"/>
    <mergeCell ref="K74:O74"/>
    <mergeCell ref="H72:AD72"/>
    <mergeCell ref="AS70:AU70"/>
    <mergeCell ref="P70:R70"/>
    <mergeCell ref="AG68:AU68"/>
    <mergeCell ref="AG69:AU69"/>
    <mergeCell ref="AB68:AF68"/>
    <mergeCell ref="AB69:AF69"/>
    <mergeCell ref="H65:AU65"/>
    <mergeCell ref="H66:J66"/>
    <mergeCell ref="AC66:AF66"/>
    <mergeCell ref="AG66:AU66"/>
    <mergeCell ref="H67:O67"/>
    <mergeCell ref="P67:S67"/>
    <mergeCell ref="T67:X67"/>
    <mergeCell ref="AA67:AE67"/>
    <mergeCell ref="AF67:AH67"/>
    <mergeCell ref="AI67:AU67"/>
    <mergeCell ref="Y67:Z67"/>
    <mergeCell ref="P69:Q69"/>
    <mergeCell ref="P68:Q68"/>
    <mergeCell ref="K70:O70"/>
    <mergeCell ref="H68:O68"/>
    <mergeCell ref="P60:Q60"/>
    <mergeCell ref="H58:J58"/>
    <mergeCell ref="AC58:AF58"/>
    <mergeCell ref="AG58:AU58"/>
    <mergeCell ref="H59:O59"/>
    <mergeCell ref="P59:S59"/>
    <mergeCell ref="T59:X59"/>
    <mergeCell ref="AA59:AE59"/>
    <mergeCell ref="AF59:AH59"/>
    <mergeCell ref="AI59:AU59"/>
    <mergeCell ref="AF37:AP37"/>
    <mergeCell ref="P37:R37"/>
    <mergeCell ref="P36:Q36"/>
    <mergeCell ref="AB36:AF36"/>
    <mergeCell ref="AG36:AU36"/>
    <mergeCell ref="AG35:AU35"/>
    <mergeCell ref="B46:AU46"/>
    <mergeCell ref="P43:Q43"/>
    <mergeCell ref="P44:Q44"/>
    <mergeCell ref="AB43:AF43"/>
    <mergeCell ref="AB44:AF44"/>
    <mergeCell ref="H40:AU40"/>
    <mergeCell ref="H41:J41"/>
    <mergeCell ref="P41:AB41"/>
    <mergeCell ref="AC41:AF41"/>
    <mergeCell ref="AG41:AU41"/>
    <mergeCell ref="H42:O42"/>
    <mergeCell ref="P42:S42"/>
    <mergeCell ref="T42:X42"/>
    <mergeCell ref="AA42:AE42"/>
    <mergeCell ref="AF42:AH42"/>
    <mergeCell ref="AG61:AU61"/>
    <mergeCell ref="P61:Q61"/>
    <mergeCell ref="B7:AU7"/>
    <mergeCell ref="AF11:AH11"/>
    <mergeCell ref="AF8:AU8"/>
    <mergeCell ref="AG10:AU10"/>
    <mergeCell ref="AI11:AU11"/>
    <mergeCell ref="H10:J10"/>
    <mergeCell ref="B81:W81"/>
    <mergeCell ref="Y81:AT81"/>
    <mergeCell ref="B79:AU79"/>
    <mergeCell ref="B50:AT50"/>
    <mergeCell ref="AF78:AP78"/>
    <mergeCell ref="AK53:AU53"/>
    <mergeCell ref="AK51:AU51"/>
    <mergeCell ref="AK52:AU52"/>
    <mergeCell ref="B22:AU22"/>
    <mergeCell ref="H34:O34"/>
    <mergeCell ref="P34:S34"/>
    <mergeCell ref="T34:X34"/>
    <mergeCell ref="AA34:AE34"/>
    <mergeCell ref="AF34:AH34"/>
    <mergeCell ref="AI34:AU34"/>
    <mergeCell ref="AF39:AU39"/>
    <mergeCell ref="H56:AD56"/>
    <mergeCell ref="P66:AA66"/>
    <mergeCell ref="AB91:AU92"/>
    <mergeCell ref="AF23:AU23"/>
    <mergeCell ref="H24:AU24"/>
    <mergeCell ref="H25:J25"/>
    <mergeCell ref="AC25:AF25"/>
    <mergeCell ref="AG25:AU25"/>
    <mergeCell ref="H26:O26"/>
    <mergeCell ref="P26:S26"/>
    <mergeCell ref="T26:X26"/>
    <mergeCell ref="AA26:AE26"/>
    <mergeCell ref="AF26:AH26"/>
    <mergeCell ref="AI26:AU26"/>
    <mergeCell ref="N49:O49"/>
    <mergeCell ref="P25:AA25"/>
    <mergeCell ref="P33:AA33"/>
    <mergeCell ref="P58:AA58"/>
    <mergeCell ref="AI42:AU42"/>
    <mergeCell ref="Y42:Z42"/>
    <mergeCell ref="AS62:AU62"/>
    <mergeCell ref="AF62:AP62"/>
    <mergeCell ref="P62:R62"/>
    <mergeCell ref="AG60:AU60"/>
  </mergeCells>
  <conditionalFormatting sqref="E47:E49">
    <cfRule type="containsBlanks" dxfId="94" priority="44">
      <formula>LEN(TRIM(E47))=0</formula>
    </cfRule>
  </conditionalFormatting>
  <conditionalFormatting sqref="G51:G54">
    <cfRule type="containsBlanks" dxfId="93" priority="3">
      <formula>LEN(TRIM(G51))=0</formula>
    </cfRule>
  </conditionalFormatting>
  <conditionalFormatting sqref="H8:H9">
    <cfRule type="containsBlanks" dxfId="92" priority="109">
      <formula>LEN(TRIM(H8))=0</formula>
    </cfRule>
  </conditionalFormatting>
  <conditionalFormatting sqref="H13">
    <cfRule type="containsBlanks" dxfId="91" priority="101">
      <formula>LEN(TRIM(H13))=0</formula>
    </cfRule>
  </conditionalFormatting>
  <conditionalFormatting sqref="H16:H17">
    <cfRule type="containsBlanks" dxfId="90" priority="96">
      <formula>LEN(TRIM(H16))=0</formula>
    </cfRule>
  </conditionalFormatting>
  <conditionalFormatting sqref="H19">
    <cfRule type="containsBlanks" dxfId="89" priority="94">
      <formula>LEN(TRIM(H19))=0</formula>
    </cfRule>
  </conditionalFormatting>
  <conditionalFormatting sqref="H21">
    <cfRule type="containsBlanks" dxfId="88" priority="86">
      <formula>LEN(TRIM(H21))=0</formula>
    </cfRule>
  </conditionalFormatting>
  <conditionalFormatting sqref="H23:H24">
    <cfRule type="containsBlanks" dxfId="87" priority="84">
      <formula>LEN(TRIM(H23))=0</formula>
    </cfRule>
  </conditionalFormatting>
  <conditionalFormatting sqref="H26">
    <cfRule type="containsBlanks" dxfId="86" priority="80">
      <formula>LEN(TRIM(H26))=0</formula>
    </cfRule>
  </conditionalFormatting>
  <conditionalFormatting sqref="H28">
    <cfRule type="containsBlanks" dxfId="85" priority="74">
      <formula>LEN(TRIM(H28))=0</formula>
    </cfRule>
  </conditionalFormatting>
  <conditionalFormatting sqref="H31:H32">
    <cfRule type="containsBlanks" dxfId="84" priority="72">
      <formula>LEN(TRIM(H31))=0</formula>
    </cfRule>
  </conditionalFormatting>
  <conditionalFormatting sqref="H34">
    <cfRule type="containsBlanks" dxfId="83" priority="67">
      <formula>LEN(TRIM(H34))=0</formula>
    </cfRule>
  </conditionalFormatting>
  <conditionalFormatting sqref="H36">
    <cfRule type="containsBlanks" dxfId="82" priority="60">
      <formula>LEN(TRIM(H36))=0</formula>
    </cfRule>
  </conditionalFormatting>
  <conditionalFormatting sqref="H39:H40">
    <cfRule type="containsBlanks" dxfId="81" priority="57">
      <formula>LEN(TRIM(H39))=0</formula>
    </cfRule>
  </conditionalFormatting>
  <conditionalFormatting sqref="H42">
    <cfRule type="containsBlanks" dxfId="80" priority="53">
      <formula>LEN(TRIM(H42))=0</formula>
    </cfRule>
  </conditionalFormatting>
  <conditionalFormatting sqref="H44">
    <cfRule type="containsBlanks" dxfId="79" priority="50">
      <formula>LEN(TRIM(H44))=0</formula>
    </cfRule>
  </conditionalFormatting>
  <conditionalFormatting sqref="H56:H57">
    <cfRule type="containsBlanks" dxfId="78" priority="38">
      <formula>LEN(TRIM(H56))=0</formula>
    </cfRule>
  </conditionalFormatting>
  <conditionalFormatting sqref="H59">
    <cfRule type="containsBlanks" dxfId="77" priority="30">
      <formula>LEN(TRIM(H59))=0</formula>
    </cfRule>
  </conditionalFormatting>
  <conditionalFormatting sqref="H61">
    <cfRule type="containsBlanks" dxfId="76" priority="29">
      <formula>LEN(TRIM(H61))=0</formula>
    </cfRule>
  </conditionalFormatting>
  <conditionalFormatting sqref="H64:H65">
    <cfRule type="containsBlanks" dxfId="75" priority="26">
      <formula>LEN(TRIM(H64))=0</formula>
    </cfRule>
  </conditionalFormatting>
  <conditionalFormatting sqref="H67">
    <cfRule type="containsBlanks" dxfId="74" priority="19">
      <formula>LEN(TRIM(H67))=0</formula>
    </cfRule>
  </conditionalFormatting>
  <conditionalFormatting sqref="H69">
    <cfRule type="containsBlanks" dxfId="73" priority="16">
      <formula>LEN(TRIM(H69))=0</formula>
    </cfRule>
  </conditionalFormatting>
  <conditionalFormatting sqref="H72:H73">
    <cfRule type="containsBlanks" dxfId="72" priority="13">
      <formula>LEN(TRIM(H72))=0</formula>
    </cfRule>
  </conditionalFormatting>
  <conditionalFormatting sqref="H75">
    <cfRule type="containsBlanks" dxfId="71" priority="6">
      <formula>LEN(TRIM(H75))=0</formula>
    </cfRule>
  </conditionalFormatting>
  <conditionalFormatting sqref="H77">
    <cfRule type="containsBlanks" dxfId="70" priority="4">
      <formula>LEN(TRIM(H77))=0</formula>
    </cfRule>
  </conditionalFormatting>
  <conditionalFormatting sqref="H11:O11">
    <cfRule type="containsBlanks" dxfId="69" priority="106">
      <formula>LEN(TRIM(H11))=0</formula>
    </cfRule>
  </conditionalFormatting>
  <conditionalFormatting sqref="P10">
    <cfRule type="containsBlanks" dxfId="68" priority="107">
      <formula>LEN(TRIM(P10))=0</formula>
    </cfRule>
  </conditionalFormatting>
  <conditionalFormatting sqref="P18">
    <cfRule type="containsBlanks" dxfId="67" priority="93">
      <formula>LEN(TRIM(P18))=0</formula>
    </cfRule>
  </conditionalFormatting>
  <conditionalFormatting sqref="P25">
    <cfRule type="containsBlanks" dxfId="66" priority="82">
      <formula>LEN(TRIM(P25))=0</formula>
    </cfRule>
  </conditionalFormatting>
  <conditionalFormatting sqref="P33">
    <cfRule type="containsBlanks" dxfId="65" priority="70">
      <formula>LEN(TRIM(P33))=0</formula>
    </cfRule>
  </conditionalFormatting>
  <conditionalFormatting sqref="P41">
    <cfRule type="containsBlanks" dxfId="64" priority="56">
      <formula>LEN(TRIM(P41))=0</formula>
    </cfRule>
  </conditionalFormatting>
  <conditionalFormatting sqref="P49">
    <cfRule type="containsBlanks" dxfId="63" priority="43">
      <formula>LEN(TRIM(P49))=0</formula>
    </cfRule>
  </conditionalFormatting>
  <conditionalFormatting sqref="P58">
    <cfRule type="containsBlanks" dxfId="62" priority="33">
      <formula>LEN(TRIM(P58))=0</formula>
    </cfRule>
  </conditionalFormatting>
  <conditionalFormatting sqref="P66">
    <cfRule type="containsBlanks" dxfId="61" priority="20">
      <formula>LEN(TRIM(P66))=0</formula>
    </cfRule>
  </conditionalFormatting>
  <conditionalFormatting sqref="P74">
    <cfRule type="containsBlanks" dxfId="60" priority="12">
      <formula>LEN(TRIM(P74))=0</formula>
    </cfRule>
  </conditionalFormatting>
  <conditionalFormatting sqref="R12:R13">
    <cfRule type="containsBlanks" dxfId="59" priority="100">
      <formula>LEN(TRIM(R12))=0</formula>
    </cfRule>
  </conditionalFormatting>
  <conditionalFormatting sqref="R20:R21">
    <cfRule type="containsBlanks" dxfId="58" priority="88">
      <formula>LEN(TRIM(R20))=0</formula>
    </cfRule>
  </conditionalFormatting>
  <conditionalFormatting sqref="R27:R28">
    <cfRule type="containsBlanks" dxfId="57" priority="76">
      <formula>LEN(TRIM(R27))=0</formula>
    </cfRule>
  </conditionalFormatting>
  <conditionalFormatting sqref="R35:R36">
    <cfRule type="containsBlanks" dxfId="56" priority="61">
      <formula>LEN(TRIM(R35))=0</formula>
    </cfRule>
  </conditionalFormatting>
  <conditionalFormatting sqref="R43:R44">
    <cfRule type="containsBlanks" dxfId="55" priority="49">
      <formula>LEN(TRIM(R43))=0</formula>
    </cfRule>
  </conditionalFormatting>
  <conditionalFormatting sqref="R60:R61">
    <cfRule type="containsBlanks" dxfId="54" priority="28">
      <formula>LEN(TRIM(R60))=0</formula>
    </cfRule>
  </conditionalFormatting>
  <conditionalFormatting sqref="R68:R69">
    <cfRule type="containsBlanks" dxfId="53" priority="17">
      <formula>LEN(TRIM(R68))=0</formula>
    </cfRule>
  </conditionalFormatting>
  <conditionalFormatting sqref="R76:R77">
    <cfRule type="containsBlanks" dxfId="52" priority="5">
      <formula>LEN(TRIM(R76))=0</formula>
    </cfRule>
  </conditionalFormatting>
  <conditionalFormatting sqref="T19">
    <cfRule type="containsBlanks" dxfId="51" priority="91">
      <formula>LEN(TRIM(T19))=0</formula>
    </cfRule>
  </conditionalFormatting>
  <conditionalFormatting sqref="T26">
    <cfRule type="containsBlanks" dxfId="50" priority="79">
      <formula>LEN(TRIM(T26))=0</formula>
    </cfRule>
  </conditionalFormatting>
  <conditionalFormatting sqref="T34">
    <cfRule type="containsBlanks" dxfId="49" priority="66">
      <formula>LEN(TRIM(T34))=0</formula>
    </cfRule>
  </conditionalFormatting>
  <conditionalFormatting sqref="T42">
    <cfRule type="containsBlanks" dxfId="48" priority="52">
      <formula>LEN(TRIM(T42))=0</formula>
    </cfRule>
  </conditionalFormatting>
  <conditionalFormatting sqref="T59">
    <cfRule type="containsBlanks" dxfId="47" priority="31">
      <formula>LEN(TRIM(T59))=0</formula>
    </cfRule>
  </conditionalFormatting>
  <conditionalFormatting sqref="T67">
    <cfRule type="containsBlanks" dxfId="46" priority="18">
      <formula>LEN(TRIM(T67))=0</formula>
    </cfRule>
  </conditionalFormatting>
  <conditionalFormatting sqref="T75">
    <cfRule type="containsBlanks" dxfId="45" priority="7">
      <formula>LEN(TRIM(T75))=0</formula>
    </cfRule>
  </conditionalFormatting>
  <conditionalFormatting sqref="T11:X11">
    <cfRule type="containsBlanks" dxfId="44" priority="105">
      <formula>LEN(TRIM(T11))=0</formula>
    </cfRule>
  </conditionalFormatting>
  <conditionalFormatting sqref="W49">
    <cfRule type="containsBlanks" dxfId="43" priority="42">
      <formula>LEN(TRIM(W49))=0</formula>
    </cfRule>
  </conditionalFormatting>
  <conditionalFormatting sqref="AA19">
    <cfRule type="containsBlanks" dxfId="42" priority="90">
      <formula>LEN(TRIM(AA19))=0</formula>
    </cfRule>
  </conditionalFormatting>
  <conditionalFormatting sqref="AA26">
    <cfRule type="containsBlanks" dxfId="41" priority="78">
      <formula>LEN(TRIM(AA26))=0</formula>
    </cfRule>
  </conditionalFormatting>
  <conditionalFormatting sqref="AA34">
    <cfRule type="containsBlanks" dxfId="40" priority="65">
      <formula>LEN(TRIM(AA34))=0</formula>
    </cfRule>
  </conditionalFormatting>
  <conditionalFormatting sqref="AA42">
    <cfRule type="containsBlanks" dxfId="39" priority="51">
      <formula>LEN(TRIM(AA42))=0</formula>
    </cfRule>
  </conditionalFormatting>
  <conditionalFormatting sqref="AA59">
    <cfRule type="containsBlanks" dxfId="38" priority="32">
      <formula>LEN(TRIM(AA59))=0</formula>
    </cfRule>
  </conditionalFormatting>
  <conditionalFormatting sqref="AA67">
    <cfRule type="containsBlanks" dxfId="37" priority="21">
      <formula>LEN(TRIM(AA67))=0</formula>
    </cfRule>
  </conditionalFormatting>
  <conditionalFormatting sqref="AA75">
    <cfRule type="containsBlanks" dxfId="36" priority="8">
      <formula>LEN(TRIM(AA75))=0</formula>
    </cfRule>
  </conditionalFormatting>
  <conditionalFormatting sqref="AA11:AE11">
    <cfRule type="containsBlanks" dxfId="35" priority="104">
      <formula>LEN(TRIM(AA11))=0</formula>
    </cfRule>
  </conditionalFormatting>
  <conditionalFormatting sqref="AF8">
    <cfRule type="containsBlanks" dxfId="34" priority="110">
      <formula>LEN(TRIM(AF8))=0</formula>
    </cfRule>
  </conditionalFormatting>
  <conditionalFormatting sqref="AF16">
    <cfRule type="containsBlanks" dxfId="33" priority="95">
      <formula>LEN(TRIM(AF16))=0</formula>
    </cfRule>
  </conditionalFormatting>
  <conditionalFormatting sqref="AF23">
    <cfRule type="containsBlanks" dxfId="32" priority="83">
      <formula>LEN(TRIM(AF23))=0</formula>
    </cfRule>
  </conditionalFormatting>
  <conditionalFormatting sqref="AF31">
    <cfRule type="containsBlanks" dxfId="31" priority="71">
      <formula>LEN(TRIM(AF31))=0</formula>
    </cfRule>
  </conditionalFormatting>
  <conditionalFormatting sqref="AF39">
    <cfRule type="containsBlanks" dxfId="30" priority="58">
      <formula>LEN(TRIM(AF39))=0</formula>
    </cfRule>
  </conditionalFormatting>
  <conditionalFormatting sqref="AF47">
    <cfRule type="containsBlanks" dxfId="29" priority="1">
      <formula>LEN(TRIM(AF47))=0</formula>
    </cfRule>
  </conditionalFormatting>
  <conditionalFormatting sqref="AF56">
    <cfRule type="containsBlanks" dxfId="28" priority="37">
      <formula>LEN(TRIM(AF56))=0</formula>
    </cfRule>
  </conditionalFormatting>
  <conditionalFormatting sqref="AF64">
    <cfRule type="containsBlanks" dxfId="27" priority="25">
      <formula>LEN(TRIM(AF64))=0</formula>
    </cfRule>
  </conditionalFormatting>
  <conditionalFormatting sqref="AF72">
    <cfRule type="containsBlanks" dxfId="26" priority="14">
      <formula>LEN(TRIM(AF72))=0</formula>
    </cfRule>
  </conditionalFormatting>
  <conditionalFormatting sqref="AF49:AU49">
    <cfRule type="containsBlanks" dxfId="25" priority="41">
      <formula>LEN(TRIM(AF49))=0</formula>
    </cfRule>
  </conditionalFormatting>
  <conditionalFormatting sqref="AG12:AG13">
    <cfRule type="containsBlanks" dxfId="24" priority="98">
      <formula>LEN(TRIM(AG12))=0</formula>
    </cfRule>
  </conditionalFormatting>
  <conditionalFormatting sqref="AG18">
    <cfRule type="containsBlanks" dxfId="23" priority="92">
      <formula>LEN(TRIM(AG18))=0</formula>
    </cfRule>
  </conditionalFormatting>
  <conditionalFormatting sqref="AG20:AG21">
    <cfRule type="containsBlanks" dxfId="22" priority="85">
      <formula>LEN(TRIM(AG20))=0</formula>
    </cfRule>
  </conditionalFormatting>
  <conditionalFormatting sqref="AG25">
    <cfRule type="containsBlanks" dxfId="21" priority="81">
      <formula>LEN(TRIM(AG25))=0</formula>
    </cfRule>
  </conditionalFormatting>
  <conditionalFormatting sqref="AG27:AG28">
    <cfRule type="containsBlanks" dxfId="20" priority="75">
      <formula>LEN(TRIM(AG27))=0</formula>
    </cfRule>
  </conditionalFormatting>
  <conditionalFormatting sqref="AG33">
    <cfRule type="containsBlanks" dxfId="19" priority="69">
      <formula>LEN(TRIM(AG33))=0</formula>
    </cfRule>
  </conditionalFormatting>
  <conditionalFormatting sqref="AG35:AG36">
    <cfRule type="containsBlanks" dxfId="18" priority="62">
      <formula>LEN(TRIM(AG35))=0</formula>
    </cfRule>
  </conditionalFormatting>
  <conditionalFormatting sqref="AG41">
    <cfRule type="containsBlanks" dxfId="17" priority="55">
      <formula>LEN(TRIM(AG41))=0</formula>
    </cfRule>
  </conditionalFormatting>
  <conditionalFormatting sqref="AG43:AG44">
    <cfRule type="containsBlanks" dxfId="16" priority="48">
      <formula>LEN(TRIM(AG43))=0</formula>
    </cfRule>
  </conditionalFormatting>
  <conditionalFormatting sqref="AG58">
    <cfRule type="containsBlanks" dxfId="15" priority="36">
      <formula>LEN(TRIM(AG58))=0</formula>
    </cfRule>
  </conditionalFormatting>
  <conditionalFormatting sqref="AG60:AG61">
    <cfRule type="containsBlanks" dxfId="14" priority="34">
      <formula>LEN(TRIM(AG60))=0</formula>
    </cfRule>
  </conditionalFormatting>
  <conditionalFormatting sqref="AG66">
    <cfRule type="containsBlanks" dxfId="13" priority="24">
      <formula>LEN(TRIM(AG66))=0</formula>
    </cfRule>
  </conditionalFormatting>
  <conditionalFormatting sqref="AG68:AG69">
    <cfRule type="containsBlanks" dxfId="12" priority="22">
      <formula>LEN(TRIM(AG68))=0</formula>
    </cfRule>
  </conditionalFormatting>
  <conditionalFormatting sqref="AG74">
    <cfRule type="containsBlanks" dxfId="11" priority="11">
      <formula>LEN(TRIM(AG74))=0</formula>
    </cfRule>
  </conditionalFormatting>
  <conditionalFormatting sqref="AG76:AG77">
    <cfRule type="containsBlanks" dxfId="10" priority="9">
      <formula>LEN(TRIM(AG76))=0</formula>
    </cfRule>
  </conditionalFormatting>
  <conditionalFormatting sqref="AG10:AU10">
    <cfRule type="containsBlanks" dxfId="9" priority="108">
      <formula>LEN(TRIM(AG10))=0</formula>
    </cfRule>
  </conditionalFormatting>
  <conditionalFormatting sqref="AI11">
    <cfRule type="containsBlanks" dxfId="8" priority="103">
      <formula>LEN(TRIM(AI11))=0</formula>
    </cfRule>
  </conditionalFormatting>
  <conditionalFormatting sqref="AI19">
    <cfRule type="containsBlanks" dxfId="7" priority="89">
      <formula>LEN(TRIM(AI19))=0</formula>
    </cfRule>
  </conditionalFormatting>
  <conditionalFormatting sqref="AI26">
    <cfRule type="containsBlanks" dxfId="6" priority="77">
      <formula>LEN(TRIM(AI26))=0</formula>
    </cfRule>
  </conditionalFormatting>
  <conditionalFormatting sqref="AI34">
    <cfRule type="containsBlanks" dxfId="5" priority="68">
      <formula>LEN(TRIM(AI34))=0</formula>
    </cfRule>
  </conditionalFormatting>
  <conditionalFormatting sqref="AI42">
    <cfRule type="containsBlanks" dxfId="4" priority="54">
      <formula>LEN(TRIM(AI42))=0</formula>
    </cfRule>
  </conditionalFormatting>
  <conditionalFormatting sqref="AI59">
    <cfRule type="containsBlanks" dxfId="3" priority="35">
      <formula>LEN(TRIM(AI59))=0</formula>
    </cfRule>
  </conditionalFormatting>
  <conditionalFormatting sqref="AI67">
    <cfRule type="containsBlanks" dxfId="2" priority="23">
      <formula>LEN(TRIM(AI67))=0</formula>
    </cfRule>
  </conditionalFormatting>
  <conditionalFormatting sqref="AI75">
    <cfRule type="containsBlanks" dxfId="1" priority="10">
      <formula>LEN(TRIM(AI75))=0</formula>
    </cfRule>
  </conditionalFormatting>
  <conditionalFormatting sqref="AK51:AU53">
    <cfRule type="containsBlanks" dxfId="0" priority="39">
      <formula>LEN(TRIM(AK51))=0</formula>
    </cfRule>
  </conditionalFormatting>
  <dataValidations xWindow="860" yWindow="391" count="6">
    <dataValidation allowBlank="1" showInputMessage="1" showErrorMessage="1" promptTitle="LLENAR DATOS" prompt="En caso de ser una persona Copropiedad." sqref="B22:AU22" xr:uid="{00000000-0002-0000-0200-000002000000}"/>
    <dataValidation allowBlank="1" showInputMessage="1" showErrorMessage="1" promptTitle="Llenar Datos" prompt="Llenar datos en caso de ser una persona moral..." sqref="B46:AU46" xr:uid="{00000000-0002-0000-0200-000003000000}"/>
    <dataValidation allowBlank="1" showInputMessage="1" showErrorMessage="1" promptTitle="DOCUMENTOS PERSONA FISICA" sqref="B81:B87 D81:W87 C81" xr:uid="{00000000-0002-0000-0200-000004000000}"/>
    <dataValidation allowBlank="1" showInputMessage="1" showErrorMessage="1" promptTitle="DOCUMENTOS PERSONA MORAL" sqref="Y81:AB85 AD81:AT85 AC81" xr:uid="{00000000-0002-0000-0200-000005000000}"/>
    <dataValidation allowBlank="1" showInputMessage="1" showErrorMessage="1" promptTitle="LLENAR DATOS" prompt="En caso de ser una persona Fisica" sqref="B7:AU7 B4" xr:uid="{00000000-0002-0000-0200-000009000000}"/>
    <dataValidation allowBlank="1" showInputMessage="1" showErrorMessage="1" promptTitle="No modificar_" prompt="Los datos vienen desde simulador." sqref="B5:B6" xr:uid="{1DAF5687-5292-4FEC-894A-095812A4D06E}"/>
  </dataValidations>
  <printOptions horizontalCentered="1"/>
  <pageMargins left="0.19685039370078741" right="0.19685039370078741" top="1.3779527559055118" bottom="0.78740157480314965" header="0.31496062992125984" footer="0.31496062992125984"/>
  <pageSetup scale="42" orientation="portrait" r:id="rId1"/>
  <headerFooter scaleWithDoc="0">
    <oddHeader>&amp;C&amp;G</oddHead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3" r:id="rId5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110</xdr:row>
                    <xdr:rowOff>114300</xdr:rowOff>
                  </from>
                  <to>
                    <xdr:col>2</xdr:col>
                    <xdr:colOff>9525</xdr:colOff>
                    <xdr:row>111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Check Box 32">
              <controlPr defaultSize="0" autoFill="0" autoLine="0" autoPict="0">
                <anchor moveWithCells="1">
                  <from>
                    <xdr:col>1</xdr:col>
                    <xdr:colOff>28575</xdr:colOff>
                    <xdr:row>112</xdr:row>
                    <xdr:rowOff>152400</xdr:rowOff>
                  </from>
                  <to>
                    <xdr:col>2</xdr:col>
                    <xdr:colOff>104775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7" name="Check Box 34">
              <controlPr defaultSize="0" autoFill="0" autoLine="0" autoPict="0">
                <anchor moveWithCells="1">
                  <from>
                    <xdr:col>1</xdr:col>
                    <xdr:colOff>28575</xdr:colOff>
                    <xdr:row>116</xdr:row>
                    <xdr:rowOff>133350</xdr:rowOff>
                  </from>
                  <to>
                    <xdr:col>4</xdr:col>
                    <xdr:colOff>228600</xdr:colOff>
                    <xdr:row>118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8" name="Check Box 39">
              <controlPr defaultSize="0" autoFill="0" autoLine="0" autoPict="0">
                <anchor moveWithCells="1">
                  <from>
                    <xdr:col>1</xdr:col>
                    <xdr:colOff>28575</xdr:colOff>
                    <xdr:row>118</xdr:row>
                    <xdr:rowOff>152400</xdr:rowOff>
                  </from>
                  <to>
                    <xdr:col>4</xdr:col>
                    <xdr:colOff>228600</xdr:colOff>
                    <xdr:row>120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9" name="Check Box 40">
              <controlPr defaultSize="0" autoFill="0" autoLine="0" autoPict="0">
                <anchor moveWithCells="1">
                  <from>
                    <xdr:col>1</xdr:col>
                    <xdr:colOff>47625</xdr:colOff>
                    <xdr:row>114</xdr:row>
                    <xdr:rowOff>152400</xdr:rowOff>
                  </from>
                  <to>
                    <xdr:col>2</xdr:col>
                    <xdr:colOff>114300</xdr:colOff>
                    <xdr:row>116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860" yWindow="391" count="7">
        <x14:dataValidation type="list" allowBlank="1" showInputMessage="1" showErrorMessage="1" xr:uid="{BEF218DE-A938-44E3-B386-3DF56970F57F}">
          <x14:formula1>
            <xm:f>DATOS!$P$25:$P$33</xm:f>
          </x14:formula1>
          <xm:sqref>H12:O12 H76:O76 H27:O27 H35:O35 H43:O43 H60:O60 H68:O68 H20</xm:sqref>
        </x14:dataValidation>
        <x14:dataValidation type="list" allowBlank="1" showInputMessage="1" showErrorMessage="1" xr:uid="{31FE50FF-59FD-4ABA-81C4-53CAEF361E72}">
          <x14:formula1>
            <xm:f>DATOS!$R$7:$R$8</xm:f>
          </x14:formula1>
          <xm:sqref>H14:J15 H78:J78 H37:J38 H45:J45 H62:J63 H70:J71 H29:J29</xm:sqref>
        </x14:dataValidation>
        <x14:dataValidation type="list" allowBlank="1" showInputMessage="1" showErrorMessage="1" xr:uid="{8A8D2A1F-AAC4-40DA-AE82-4572EA25DB78}">
          <x14:formula1>
            <xm:f>DATOS!$R$11:$R$12</xm:f>
          </x14:formula1>
          <xm:sqref>P78 P29:P30 P37:P38 P14 P62:P63 P70:P71 P45:Q45</xm:sqref>
        </x14:dataValidation>
        <x14:dataValidation type="list" allowBlank="1" showInputMessage="1" showErrorMessage="1" xr:uid="{00000000-0002-0000-0200-000010000000}">
          <x14:formula1>
            <xm:f>DATOS!$R$21:$R$24</xm:f>
          </x14:formula1>
          <xm:sqref>H10 H18 H25 H33 H41 H58 H66 H74</xm:sqref>
        </x14:dataValidation>
        <x14:dataValidation type="list" allowBlank="1" showInputMessage="1" showErrorMessage="1" xr:uid="{E09342AA-BCDC-4314-AC27-A0AD1C1BE874}">
          <x14:formula1>
            <xm:f>DATOS!$R$28:$R$30</xm:f>
          </x14:formula1>
          <xm:sqref>H4</xm:sqref>
        </x14:dataValidation>
        <x14:dataValidation type="list" allowBlank="1" showInputMessage="1" showErrorMessage="1" xr:uid="{CAC51241-14E7-400A-9DFF-F0163EBE3296}">
          <x14:formula1>
            <xm:f>DATOS!$P$21:$P$22</xm:f>
          </x14:formula1>
          <xm:sqref>I6:O6 H6</xm:sqref>
        </x14:dataValidation>
        <x14:dataValidation type="list" allowBlank="1" showInputMessage="1" showErrorMessage="1" xr:uid="{00200542-9BBC-42C1-9D05-3ED4B5993320}">
          <x14:formula1>
            <xm:f>DATOS!$P$20:$P$22</xm:f>
          </x14:formula1>
          <xm:sqref>H5:O5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47</vt:i4>
      </vt:variant>
    </vt:vector>
  </HeadingPairs>
  <TitlesOfParts>
    <vt:vector size="51" baseType="lpstr">
      <vt:lpstr>DATOS</vt:lpstr>
      <vt:lpstr>RESUMEN EJECUTIVO</vt:lpstr>
      <vt:lpstr>SIMULADOR</vt:lpstr>
      <vt:lpstr>DATOS DEL CLIENTE</vt:lpstr>
      <vt:lpstr>AMATISTA_1</vt:lpstr>
      <vt:lpstr>AMATISTA_2</vt:lpstr>
      <vt:lpstr>'DATOS DEL CLIENTE'!Área_de_impresión</vt:lpstr>
      <vt:lpstr>'RESUMEN EJECUTIVO'!Área_de_impresión</vt:lpstr>
      <vt:lpstr>SIMULADOR!Área_de_impresión</vt:lpstr>
      <vt:lpstr>ARRECIFE_3</vt:lpstr>
      <vt:lpstr>BOSQUE_1</vt:lpstr>
      <vt:lpstr>BOSQUE_2</vt:lpstr>
      <vt:lpstr>BOSQUE_3</vt:lpstr>
      <vt:lpstr>BOSQUE_4</vt:lpstr>
      <vt:lpstr>DESIERTO_1</vt:lpstr>
      <vt:lpstr>DESIERTO_2</vt:lpstr>
      <vt:lpstr>DESIERTO_3</vt:lpstr>
      <vt:lpstr>DESIERTO_4</vt:lpstr>
      <vt:lpstr>ESTADO_CIVIL</vt:lpstr>
      <vt:lpstr>LAGO_1</vt:lpstr>
      <vt:lpstr>LAGO_2</vt:lpstr>
      <vt:lpstr>LOGO</vt:lpstr>
      <vt:lpstr>LOMAS_DE_PORTTO_BLANCO_CIMATARIO</vt:lpstr>
      <vt:lpstr>LOMAS_ETAPA_1</vt:lpstr>
      <vt:lpstr>LOMAS_ETAPA_2</vt:lpstr>
      <vt:lpstr>LOMAS_ETAPA_3</vt:lpstr>
      <vt:lpstr>'RESUMEN EJECUTIVO'!LPBC</vt:lpstr>
      <vt:lpstr>LPBC</vt:lpstr>
      <vt:lpstr>MALAQUITA_1</vt:lpstr>
      <vt:lpstr>MALAQUITA_2</vt:lpstr>
      <vt:lpstr>MANGLAR_1</vt:lpstr>
      <vt:lpstr>MANGLAR_2</vt:lpstr>
      <vt:lpstr>PARAMO_1</vt:lpstr>
      <vt:lpstr>PARAMO_2</vt:lpstr>
      <vt:lpstr>PARAMO_3</vt:lpstr>
      <vt:lpstr>PARQUE</vt:lpstr>
      <vt:lpstr>'RESUMEN EJECUTIVO'!PBB</vt:lpstr>
      <vt:lpstr>PBB</vt:lpstr>
      <vt:lpstr>'RESUMEN EJECUTIVO'!PBC</vt:lpstr>
      <vt:lpstr>PBC</vt:lpstr>
      <vt:lpstr>PORTTO_BLANCO_BERNAL</vt:lpstr>
      <vt:lpstr>PORTTO_BLANCO_CIMATARIO</vt:lpstr>
      <vt:lpstr>SELVA_1</vt:lpstr>
      <vt:lpstr>SELVA_2</vt:lpstr>
      <vt:lpstr>SELVA_3</vt:lpstr>
      <vt:lpstr>SELVA_4</vt:lpstr>
      <vt:lpstr>TAIGA_1</vt:lpstr>
      <vt:lpstr>TAIGA_2</vt:lpstr>
      <vt:lpstr>TAIGA_3</vt:lpstr>
      <vt:lpstr>ZAFIRO_1</vt:lpstr>
      <vt:lpstr>ZAFIRO_2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Proyectos2</dc:creator>
  <cp:lastModifiedBy>LENOVO</cp:lastModifiedBy>
  <cp:lastPrinted>2023-02-07T17:38:14Z</cp:lastPrinted>
  <dcterms:created xsi:type="dcterms:W3CDTF">2017-09-25T17:46:09Z</dcterms:created>
  <dcterms:modified xsi:type="dcterms:W3CDTF">2023-04-24T16:34:30Z</dcterms:modified>
</cp:coreProperties>
</file>