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350AE08C1B992B/Documentos/"/>
    </mc:Choice>
  </mc:AlternateContent>
  <xr:revisionPtr revIDLastSave="1000" documentId="8_{E18CC535-C069-4D00-B21E-A809CED28214}" xr6:coauthVersionLast="47" xr6:coauthVersionMax="47" xr10:uidLastSave="{9C47F139-4DB8-4BF7-B1AC-B6D011EC30F0}"/>
  <bookViews>
    <workbookView minimized="1" xWindow="4176" yWindow="2880" windowWidth="10416" windowHeight="9360" xr2:uid="{00000000-000D-0000-FFFF-FFFF00000000}"/>
  </bookViews>
  <sheets>
    <sheet name="Cotizador" sheetId="1" r:id="rId1"/>
    <sheet name="Formato TRM" sheetId="3" r:id="rId2"/>
    <sheet name="Clientes" sheetId="4" r:id="rId3"/>
    <sheet name="Rutas" sheetId="2" r:id="rId4"/>
  </sheets>
  <definedNames>
    <definedName name="_xleta.IF" hidden="1" xlm="1">#NAME?</definedName>
    <definedName name="_xlnm.Print_Area" localSheetId="1">'Formato TRM'!$A$1:$E$24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3" l="1"/>
  <c r="E2" i="3"/>
  <c r="D8" i="3" a="1"/>
  <c r="D8" i="3" s="1"/>
  <c r="C22" i="1"/>
  <c r="C17" i="1"/>
  <c r="C13" i="1" l="1"/>
  <c r="C16" i="1"/>
  <c r="C13" i="3"/>
  <c r="E5" i="1"/>
  <c r="E6" i="3" s="1"/>
  <c r="C20" i="1"/>
  <c r="E6" i="1"/>
  <c r="E7" i="3" s="1"/>
  <c r="C15" i="1"/>
  <c r="C18" i="1" s="1"/>
  <c r="C19" i="1" s="1"/>
  <c r="C21" i="1" l="1"/>
  <c r="C23" i="1" s="1"/>
  <c r="K3" i="2" l="1"/>
  <c r="L3" i="2" s="1"/>
  <c r="M3" i="2" s="1"/>
  <c r="E13" i="3"/>
  <c r="E15" i="3" s="1"/>
  <c r="E17" i="3" s="1"/>
  <c r="C24" i="1" l="1"/>
  <c r="E16" i="3"/>
  <c r="C25" i="1"/>
  <c r="C26" i="1" l="1"/>
  <c r="E1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<sst xmlns="http://schemas.openxmlformats.org/spreadsheetml/2006/main" count="124" uniqueCount="118">
  <si>
    <t>COTIZADOR DE TRANSPORTE DE CARGA</t>
  </si>
  <si>
    <t>TABLA DE REFERENCIA: RUTAS</t>
  </si>
  <si>
    <t>TABLA DE REFERENCIA: UNIDADES</t>
  </si>
  <si>
    <t>1. DATOS DEL ENVÍO</t>
  </si>
  <si>
    <t>Ruta (Origen - Destino)</t>
  </si>
  <si>
    <t>Costo Base ($)</t>
  </si>
  <si>
    <t>Distancia (Km)</t>
  </si>
  <si>
    <t>Casetas Base ($)</t>
  </si>
  <si>
    <t>Tipo de Unidad</t>
  </si>
  <si>
    <t>Mult. Flete</t>
  </si>
  <si>
    <t>Rendimiento (Km/L)</t>
  </si>
  <si>
    <t>Mult. Casetas</t>
  </si>
  <si>
    <t>Seleccionar Ruta:</t>
  </si>
  <si>
    <t>Tipo de Unidad:</t>
  </si>
  <si>
    <t>Peso de la Carga (Ton):</t>
  </si>
  <si>
    <t>No</t>
  </si>
  <si>
    <t>Precio de Combustible por Litro ($):</t>
  </si>
  <si>
    <t>Gastos Operativos / Viáticos ($):</t>
  </si>
  <si>
    <t>2. DESGLOSE DE COTIZACIÓN</t>
  </si>
  <si>
    <t>Distancia de la Ruta (Km):</t>
  </si>
  <si>
    <t>Flete Base de Ruta ($):</t>
  </si>
  <si>
    <t>Rendimiento Unidad (Km/L):</t>
  </si>
  <si>
    <t>Consumo de Combustible (Litros):</t>
  </si>
  <si>
    <t>Costo de Combustible Total ($):</t>
  </si>
  <si>
    <t>Casetas Base ($):</t>
  </si>
  <si>
    <t>Gastos Operativos ($):</t>
  </si>
  <si>
    <t>SUBTOTAL ($):</t>
  </si>
  <si>
    <t>IVA (16%) ($):</t>
  </si>
  <si>
    <t>Retención IVA (4%) ($):</t>
  </si>
  <si>
    <t>TOTAL NETO ($):</t>
  </si>
  <si>
    <t>Sí</t>
  </si>
  <si>
    <t>COMBUSTIBLE</t>
  </si>
  <si>
    <t>COSTO</t>
  </si>
  <si>
    <t>MAGNA</t>
  </si>
  <si>
    <t>DIESEL</t>
  </si>
  <si>
    <t>CELAYA - SAN LUIS POTOSI</t>
  </si>
  <si>
    <t>CELAYA - GUADALAJARA</t>
  </si>
  <si>
    <t>CELAYA - LEON</t>
  </si>
  <si>
    <t>CELAYA - MONTERREY</t>
  </si>
  <si>
    <t>CELAYA - IRAPUATO</t>
  </si>
  <si>
    <t>CELAYA - SALAMANCA</t>
  </si>
  <si>
    <t>CELAYA - TOLUCA</t>
  </si>
  <si>
    <t xml:space="preserve"> combustible y caseta ida y vuelta </t>
  </si>
  <si>
    <t xml:space="preserve">Viaje sencillo / redondo </t>
  </si>
  <si>
    <t>Costo del viaje redondo (50%)</t>
  </si>
  <si>
    <t>CELAYA - SILAO</t>
  </si>
  <si>
    <t>CELAYA - SAN JUAN DEL RIO</t>
  </si>
  <si>
    <t>CELAYA - SANTA ROSA JAUREGUI</t>
  </si>
  <si>
    <t>CELAYA - SAN MIGUEL DE ALLENTE</t>
  </si>
  <si>
    <t>Ciudad</t>
  </si>
  <si>
    <t>Google Maps</t>
  </si>
  <si>
    <t>GRUPO TRM LOGISTIC</t>
  </si>
  <si>
    <t>COTIZACIÓN</t>
  </si>
  <si>
    <t>DATOS DEL CLIENTE</t>
  </si>
  <si>
    <t>DETALLES DE OPERACIÓN</t>
  </si>
  <si>
    <t>Empresa / Cliente:</t>
  </si>
  <si>
    <t>Origen:</t>
  </si>
  <si>
    <t>Contacto:</t>
  </si>
  <si>
    <t>Destino:</t>
  </si>
  <si>
    <t>Validez:</t>
  </si>
  <si>
    <t>ESPECIFICACIONES DEL SERVICIO</t>
  </si>
  <si>
    <t>ITEM</t>
  </si>
  <si>
    <t>DESCRIPCIÓN DEL SERVICIO</t>
  </si>
  <si>
    <t>RUTA / DETALLES</t>
  </si>
  <si>
    <t>TIPO DE UNIDAD</t>
  </si>
  <si>
    <t>IMPORTE</t>
  </si>
  <si>
    <t>01</t>
  </si>
  <si>
    <t>Servicio de Flete Terrestre de Carga</t>
  </si>
  <si>
    <t>Subtotal:</t>
  </si>
  <si>
    <t>IVA (16%):</t>
  </si>
  <si>
    <t>Retención IVA (4%):</t>
  </si>
  <si>
    <t>TOTAL NETO:</t>
  </si>
  <si>
    <t>Condiciones Comerciales y Términos del Servicio</t>
  </si>
  <si>
    <t>• Libre de Maniobras: Servicio libre de maniobras de carga y descarga (a cargo del cliente).</t>
  </si>
  <si>
    <t>• Tiempos de Carga/Descarga: Incluye 3 hrs libres de carga y 3 hrs libres de descarga; tiempo extra genera estadía.</t>
  </si>
  <si>
    <t>• Seguro de Mercancía: La carga viaja por cuenta y riesgo del cliente salvo contratación explícita de póliza.</t>
  </si>
  <si>
    <t>TRM-2026-001</t>
  </si>
  <si>
    <t>Fecha</t>
  </si>
  <si>
    <t>Folio</t>
  </si>
  <si>
    <t>CELAYA - TIZAYUCA</t>
  </si>
  <si>
    <t>CELAYA - TECAMAC</t>
  </si>
  <si>
    <t>CELAYA - APASEO EL ALTO</t>
  </si>
  <si>
    <t>CELAYA - APASEO EL GRANDE</t>
  </si>
  <si>
    <t>TELEFONO:</t>
  </si>
  <si>
    <t>AUTOTRANSPORTE DE CARGA &amp; LOGÍSTICA</t>
  </si>
  <si>
    <t>PRECIO MANUAL (OPCIONAL)</t>
  </si>
  <si>
    <t xml:space="preserve">• Condicones de pago:   Banco: BBVA BANCOMER Cuenta Cable: 012215001270598098 / Num de cuenta: 0127059809.  </t>
  </si>
  <si>
    <t>7 Días Naturales</t>
  </si>
  <si>
    <t>Dirección</t>
  </si>
  <si>
    <t>Contacto</t>
  </si>
  <si>
    <t>Empresa</t>
  </si>
  <si>
    <t>Mail</t>
  </si>
  <si>
    <t>Corrupack sa de cv</t>
  </si>
  <si>
    <t xml:space="preserve">Guillermo Cruz </t>
  </si>
  <si>
    <t>Puesto</t>
  </si>
  <si>
    <t>Jefe de compras</t>
  </si>
  <si>
    <t>Calzada la venta No. 12, complejo industrial cuamatla</t>
  </si>
  <si>
    <t>guillermo.cruz@krafir.com</t>
  </si>
  <si>
    <t>Telefono</t>
  </si>
  <si>
    <t>Correo:</t>
  </si>
  <si>
    <t>• Precios  incluyen IVA</t>
  </si>
  <si>
    <t>Porcentaje %</t>
  </si>
  <si>
    <t xml:space="preserve">Costo Directo </t>
  </si>
  <si>
    <t>CASETAS SI/NO</t>
  </si>
  <si>
    <t>NO</t>
  </si>
  <si>
    <t xml:space="preserve">Ganancia Neta </t>
  </si>
  <si>
    <t>CELAYA -  CDMX</t>
  </si>
  <si>
    <t>CELAYA - QUERETARO</t>
  </si>
  <si>
    <t xml:space="preserve">CELAYA - AGUASCALIENTES </t>
  </si>
  <si>
    <t>CELAYA  -TIZAYUCA</t>
  </si>
  <si>
    <t>CELAYA - LOCAL</t>
  </si>
  <si>
    <t>CELAYA - GUANAJUATO</t>
  </si>
  <si>
    <t xml:space="preserve">Rabon </t>
  </si>
  <si>
    <t xml:space="preserve">Torthon </t>
  </si>
  <si>
    <t xml:space="preserve">Trailer </t>
  </si>
  <si>
    <t xml:space="preserve">Camioneta </t>
  </si>
  <si>
    <t xml:space="preserve">Nissan </t>
  </si>
  <si>
    <t>8 A 10 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</si>
</sst>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$&quot;* #,##0.00_-;\-&quot;$&quot;* #,##0.00_-;_-&quot;$&quot;* &quot;-&quot;??_-;_-@_-"/>
    <numFmt numFmtId="164" formatCode="\$#,##0.00"/>
    <numFmt numFmtId="165" formatCode="#,##0.0"/>
    <numFmt numFmtId="166" formatCode="0.0"/>
    <numFmt numFmtId="167" formatCode="&quot;$&quot;#,##0.00"/>
  </numFmts>
  <fonts count="31" x14ac:knownFonts="1">
    <font>
      <sz val="11"/>
      <color theme="1"/>
      <name val="Calibri"/>
      <family val="2"/>
      <scheme val="minor"/>
    </font>
    <font>
      <b/>
      <sz val="16"/>
      <color rgb="FF1F497D"/>
      <name val="Calibri"/>
    </font>
    <font>
      <b/>
      <sz val="12"/>
      <color rgb="FF1F497D"/>
      <name val="Calibri"/>
    </font>
    <font>
      <b/>
      <sz val="11"/>
      <name val="Calibri"/>
    </font>
    <font>
      <sz val="11"/>
      <name val="Calibri"/>
    </font>
    <font>
      <b/>
      <sz val="11"/>
      <color rgb="FFFFFFFF"/>
      <name val="Calibri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1A365D"/>
      <name val="Calibri"/>
    </font>
    <font>
      <b/>
      <sz val="14"/>
      <color rgb="FF2B6CB0"/>
      <name val="Calibri"/>
    </font>
    <font>
      <b/>
      <sz val="9"/>
      <color rgb="FF2B6CB0"/>
      <name val="Calibri"/>
    </font>
    <font>
      <sz val="9"/>
      <color rgb="FF718096"/>
      <name val="Calibri"/>
    </font>
    <font>
      <b/>
      <sz val="9"/>
      <color rgb="FF2D3748"/>
      <name val="Calibri"/>
    </font>
    <font>
      <sz val="9"/>
      <color rgb="FF2D3748"/>
      <name val="Calibri"/>
    </font>
    <font>
      <b/>
      <sz val="11"/>
      <color rgb="FF1A365D"/>
      <name val="Calibri"/>
    </font>
    <font>
      <b/>
      <sz val="9"/>
      <color rgb="FFFFFFFF"/>
      <name val="Calibri"/>
    </font>
    <font>
      <b/>
      <sz val="11"/>
      <color rgb="FF2B6CB0"/>
      <name val="Calibri"/>
    </font>
    <font>
      <b/>
      <i/>
      <sz val="9"/>
      <color rgb="FF718096"/>
      <name val="Calibri"/>
      <family val="2"/>
    </font>
    <font>
      <b/>
      <sz val="9"/>
      <color rgb="FF2D3748"/>
      <name val="Calibri"/>
      <family val="2"/>
    </font>
    <font>
      <b/>
      <sz val="10"/>
      <color rgb="FF2D3748"/>
      <name val="Calibri"/>
      <family val="2"/>
    </font>
    <font>
      <sz val="10"/>
      <color rgb="FF2D3748"/>
      <name val="Calibri"/>
      <family val="2"/>
    </font>
    <font>
      <sz val="11"/>
      <color rgb="FF2D3748"/>
      <name val="Kartika"/>
      <family val="1"/>
    </font>
    <font>
      <sz val="11"/>
      <name val="Calibri"/>
      <family val="2"/>
    </font>
    <font>
      <i/>
      <sz val="8"/>
      <color rgb="FF595959"/>
      <name val="Calibri"/>
      <family val="2"/>
    </font>
    <font>
      <sz val="9"/>
      <color rgb="FF2D3748"/>
      <name val="Calibri"/>
      <family val="2"/>
    </font>
    <font>
      <sz val="11"/>
      <color theme="3"/>
      <name val="Calibri"/>
      <family val="2"/>
      <scheme val="minor"/>
    </font>
    <font>
      <b/>
      <sz val="9"/>
      <color theme="1" tint="0.499984740745262"/>
      <name val="Calibri"/>
      <family val="2"/>
    </font>
    <font>
      <b/>
      <sz val="9"/>
      <color theme="4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fornian FB"/>
      <family val="1"/>
    </font>
  </fonts>
  <fills count="8">
    <fill>
      <patternFill patternType="none"/>
    </fill>
    <fill>
      <patternFill patternType="gray125"/>
    </fill>
    <fill>
      <patternFill patternType="solid">
        <fgColor rgb="FFDCE6F1"/>
        <bgColor rgb="FFDCE6F1"/>
      </patternFill>
    </fill>
    <fill>
      <patternFill patternType="solid">
        <fgColor rgb="FF1F497D"/>
        <bgColor rgb="FF1F497D"/>
      </patternFill>
    </fill>
    <fill>
      <patternFill patternType="solid">
        <fgColor rgb="FFF7FAFC"/>
        <bgColor rgb="FFF7FAFC"/>
      </patternFill>
    </fill>
    <fill>
      <patternFill patternType="solid">
        <fgColor rgb="FF1A365D"/>
        <bgColor rgb="FF1A365D"/>
      </patternFill>
    </fill>
    <fill>
      <patternFill patternType="solid">
        <fgColor rgb="FFEBF8FF"/>
        <bgColor rgb="FFEBF8FF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double">
        <color rgb="FF000000"/>
      </bottom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/>
      <top/>
      <bottom style="thin">
        <color rgb="FFE2E8F0"/>
      </bottom>
      <diagonal/>
    </border>
    <border>
      <left/>
      <right/>
      <top style="medium">
        <color rgb="FF1A365D"/>
      </top>
      <bottom style="double">
        <color rgb="FF1A365D"/>
      </bottom>
      <diagonal/>
    </border>
  </borders>
  <cellStyleXfs count="4">
    <xf numFmtId="0" fontId="0" fillId="0" borderId="0"/>
    <xf numFmtId="44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2" fillId="0" borderId="0" xfId="0" applyFont="1"/>
    <xf numFmtId="0" fontId="5" fillId="3" borderId="0" xfId="0" applyFont="1" applyFill="1" applyAlignment="1">
      <alignment horizontal="center" vertical="center"/>
    </xf>
    <xf numFmtId="0" fontId="3" fillId="0" borderId="1" xfId="0" applyFont="1" applyBorder="1"/>
    <xf numFmtId="0" fontId="4" fillId="0" borderId="1" xfId="0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right" vertical="center"/>
    </xf>
    <xf numFmtId="3" fontId="4" fillId="0" borderId="1" xfId="0" applyNumberFormat="1" applyFont="1" applyBorder="1" applyAlignment="1">
      <alignment horizontal="right" vertical="center"/>
    </xf>
    <xf numFmtId="166" fontId="4" fillId="0" borderId="1" xfId="0" applyNumberFormat="1" applyFont="1" applyBorder="1" applyAlignment="1">
      <alignment horizontal="right" vertical="center"/>
    </xf>
    <xf numFmtId="0" fontId="4" fillId="0" borderId="1" xfId="0" applyFont="1" applyBorder="1"/>
    <xf numFmtId="165" fontId="4" fillId="0" borderId="1" xfId="0" applyNumberFormat="1" applyFont="1" applyBorder="1" applyAlignment="1">
      <alignment horizontal="right" vertical="center"/>
    </xf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right" vertical="center"/>
    </xf>
    <xf numFmtId="0" fontId="3" fillId="2" borderId="2" xfId="0" applyFont="1" applyFill="1" applyBorder="1"/>
    <xf numFmtId="164" fontId="3" fillId="2" borderId="2" xfId="0" applyNumberFormat="1" applyFont="1" applyFill="1" applyBorder="1" applyAlignment="1">
      <alignment horizontal="right" vertical="center"/>
    </xf>
    <xf numFmtId="44" fontId="0" fillId="0" borderId="0" xfId="1" applyFont="1"/>
    <xf numFmtId="44" fontId="4" fillId="0" borderId="3" xfId="1" applyFont="1" applyFill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right" vertical="center"/>
    </xf>
    <xf numFmtId="3" fontId="4" fillId="0" borderId="4" xfId="0" applyNumberFormat="1" applyFont="1" applyBorder="1" applyAlignment="1">
      <alignment horizontal="right" vertical="center"/>
    </xf>
    <xf numFmtId="0" fontId="7" fillId="0" borderId="0" xfId="2"/>
    <xf numFmtId="0" fontId="3" fillId="0" borderId="0" xfId="0" applyFont="1"/>
    <xf numFmtId="0" fontId="4" fillId="0" borderId="1" xfId="0" applyFont="1" applyBorder="1" applyAlignment="1" applyProtection="1">
      <alignment horizontal="left" vertical="center"/>
      <protection locked="0"/>
    </xf>
    <xf numFmtId="164" fontId="4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/>
    <xf numFmtId="0" fontId="9" fillId="0" borderId="0" xfId="0" applyFont="1" applyAlignment="1">
      <alignment horizontal="right" vertical="center"/>
    </xf>
    <xf numFmtId="0" fontId="10" fillId="0" borderId="0" xfId="0" applyFont="1"/>
    <xf numFmtId="0" fontId="11" fillId="0" borderId="0" xfId="0" applyFont="1" applyAlignment="1">
      <alignment horizontal="right" vertical="center"/>
    </xf>
    <xf numFmtId="0" fontId="10" fillId="4" borderId="0" xfId="0" applyFont="1" applyFill="1"/>
    <xf numFmtId="0" fontId="0" fillId="4" borderId="0" xfId="0" applyFill="1"/>
    <xf numFmtId="0" fontId="12" fillId="4" borderId="0" xfId="0" applyFont="1" applyFill="1"/>
    <xf numFmtId="0" fontId="13" fillId="4" borderId="0" xfId="0" applyFont="1" applyFill="1"/>
    <xf numFmtId="0" fontId="14" fillId="0" borderId="0" xfId="0" applyFont="1"/>
    <xf numFmtId="0" fontId="15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left" vertical="center"/>
    </xf>
    <xf numFmtId="0" fontId="15" fillId="5" borderId="0" xfId="0" applyFont="1" applyFill="1" applyAlignment="1">
      <alignment horizontal="right" vertical="center"/>
    </xf>
    <xf numFmtId="0" fontId="13" fillId="0" borderId="5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right" vertical="center"/>
    </xf>
    <xf numFmtId="167" fontId="16" fillId="6" borderId="6" xfId="0" applyNumberFormat="1" applyFont="1" applyFill="1" applyBorder="1" applyAlignment="1">
      <alignment horizontal="right" vertical="center"/>
    </xf>
    <xf numFmtId="14" fontId="12" fillId="0" borderId="0" xfId="0" applyNumberFormat="1" applyFont="1" applyAlignment="1">
      <alignment horizontal="right" vertical="center"/>
    </xf>
    <xf numFmtId="0" fontId="17" fillId="0" borderId="5" xfId="0" applyFont="1" applyBorder="1"/>
    <xf numFmtId="0" fontId="19" fillId="0" borderId="5" xfId="0" applyFont="1" applyBorder="1"/>
    <xf numFmtId="0" fontId="19" fillId="0" borderId="0" xfId="0" applyFont="1" applyAlignment="1">
      <alignment horizontal="right" vertical="center"/>
    </xf>
    <xf numFmtId="167" fontId="20" fillId="0" borderId="0" xfId="0" applyNumberFormat="1" applyFont="1" applyAlignment="1">
      <alignment horizontal="right" vertical="center"/>
    </xf>
    <xf numFmtId="167" fontId="19" fillId="0" borderId="5" xfId="0" applyNumberFormat="1" applyFont="1" applyBorder="1" applyAlignment="1">
      <alignment horizontal="right" vertical="center"/>
    </xf>
    <xf numFmtId="0" fontId="21" fillId="0" borderId="5" xfId="0" applyFont="1" applyBorder="1"/>
    <xf numFmtId="0" fontId="22" fillId="0" borderId="1" xfId="0" applyFont="1" applyBorder="1" applyAlignment="1">
      <alignment horizontal="left" vertical="center"/>
    </xf>
    <xf numFmtId="0" fontId="23" fillId="0" borderId="0" xfId="0" applyFont="1"/>
    <xf numFmtId="0" fontId="24" fillId="4" borderId="0" xfId="0" applyFont="1" applyFill="1"/>
    <xf numFmtId="0" fontId="18" fillId="4" borderId="0" xfId="0" applyFont="1" applyFill="1" applyAlignment="1">
      <alignment horizontal="right"/>
    </xf>
    <xf numFmtId="0" fontId="25" fillId="0" borderId="0" xfId="0" applyFont="1"/>
    <xf numFmtId="0" fontId="26" fillId="4" borderId="0" xfId="0" applyFont="1" applyFill="1"/>
    <xf numFmtId="0" fontId="18" fillId="4" borderId="0" xfId="0" applyFont="1" applyFill="1" applyAlignment="1">
      <alignment horizontal="center"/>
    </xf>
    <xf numFmtId="0" fontId="27" fillId="4" borderId="0" xfId="0" applyFont="1" applyFill="1" applyAlignment="1">
      <alignment horizontal="center"/>
    </xf>
    <xf numFmtId="0" fontId="22" fillId="0" borderId="0" xfId="0" applyFont="1"/>
    <xf numFmtId="0" fontId="28" fillId="0" borderId="0" xfId="0" applyFont="1"/>
    <xf numFmtId="0" fontId="29" fillId="0" borderId="0" xfId="0" applyFont="1"/>
    <xf numFmtId="0" fontId="28" fillId="7" borderId="0" xfId="0" applyFont="1" applyFill="1">
      <extLst>
        <ext xmlns:xfpb="http://schemas.microsoft.com/office/spreadsheetml/2022/featurepropertybag" uri="{C7286773-470A-42A8-94C5-96B5CB345126}">
          <xfpb:xfComplement i="0"/>
        </ext>
      </extLst>
    </xf>
    <xf numFmtId="44" fontId="0" fillId="0" borderId="0" xfId="0" applyNumberFormat="1"/>
    <xf numFmtId="9" fontId="0" fillId="0" borderId="0" xfId="3" applyFont="1"/>
    <xf numFmtId="0" fontId="30" fillId="0" borderId="0" xfId="0" applyFont="1"/>
    <xf numFmtId="0" fontId="22" fillId="0" borderId="4" xfId="0" applyFont="1" applyBorder="1" applyAlignment="1">
      <alignment horizontal="left" vertical="center"/>
    </xf>
  </cellXfs>
  <cellStyles count="4">
    <cellStyle name="Hipervínculo" xfId="2" builtinId="8"/>
    <cellStyle name="Moneda" xfId="1" builtinId="4"/>
    <cellStyle name="Normal" xfId="0" builtinId="0"/>
    <cellStyle name="Porcentaje" xfId="3" builtinId="5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</dxf>
  </dxfs>
  <tableStyles count="1" defaultTableStyle="TableStyleMedium9" defaultPivotStyle="PivotStyleLight16">
    <tableStyle name="Estilo de segmentación de datos 1" pivot="0" table="0" count="0" xr9:uid="{77CCB527-92ED-44B3-B53B-0EF8AF75578E}"/>
  </tableStyle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badi" panose="020F0502020204030204" pitchFamily="34" charset="0"/>
                <a:ea typeface="+mn-ea"/>
                <a:cs typeface="+mn-cs"/>
              </a:defRPr>
            </a:pPr>
            <a:r>
              <a:rPr lang="es-MX" b="0">
                <a:latin typeface="Franklin Gothic Medium" panose="020B0603020102020204" pitchFamily="34" charset="0"/>
              </a:rPr>
              <a:t>Porcentaje</a:t>
            </a:r>
            <a:r>
              <a:rPr lang="es-MX" b="0" baseline="0">
                <a:latin typeface="Franklin Gothic Medium" panose="020B0603020102020204" pitchFamily="34" charset="0"/>
              </a:rPr>
              <a:t> de Ganancia</a:t>
            </a:r>
            <a:endParaRPr lang="es-MX" b="0">
              <a:latin typeface="Franklin Gothic Medium" panose="020B0603020102020204" pitchFamily="34" charset="0"/>
            </a:endParaRPr>
          </a:p>
        </c:rich>
      </c:tx>
      <c:layout>
        <c:manualLayout>
          <c:xMode val="edge"/>
          <c:yMode val="edge"/>
          <c:x val="0.22492434924507676"/>
          <c:y val="3.9787798408488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badi" panose="020F050202020403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11C-4500-BFED-16D97B2B9103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11C-4500-BFED-16D97B2B910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7A8BE68-C942-4BDD-8EAC-EA65666DB819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 </a:t>
                    </a:r>
                    <a:fld id="{68DD7C6D-2160-4AFA-97A0-86F485468259}" type="PERCENTAGE">
                      <a:rPr lang="en-US" baseline="0"/>
                      <a:pPr/>
                      <a:t>[PORCENTAJE]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11C-4500-BFED-16D97B2B9103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Rutas!$K$2:$L$2</c:f>
              <c:strCache>
                <c:ptCount val="2"/>
                <c:pt idx="0">
                  <c:v>Costo Directo </c:v>
                </c:pt>
                <c:pt idx="1">
                  <c:v>Ganancia Neta </c:v>
                </c:pt>
              </c:strCache>
            </c:strRef>
          </c:cat>
          <c:val>
            <c:numRef>
              <c:f>Rutas!$K$3:$L$3</c:f>
              <c:numCache>
                <c:formatCode>_("$"* #,##0.00_);_("$"* \(#,##0.00\);_("$"* "-"??_);_(@_)</c:formatCode>
                <c:ptCount val="2"/>
                <c:pt idx="0">
                  <c:v>4973.0666666666666</c:v>
                </c:pt>
                <c:pt idx="1">
                  <c:v>8447.9333333333343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C-4500-BFED-16D97B2B910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61784004940548"/>
          <c:y val="0.4983183302352458"/>
          <c:w val="0.28710765014667283"/>
          <c:h val="0.3013520193264966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312420</xdr:colOff>
      <xdr:row>0</xdr:row>
      <xdr:rowOff>121920</xdr:rowOff>
    </xdr:from>
    <xdr:to>
      <xdr:col>9</xdr:col>
      <xdr:colOff>137160</xdr:colOff>
      <xdr:row>26</xdr:row>
      <xdr:rowOff>68580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omplemento 1" title="Bing Maps">
              <a:extLst>
                <a:ext uri="{FF2B5EF4-FFF2-40B4-BE49-F238E27FC236}">
                  <a16:creationId xmlns:a16="http://schemas.microsoft.com/office/drawing/2014/main" id="{B8AA1BC3-C8B3-43E6-65FB-9FFD22C30F4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Complemento 1" title="Bing Maps">
              <a:extLst>
                <a:ext uri="{FF2B5EF4-FFF2-40B4-BE49-F238E27FC236}">
                  <a16:creationId xmlns:a16="http://schemas.microsoft.com/office/drawing/2014/main" id="{B8AA1BC3-C8B3-43E6-65FB-9FFD22C30F4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784860</xdr:colOff>
      <xdr:row>21</xdr:row>
      <xdr:rowOff>167640</xdr:rowOff>
    </xdr:from>
    <xdr:to>
      <xdr:col>7</xdr:col>
      <xdr:colOff>320040</xdr:colOff>
      <xdr:row>23</xdr:row>
      <xdr:rowOff>167640</xdr:rowOff>
    </xdr:to>
    <xdr:sp macro="[0]!SiguienteFolio" textlink="">
      <xdr:nvSpPr>
        <xdr:cNvPr id="2" name="Rectángulo 1">
          <a:extLst>
            <a:ext uri="{FF2B5EF4-FFF2-40B4-BE49-F238E27FC236}">
              <a16:creationId xmlns:a16="http://schemas.microsoft.com/office/drawing/2014/main" id="{2547A68C-0960-C405-AA02-2ED61BE57B85}"/>
            </a:ext>
          </a:extLst>
        </xdr:cNvPr>
        <xdr:cNvSpPr/>
      </xdr:nvSpPr>
      <xdr:spPr>
        <a:xfrm>
          <a:off x="10027920" y="4137660"/>
          <a:ext cx="1120140" cy="36576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es-MX" sz="10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NUEVO</a:t>
          </a:r>
          <a:r>
            <a:rPr lang="es-MX" sz="1000" b="1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FOLIO</a:t>
          </a:r>
          <a:endParaRPr lang="es-MX" sz="1000" b="1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 fPrintsWithSheet="0"/>
  </xdr:twoCellAnchor>
  <xdr:twoCellAnchor>
    <xdr:from>
      <xdr:col>4</xdr:col>
      <xdr:colOff>708660</xdr:colOff>
      <xdr:row>21</xdr:row>
      <xdr:rowOff>175260</xdr:rowOff>
    </xdr:from>
    <xdr:to>
      <xdr:col>5</xdr:col>
      <xdr:colOff>7620</xdr:colOff>
      <xdr:row>23</xdr:row>
      <xdr:rowOff>152400</xdr:rowOff>
    </xdr:to>
    <xdr:sp macro="[0]!GuardarCotizacionPDF" textlink="">
      <xdr:nvSpPr>
        <xdr:cNvPr id="3" name="Rectángulo 2">
          <a:extLst>
            <a:ext uri="{FF2B5EF4-FFF2-40B4-BE49-F238E27FC236}">
              <a16:creationId xmlns:a16="http://schemas.microsoft.com/office/drawing/2014/main" id="{91204FBE-29B3-1926-300D-35B05EACCC0A}"/>
            </a:ext>
          </a:extLst>
        </xdr:cNvPr>
        <xdr:cNvSpPr/>
      </xdr:nvSpPr>
      <xdr:spPr>
        <a:xfrm>
          <a:off x="7757160" y="4122420"/>
          <a:ext cx="1188720" cy="3429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Aharoni" panose="02010803020104030203" pitchFamily="2" charset="-79"/>
              <a:cs typeface="Aharoni" panose="02010803020104030203" pitchFamily="2" charset="-79"/>
            </a:rPr>
            <a:t>Guardar PDF</a:t>
          </a:r>
        </a:p>
      </xdr:txBody>
    </xdr:sp>
    <xdr:clientData fPrintsWithSheet="0"/>
  </xdr:twoCellAnchor>
  <xdr:twoCellAnchor>
    <xdr:from>
      <xdr:col>8</xdr:col>
      <xdr:colOff>7620</xdr:colOff>
      <xdr:row>22</xdr:row>
      <xdr:rowOff>30480</xdr:rowOff>
    </xdr:from>
    <xdr:to>
      <xdr:col>9</xdr:col>
      <xdr:colOff>373380</xdr:colOff>
      <xdr:row>24</xdr:row>
      <xdr:rowOff>15240</xdr:rowOff>
    </xdr:to>
    <xdr:sp macro="[0]!EnviarCotizacionWhatsApp" textlink="">
      <xdr:nvSpPr>
        <xdr:cNvPr id="4" name="Rectángulo 3">
          <a:extLst>
            <a:ext uri="{FF2B5EF4-FFF2-40B4-BE49-F238E27FC236}">
              <a16:creationId xmlns:a16="http://schemas.microsoft.com/office/drawing/2014/main" id="{14387D7F-DAE5-6F4B-9F2C-BB13F60258FC}"/>
            </a:ext>
          </a:extLst>
        </xdr:cNvPr>
        <xdr:cNvSpPr/>
      </xdr:nvSpPr>
      <xdr:spPr>
        <a:xfrm>
          <a:off x="11628120" y="4183380"/>
          <a:ext cx="1158240" cy="35052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WhatsApp</a:t>
          </a:r>
        </a:p>
      </xdr:txBody>
    </xdr:sp>
    <xdr:clientData fPrintsWithSheet="0"/>
  </xdr:twoCellAnchor>
  <xdr:twoCellAnchor editAs="oneCell">
    <xdr:from>
      <xdr:col>1</xdr:col>
      <xdr:colOff>2019301</xdr:colOff>
      <xdr:row>0</xdr:row>
      <xdr:rowOff>7620</xdr:rowOff>
    </xdr:from>
    <xdr:to>
      <xdr:col>3</xdr:col>
      <xdr:colOff>30480</xdr:colOff>
      <xdr:row>6</xdr:row>
      <xdr:rowOff>158619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3BD486E-4D68-4490-A494-7A80B8DA9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alphaModFix amt="85000"/>
        </a:blip>
        <a:stretch>
          <a:fillRect/>
        </a:stretch>
      </xdr:blipFill>
      <xdr:spPr>
        <a:xfrm>
          <a:off x="4107181" y="7620"/>
          <a:ext cx="1577339" cy="13320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</xdr:colOff>
      <xdr:row>9</xdr:row>
      <xdr:rowOff>30480</xdr:rowOff>
    </xdr:from>
    <xdr:to>
      <xdr:col>14</xdr:col>
      <xdr:colOff>22860</xdr:colOff>
      <xdr:row>24</xdr:row>
      <xdr:rowOff>160020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33AC8B-72E9-5795-866B-88934C1153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C985C9-4D99-416E-BC3F-69E2261724D6}" name="Tabla2" displayName="Tabla2" ref="A2:A23" totalsRowShown="0" headerRowDxfId="2" dataDxfId="1">
  <autoFilter ref="A2:A23" xr:uid="{07C985C9-4D99-416E-BC3F-69E2261724D6}"/>
  <sortState xmlns:xlrd2="http://schemas.microsoft.com/office/spreadsheetml/2017/richdata2" ref="A3:A23">
    <sortCondition ref="A2:A23"/>
  </sortState>
  <tableColumns count="1">
    <tableColumn id="1" xr3:uid="{9F7B08CF-A19A-49A9-A241-60978E35A278}" name="Ruta (Origen - Destino)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B8AA1BC3-C8B3-43E6-65FB-9FFD22C30F48}">
  <we:reference id="wa102957661" version="1.7.0.0" store="es-ES" storeType="OMEX"/>
  <we:alternateReferences>
    <we:reference id="WA102957661" version="1.7.0.0" store="WA102957661" storeType="OMEX"/>
  </we:alternateReferences>
  <we:properties>
    <we:property name="color" value="[&quot;#00b4FF&quot;,&quot;#cc3300&quot;,&quot;#999900&quot;,&quot;#3366ff&quot;,&quot;#990055&quot;,&quot;#336633&quot;,&quot;#5500cc&quot;,&quot;#ff8c1a&quot;,&quot;#e60073&quot;,&quot;#666600&quot;,&quot;#0000ff&quot;,&quot;#996633&quot;,&quot;#00b386&quot;,&quot;#9900cc&quot;,&quot;#008000&quot;,&quot;#006699&quot;,&quot;#cc6600&quot;,&quot;#660080&quot;,&quot;#663300&quot;,&quot;#00a3a3&quot;,&quot;#990000&quot;,&quot;#FF0000&quot;,&quot;#FFA500&quot;,&quot;#FFFF00&quot;,&quot;#D4A017&quot;,&quot;#C0C0C0&quot;,&quot;#8C7853&quot;]"/>
    <we:property name="filters" value="[]"/>
    <we:property name="mapType" value="&quot;aerial&quot;"/>
    <we:property name="pointType" value="&quot;circles&quot;"/>
    <we:property name="showLegend" value="&quot;show&quot;"/>
  </we:properties>
  <we:bindings>
    <we:binding id="Locations" type="matrix" appref="{C057FCFE-0858-472D-BE55-629ABD7F75B0}"/>
  </we:bindings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guillermo.cruz@krafir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3"/>
  </sheetPr>
  <dimension ref="B2:F26"/>
  <sheetViews>
    <sheetView showGridLines="0" tabSelected="1" workbookViewId="0">
      <selection activeCell="C13" sqref="C13"/>
    </sheetView>
  </sheetViews>
  <sheetFormatPr baseColWidth="10" defaultColWidth="8.88671875" defaultRowHeight="14.4" x14ac:dyDescent="0.3"/>
  <cols>
    <col min="1" max="1" width="12" customWidth="1"/>
    <col min="2" max="2" width="32" customWidth="1"/>
    <col min="3" max="3" width="35.5546875" customWidth="1"/>
    <col min="4" max="4" width="10.109375" customWidth="1"/>
    <col min="5" max="5" width="35.33203125" customWidth="1"/>
    <col min="6" max="7" width="18" customWidth="1"/>
    <col min="8" max="9" width="20" customWidth="1"/>
    <col min="10" max="10" width="15" customWidth="1"/>
    <col min="11" max="11" width="22" customWidth="1"/>
    <col min="12" max="12" width="17" customWidth="1"/>
    <col min="13" max="13" width="17.77734375" customWidth="1"/>
    <col min="14" max="14" width="17" customWidth="1"/>
  </cols>
  <sheetData>
    <row r="2" spans="2:5" ht="21" x14ac:dyDescent="0.4">
      <c r="B2" s="1" t="s">
        <v>0</v>
      </c>
    </row>
    <row r="4" spans="2:5" ht="15.6" x14ac:dyDescent="0.3">
      <c r="B4" s="2" t="s">
        <v>3</v>
      </c>
      <c r="E4" t="s">
        <v>49</v>
      </c>
    </row>
    <row r="5" spans="2:5" x14ac:dyDescent="0.3">
      <c r="B5" s="4" t="s">
        <v>12</v>
      </c>
      <c r="C5" s="22" t="s">
        <v>36</v>
      </c>
      <c r="E5" t="str">
        <f>LEFT(C5,FIND("-",C5)-2)&amp;",Guanajuato,Mexico"</f>
        <v>CELAYA,Guanajuato,Mexico</v>
      </c>
    </row>
    <row r="6" spans="2:5" x14ac:dyDescent="0.3">
      <c r="B6" s="4" t="s">
        <v>13</v>
      </c>
      <c r="C6" s="22" t="s">
        <v>112</v>
      </c>
      <c r="E6" t="str">
        <f>MID(C5,FIND("-",C5)+2,50)&amp;",Mexico"</f>
        <v>GUADALAJARA,Mexico</v>
      </c>
    </row>
    <row r="7" spans="2:5" x14ac:dyDescent="0.3">
      <c r="B7" s="4" t="s">
        <v>14</v>
      </c>
      <c r="C7" s="22" t="s">
        <v>117</v>
      </c>
    </row>
    <row r="8" spans="2:5" x14ac:dyDescent="0.3">
      <c r="B8" s="4" t="s">
        <v>42</v>
      </c>
      <c r="C8" s="22" t="s">
        <v>30</v>
      </c>
    </row>
    <row r="9" spans="2:5" x14ac:dyDescent="0.3">
      <c r="B9" s="4" t="s">
        <v>43</v>
      </c>
      <c r="C9" s="23" t="s">
        <v>15</v>
      </c>
    </row>
    <row r="10" spans="2:5" x14ac:dyDescent="0.3">
      <c r="B10" s="4" t="s">
        <v>16</v>
      </c>
      <c r="C10" s="23">
        <v>23.68</v>
      </c>
    </row>
    <row r="11" spans="2:5" x14ac:dyDescent="0.3">
      <c r="B11" s="4" t="s">
        <v>17</v>
      </c>
      <c r="C11" s="23">
        <v>1500</v>
      </c>
    </row>
    <row r="12" spans="2:5" x14ac:dyDescent="0.3">
      <c r="B12" s="47" t="s">
        <v>85</v>
      </c>
      <c r="C12" s="15"/>
    </row>
    <row r="13" spans="2:5" x14ac:dyDescent="0.3">
      <c r="B13" s="21" t="s">
        <v>50</v>
      </c>
      <c r="C13" s="20" t="str">
        <f>HYPERLINK("https://www.google.com/maps/dir/" &amp; SUBSTITUTE(C5, " - ", "/"), "🗺️ Abrir Ruta Trazada en Google Maps")</f>
        <v>🗺️ Abrir Ruta Trazada en Google Maps</v>
      </c>
    </row>
    <row r="14" spans="2:5" ht="15.6" x14ac:dyDescent="0.3">
      <c r="B14" s="2" t="s">
        <v>18</v>
      </c>
    </row>
    <row r="15" spans="2:5" x14ac:dyDescent="0.3">
      <c r="B15" s="9" t="s">
        <v>19</v>
      </c>
      <c r="C15" s="10">
        <f>VLOOKUP(C5, Rutas!A:D,3,FALSE)</f>
        <v>330</v>
      </c>
    </row>
    <row r="16" spans="2:5" x14ac:dyDescent="0.3">
      <c r="B16" s="9" t="s">
        <v>20</v>
      </c>
      <c r="C16" s="6">
        <f>VLOOKUP(C5, Rutas!A:D,2,FALSE)*VLOOKUP(C6,Rutas!E3:H8,2,FALSE)</f>
        <v>6441.5999999999995</v>
      </c>
    </row>
    <row r="17" spans="2:6" x14ac:dyDescent="0.3">
      <c r="B17" s="9" t="s">
        <v>21</v>
      </c>
      <c r="C17" s="10">
        <f>VLOOKUP(C6, Rutas!E3:H8, 3, FALSE)</f>
        <v>4.5</v>
      </c>
    </row>
    <row r="18" spans="2:6" x14ac:dyDescent="0.3">
      <c r="B18" s="9" t="s">
        <v>22</v>
      </c>
      <c r="C18" s="10">
        <f>IF(C17=0, 0, (C15 * IF(UPPER(C8)="SÍ", 2, 1)) / C17)</f>
        <v>146.66666666666666</v>
      </c>
    </row>
    <row r="19" spans="2:6" x14ac:dyDescent="0.3">
      <c r="B19" s="9" t="s">
        <v>23</v>
      </c>
      <c r="C19" s="6">
        <f>C18 * C10</f>
        <v>3473.0666666666666</v>
      </c>
    </row>
    <row r="20" spans="2:6" x14ac:dyDescent="0.3">
      <c r="B20" s="9" t="s">
        <v>24</v>
      </c>
      <c r="C20" s="6">
        <f>VLOOKUP(C5, Rutas!A:D,4, FALSE)*VLOOKUP(C6,Rutas!E3:H8,4,FALSE)*2</f>
        <v>2006</v>
      </c>
    </row>
    <row r="21" spans="2:6" x14ac:dyDescent="0.3">
      <c r="B21" s="9" t="s">
        <v>44</v>
      </c>
      <c r="C21" s="6">
        <f>IF(C9="Sí",(SUM(C16:C20)+C22)*0.5,0)</f>
        <v>0</v>
      </c>
      <c r="F21" s="18"/>
    </row>
    <row r="22" spans="2:6" x14ac:dyDescent="0.3">
      <c r="B22" s="9" t="s">
        <v>25</v>
      </c>
      <c r="C22" s="6">
        <f>C11</f>
        <v>1500</v>
      </c>
    </row>
    <row r="23" spans="2:6" x14ac:dyDescent="0.3">
      <c r="B23" s="11" t="s">
        <v>26</v>
      </c>
      <c r="C23" s="12">
        <f>IF(C12&gt;0,C12,ROUND(C16+C19+C20+C21+C22,0))</f>
        <v>13421</v>
      </c>
    </row>
    <row r="24" spans="2:6" x14ac:dyDescent="0.3">
      <c r="B24" s="9" t="s">
        <v>27</v>
      </c>
      <c r="C24" s="6">
        <f>C23 * 0.16</f>
        <v>2147.36</v>
      </c>
    </row>
    <row r="25" spans="2:6" x14ac:dyDescent="0.3">
      <c r="B25" s="9" t="s">
        <v>28</v>
      </c>
      <c r="C25" s="6">
        <f>C23 * 0.04</f>
        <v>536.84</v>
      </c>
    </row>
    <row r="26" spans="2:6" x14ac:dyDescent="0.3">
      <c r="B26" s="13" t="s">
        <v>29</v>
      </c>
      <c r="C26" s="14">
        <f>C23 + C24 - C25</f>
        <v>15031.52</v>
      </c>
    </row>
  </sheetData>
  <dataValidations count="2">
    <dataValidation type="list" allowBlank="1" showInputMessage="1" showErrorMessage="1" sqref="C8 C9" xr:uid="{D3AE741B-100B-4746-BD74-46549330BFFE}">
      <formula1>"Sí,No"</formula1>
    </dataValidation>
    <dataValidation type="list" allowBlank="1" showInputMessage="1" showErrorMessage="1" sqref="C7" xr:uid="{F41156FD-7946-42E6-8536-3F6B41B5219F}">
      <formula1>"1.5 Ton,3.5 Ton,4.5 Ton,5 A 7 Ton,8 A 10 Ton,15 Ton,22 Ton"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BCF7CF-077E-4FFC-9AD4-A1C49A5DC95D}">
          <x14:formula1>
            <xm:f>Rutas!$E$3:$E$13</xm:f>
          </x14:formula1>
          <xm:sqref>C6</xm:sqref>
        </x14:dataValidation>
        <x14:dataValidation type="list" allowBlank="1" showInputMessage="1" showErrorMessage="1" xr:uid="{D4F0415E-4EA8-447C-AE4F-EAFFE958D62A}">
          <x14:formula1>
            <xm:f>Rutas!$J$3:$J$4</xm:f>
          </x14:formula1>
          <xm:sqref>C10</xm:sqref>
        </x14:dataValidation>
        <x14:dataValidation type="list" allowBlank="1" showInputMessage="1" showErrorMessage="1" xr:uid="{1D2490F4-ED56-4498-A1A3-B1DB6F2A1A24}">
          <x14:formula1>
            <xm:f>Rutas!A$3:A$50</xm:f>
          </x14:formula1>
          <xm:sqref>C5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C057FCFE-0858-472D-BE55-629ABD7F75B0}">
          <xm:f>Cotizador!$E$4:$E$6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CDAC2-FABB-4437-958E-2FCC89FD1E45}">
  <sheetPr codeName="Hoja2">
    <tabColor theme="3"/>
    <pageSetUpPr fitToPage="1"/>
  </sheetPr>
  <dimension ref="A1:F25"/>
  <sheetViews>
    <sheetView workbookViewId="0">
      <selection activeCell="B6" sqref="B6"/>
    </sheetView>
  </sheetViews>
  <sheetFormatPr baseColWidth="10" defaultRowHeight="14.4" x14ac:dyDescent="0.3"/>
  <cols>
    <col min="1" max="1" width="30.44140625" customWidth="1"/>
    <col min="2" max="2" width="29.88671875" customWidth="1"/>
    <col min="3" max="3" width="22.109375" customWidth="1"/>
    <col min="4" max="4" width="24.77734375" customWidth="1"/>
    <col min="5" max="5" width="27.5546875" customWidth="1"/>
  </cols>
  <sheetData>
    <row r="1" spans="1:5" ht="21" x14ac:dyDescent="0.4">
      <c r="A1" s="24" t="s">
        <v>51</v>
      </c>
      <c r="D1" s="27"/>
      <c r="E1" s="25" t="s">
        <v>52</v>
      </c>
    </row>
    <row r="2" spans="1:5" x14ac:dyDescent="0.3">
      <c r="A2" s="26" t="s">
        <v>84</v>
      </c>
      <c r="D2" s="27" t="s">
        <v>77</v>
      </c>
      <c r="E2" s="39">
        <f ca="1">TODAY()</f>
        <v>46273</v>
      </c>
    </row>
    <row r="3" spans="1:5" x14ac:dyDescent="0.3">
      <c r="D3" s="27" t="s">
        <v>78</v>
      </c>
      <c r="E3" s="39" t="s">
        <v>76</v>
      </c>
    </row>
    <row r="4" spans="1:5" x14ac:dyDescent="0.3">
      <c r="D4" s="30" t="s">
        <v>83</v>
      </c>
      <c r="E4" s="49">
        <v>4612324099</v>
      </c>
    </row>
    <row r="5" spans="1:5" x14ac:dyDescent="0.3">
      <c r="A5" s="28" t="s">
        <v>53</v>
      </c>
      <c r="B5" s="29"/>
      <c r="D5" s="28" t="s">
        <v>54</v>
      </c>
      <c r="E5" s="29"/>
    </row>
    <row r="6" spans="1:5" x14ac:dyDescent="0.3">
      <c r="A6" s="30" t="s">
        <v>55</v>
      </c>
      <c r="B6" s="52" t="s">
        <v>92</v>
      </c>
      <c r="D6" s="30" t="s">
        <v>56</v>
      </c>
      <c r="E6" s="31" t="str">
        <f>Cotizador!$E$5</f>
        <v>CELAYA,Guanajuato,Mexico</v>
      </c>
    </row>
    <row r="7" spans="1:5" x14ac:dyDescent="0.3">
      <c r="A7" s="30" t="s">
        <v>57</v>
      </c>
      <c r="B7" s="52" t="s">
        <v>93</v>
      </c>
      <c r="D7" s="30" t="s">
        <v>58</v>
      </c>
      <c r="E7" s="31" t="str">
        <f>Cotizador!$E$6</f>
        <v>GUADALAJARA,Mexico</v>
      </c>
    </row>
    <row r="8" spans="1:5" x14ac:dyDescent="0.3">
      <c r="A8" s="51" t="s">
        <v>99</v>
      </c>
      <c r="B8" s="53" t="s">
        <v>97</v>
      </c>
      <c r="D8" s="31" t="str" cm="1">
        <f t="array" ref="D8:E8">Cotizador!B9:C9</f>
        <v xml:space="preserve">Viaje sencillo / redondo </v>
      </c>
      <c r="E8" t="str">
        <v>No</v>
      </c>
    </row>
    <row r="9" spans="1:5" x14ac:dyDescent="0.3">
      <c r="A9" s="30" t="s">
        <v>59</v>
      </c>
      <c r="B9" s="48" t="s">
        <v>87</v>
      </c>
    </row>
    <row r="10" spans="1:5" x14ac:dyDescent="0.3">
      <c r="A10" s="32" t="s">
        <v>60</v>
      </c>
    </row>
    <row r="12" spans="1:5" x14ac:dyDescent="0.3">
      <c r="A12" s="33" t="s">
        <v>61</v>
      </c>
      <c r="B12" s="34" t="s">
        <v>62</v>
      </c>
      <c r="C12" s="34" t="s">
        <v>63</v>
      </c>
      <c r="D12" s="34" t="s">
        <v>64</v>
      </c>
      <c r="E12" s="35" t="s">
        <v>65</v>
      </c>
    </row>
    <row r="13" spans="1:5" ht="16.2" x14ac:dyDescent="0.45">
      <c r="A13" s="36" t="s">
        <v>66</v>
      </c>
      <c r="B13" s="41" t="s">
        <v>67</v>
      </c>
      <c r="C13" s="40" t="str">
        <f>Cotizador!C5</f>
        <v>CELAYA - GUADALAJARA</v>
      </c>
      <c r="D13" s="45" t="str">
        <f>Cotizador!C6&amp;""&amp;Cotizador!C7</f>
        <v>Rabon 8 A 10 Ton</v>
      </c>
      <c r="E13" s="44">
        <f>Cotizador!C23</f>
        <v>13421</v>
      </c>
    </row>
    <row r="15" spans="1:5" x14ac:dyDescent="0.3">
      <c r="D15" s="42" t="s">
        <v>68</v>
      </c>
      <c r="E15" s="43">
        <f>E13</f>
        <v>13421</v>
      </c>
    </row>
    <row r="16" spans="1:5" x14ac:dyDescent="0.3">
      <c r="D16" s="42" t="s">
        <v>69</v>
      </c>
      <c r="E16" s="43">
        <f>E15*0.16</f>
        <v>2147.36</v>
      </c>
    </row>
    <row r="17" spans="1:6" ht="15" thickBot="1" x14ac:dyDescent="0.35">
      <c r="D17" s="42" t="s">
        <v>70</v>
      </c>
      <c r="E17" s="43">
        <f>IF(F17=TRUE, -E15*0.04,0)</f>
        <v>-536.84</v>
      </c>
      <c r="F17" s="57" t="b">
        <v>1</v>
      </c>
    </row>
    <row r="18" spans="1:6" ht="15" thickBot="1" x14ac:dyDescent="0.35">
      <c r="D18" s="37" t="s">
        <v>71</v>
      </c>
      <c r="E18" s="38">
        <f>SUM(E15:E17)</f>
        <v>15031.52</v>
      </c>
    </row>
    <row r="19" spans="1:6" ht="15" thickTop="1" x14ac:dyDescent="0.3"/>
    <row r="20" spans="1:6" x14ac:dyDescent="0.3">
      <c r="A20" s="56" t="s">
        <v>72</v>
      </c>
      <c r="B20" s="55"/>
    </row>
    <row r="21" spans="1:6" x14ac:dyDescent="0.3">
      <c r="A21" s="54" t="s">
        <v>100</v>
      </c>
      <c r="B21" s="55"/>
      <c r="C21" s="55"/>
      <c r="D21" s="55"/>
    </row>
    <row r="22" spans="1:6" x14ac:dyDescent="0.3">
      <c r="A22" s="54" t="s">
        <v>73</v>
      </c>
      <c r="B22" s="55"/>
      <c r="C22" s="55"/>
      <c r="D22" s="55"/>
    </row>
    <row r="23" spans="1:6" x14ac:dyDescent="0.3">
      <c r="A23" s="54" t="s">
        <v>74</v>
      </c>
      <c r="B23" s="55"/>
      <c r="C23" s="55"/>
      <c r="D23" s="55"/>
    </row>
    <row r="24" spans="1:6" x14ac:dyDescent="0.3">
      <c r="A24" s="54" t="s">
        <v>75</v>
      </c>
      <c r="B24" s="55"/>
      <c r="C24" s="55"/>
      <c r="D24" s="55"/>
    </row>
    <row r="25" spans="1:6" x14ac:dyDescent="0.3">
      <c r="A25" s="54" t="s">
        <v>86</v>
      </c>
      <c r="B25" s="55"/>
      <c r="C25" s="55"/>
      <c r="D25" s="55"/>
    </row>
  </sheetData>
  <printOptions horizontalCentered="1"/>
  <pageMargins left="0.19685039370078741" right="0.19685039370078741" top="0.19685039370078741" bottom="0.19685039370078741" header="0.19685039370078741" footer="0.19685039370078741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F450AB06-A2E4-44B7-8490-CCA1F5C9927E}">
          <x14:formula1>
            <xm:f>Clientes!$A$2:$A$110</xm:f>
          </x14:formula1>
          <xm:sqref>B6</xm:sqref>
        </x14:dataValidation>
        <x14:dataValidation type="list" showInputMessage="1" showErrorMessage="1" xr:uid="{483E0B7E-B4E1-414D-A024-8B4686CDEE74}">
          <x14:formula1>
            <xm:f>Clientes!$B$2:$B$100</xm:f>
          </x14:formula1>
          <xm:sqref>B7</xm:sqref>
        </x14:dataValidation>
        <x14:dataValidation type="list" allowBlank="1" showInputMessage="1" showErrorMessage="1" xr:uid="{381B4A0E-502E-4714-8D6A-88C198DB4DF4}">
          <x14:formula1>
            <xm:f>Clientes!$E$2:$E$100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18611-A96F-4D52-B9E8-09CCB9E261C5}">
  <sheetPr codeName="Hoja4">
    <tabColor theme="3"/>
  </sheetPr>
  <dimension ref="A1:F2"/>
  <sheetViews>
    <sheetView workbookViewId="0">
      <selection activeCell="A3" sqref="A3"/>
    </sheetView>
  </sheetViews>
  <sheetFormatPr baseColWidth="10" defaultRowHeight="14.4" x14ac:dyDescent="0.3"/>
  <cols>
    <col min="1" max="1" width="33" customWidth="1"/>
    <col min="2" max="2" width="32.6640625" customWidth="1"/>
    <col min="3" max="3" width="22.5546875" customWidth="1"/>
    <col min="4" max="4" width="46" customWidth="1"/>
    <col min="5" max="5" width="32.88671875" customWidth="1"/>
    <col min="6" max="6" width="18.21875" style="50" customWidth="1"/>
  </cols>
  <sheetData>
    <row r="1" spans="1:6" x14ac:dyDescent="0.3">
      <c r="A1" t="s">
        <v>90</v>
      </c>
      <c r="B1" t="s">
        <v>89</v>
      </c>
      <c r="C1" t="s">
        <v>94</v>
      </c>
      <c r="D1" t="s">
        <v>88</v>
      </c>
      <c r="E1" t="s">
        <v>91</v>
      </c>
      <c r="F1" s="50" t="s">
        <v>98</v>
      </c>
    </row>
    <row r="2" spans="1:6" x14ac:dyDescent="0.3">
      <c r="A2" t="s">
        <v>92</v>
      </c>
      <c r="B2" t="s">
        <v>93</v>
      </c>
      <c r="C2" t="s">
        <v>95</v>
      </c>
      <c r="D2" t="s">
        <v>96</v>
      </c>
      <c r="E2" s="20" t="s">
        <v>97</v>
      </c>
      <c r="F2" s="50">
        <v>5523408899</v>
      </c>
    </row>
  </sheetData>
  <hyperlinks>
    <hyperlink ref="E2" r:id="rId1" xr:uid="{827FA24B-1292-45DB-A273-5FB6E1F0924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5A4F0-AE09-4838-B1CD-C6BD62D0B897}">
  <sheetPr codeName="Hoja3">
    <tabColor theme="3"/>
  </sheetPr>
  <dimension ref="A1:O23"/>
  <sheetViews>
    <sheetView workbookViewId="0">
      <selection activeCell="G26" sqref="G26"/>
    </sheetView>
  </sheetViews>
  <sheetFormatPr baseColWidth="10" defaultRowHeight="14.4" x14ac:dyDescent="0.3"/>
  <cols>
    <col min="1" max="1" width="30.109375" customWidth="1"/>
    <col min="2" max="2" width="14.77734375" customWidth="1"/>
    <col min="3" max="3" width="13.33203125" customWidth="1"/>
    <col min="4" max="4" width="14.44140625" customWidth="1"/>
    <col min="5" max="5" width="27.44140625" customWidth="1"/>
    <col min="6" max="6" width="13.5546875" customWidth="1"/>
    <col min="7" max="7" width="21.21875" customWidth="1"/>
    <col min="8" max="8" width="15.5546875" customWidth="1"/>
    <col min="9" max="9" width="19.33203125" customWidth="1"/>
    <col min="10" max="10" width="26.44140625" customWidth="1"/>
    <col min="11" max="11" width="19.109375" customWidth="1"/>
    <col min="12" max="12" width="20.109375" customWidth="1"/>
    <col min="13" max="13" width="16.5546875" customWidth="1"/>
    <col min="14" max="14" width="19.88671875" customWidth="1"/>
  </cols>
  <sheetData>
    <row r="1" spans="1:15" ht="15.6" x14ac:dyDescent="0.3">
      <c r="A1" s="2" t="s">
        <v>1</v>
      </c>
      <c r="E1" s="2" t="s">
        <v>2</v>
      </c>
    </row>
    <row r="2" spans="1:15" x14ac:dyDescent="0.3">
      <c r="A2" s="3" t="s">
        <v>4</v>
      </c>
      <c r="B2" s="3" t="s">
        <v>5</v>
      </c>
      <c r="C2" s="3" t="s">
        <v>6</v>
      </c>
      <c r="D2" s="3" t="s">
        <v>7</v>
      </c>
      <c r="E2" s="3" t="s">
        <v>8</v>
      </c>
      <c r="F2" s="3" t="s">
        <v>9</v>
      </c>
      <c r="G2" s="3" t="s">
        <v>10</v>
      </c>
      <c r="H2" s="3" t="s">
        <v>11</v>
      </c>
      <c r="I2" s="3" t="s">
        <v>31</v>
      </c>
      <c r="J2" s="3" t="s">
        <v>32</v>
      </c>
      <c r="K2" s="3" t="s">
        <v>102</v>
      </c>
      <c r="L2" s="3" t="s">
        <v>105</v>
      </c>
      <c r="M2" s="3" t="s">
        <v>101</v>
      </c>
      <c r="N2" s="3" t="s">
        <v>103</v>
      </c>
    </row>
    <row r="3" spans="1:15" x14ac:dyDescent="0.3">
      <c r="A3" s="46" t="s">
        <v>106</v>
      </c>
      <c r="B3" s="6">
        <v>5310</v>
      </c>
      <c r="C3" s="7">
        <v>280</v>
      </c>
      <c r="D3" s="6">
        <v>1019</v>
      </c>
      <c r="E3" s="5" t="s">
        <v>116</v>
      </c>
      <c r="F3" s="8">
        <v>0.6</v>
      </c>
      <c r="G3" s="8">
        <v>7.5</v>
      </c>
      <c r="H3" s="8">
        <v>0.5</v>
      </c>
      <c r="I3" t="s">
        <v>33</v>
      </c>
      <c r="J3" s="16">
        <v>23.68</v>
      </c>
      <c r="K3" s="58">
        <f>Cotizador!C19+IF(N3="SI",Cotizador!C20,0)+Cotizador!C22+(Cotizador!C21*0.15)</f>
        <v>4973.0666666666666</v>
      </c>
      <c r="L3" s="58">
        <f>Cotizador!$C$23-K3</f>
        <v>8447.9333333333343</v>
      </c>
      <c r="M3" s="59">
        <f>L3/Cotizador!$C$23</f>
        <v>0.62945632466532553</v>
      </c>
      <c r="N3" t="s">
        <v>104</v>
      </c>
    </row>
    <row r="4" spans="1:15" x14ac:dyDescent="0.3">
      <c r="A4" s="46" t="s">
        <v>36</v>
      </c>
      <c r="B4" s="6">
        <v>5368</v>
      </c>
      <c r="C4" s="7">
        <v>330</v>
      </c>
      <c r="D4" s="6">
        <v>1003</v>
      </c>
      <c r="E4" s="46" t="s">
        <v>115</v>
      </c>
      <c r="F4" s="8">
        <v>1</v>
      </c>
      <c r="G4" s="8">
        <v>5</v>
      </c>
      <c r="H4" s="8">
        <v>1</v>
      </c>
      <c r="I4" t="s">
        <v>34</v>
      </c>
      <c r="J4" s="16">
        <v>27.02</v>
      </c>
    </row>
    <row r="5" spans="1:15" x14ac:dyDescent="0.3">
      <c r="A5" s="46" t="s">
        <v>107</v>
      </c>
      <c r="B5" s="6">
        <v>1477</v>
      </c>
      <c r="C5" s="7">
        <v>70</v>
      </c>
      <c r="D5" s="6">
        <v>180</v>
      </c>
      <c r="E5" s="5" t="s">
        <v>112</v>
      </c>
      <c r="F5" s="8">
        <v>1.2</v>
      </c>
      <c r="G5" s="8">
        <v>4.5</v>
      </c>
      <c r="H5" s="8">
        <v>1</v>
      </c>
      <c r="J5" s="15"/>
    </row>
    <row r="6" spans="1:15" x14ac:dyDescent="0.3">
      <c r="A6" s="46" t="s">
        <v>37</v>
      </c>
      <c r="B6" s="6">
        <v>2021</v>
      </c>
      <c r="C6" s="7">
        <v>135</v>
      </c>
      <c r="D6" s="6">
        <v>600</v>
      </c>
      <c r="E6" s="5" t="s">
        <v>112</v>
      </c>
      <c r="F6" s="8">
        <v>1.2</v>
      </c>
      <c r="G6" s="8">
        <v>4.5</v>
      </c>
      <c r="H6" s="8">
        <v>1</v>
      </c>
    </row>
    <row r="7" spans="1:15" x14ac:dyDescent="0.3">
      <c r="A7" s="46" t="s">
        <v>38</v>
      </c>
      <c r="B7" s="6">
        <v>7996</v>
      </c>
      <c r="C7" s="7">
        <v>750</v>
      </c>
      <c r="D7" s="6">
        <v>1100</v>
      </c>
      <c r="E7" s="5" t="s">
        <v>113</v>
      </c>
      <c r="F7" s="8">
        <v>1.4</v>
      </c>
      <c r="G7" s="8">
        <v>3.2</v>
      </c>
      <c r="H7" s="8">
        <v>1.5</v>
      </c>
    </row>
    <row r="8" spans="1:15" x14ac:dyDescent="0.3">
      <c r="A8" s="61" t="s">
        <v>108</v>
      </c>
      <c r="B8" s="18">
        <v>2632</v>
      </c>
      <c r="C8" s="19">
        <v>250</v>
      </c>
      <c r="D8" s="18">
        <v>1000</v>
      </c>
      <c r="E8" s="5" t="s">
        <v>114</v>
      </c>
      <c r="F8" s="8">
        <v>1.5</v>
      </c>
      <c r="G8" s="8">
        <v>2.5</v>
      </c>
      <c r="H8" s="8">
        <v>3</v>
      </c>
    </row>
    <row r="9" spans="1:15" x14ac:dyDescent="0.3">
      <c r="A9" s="61" t="s">
        <v>35</v>
      </c>
      <c r="B9" s="18">
        <v>3756</v>
      </c>
      <c r="C9" s="19">
        <v>220</v>
      </c>
      <c r="D9" s="18">
        <v>180</v>
      </c>
    </row>
    <row r="10" spans="1:15" x14ac:dyDescent="0.3">
      <c r="A10" s="61" t="s">
        <v>39</v>
      </c>
      <c r="B10" s="18">
        <v>962</v>
      </c>
      <c r="C10" s="19">
        <v>60</v>
      </c>
      <c r="D10" s="18">
        <v>235</v>
      </c>
      <c r="K10" s="15"/>
      <c r="L10" s="15"/>
      <c r="M10" s="59"/>
    </row>
    <row r="11" spans="1:15" x14ac:dyDescent="0.3">
      <c r="A11" s="61" t="s">
        <v>40</v>
      </c>
      <c r="B11" s="18">
        <v>556</v>
      </c>
      <c r="C11" s="19">
        <v>50</v>
      </c>
      <c r="D11" s="18">
        <v>235</v>
      </c>
    </row>
    <row r="12" spans="1:15" x14ac:dyDescent="0.3">
      <c r="A12" s="61" t="s">
        <v>41</v>
      </c>
      <c r="B12" s="18">
        <v>4048</v>
      </c>
      <c r="C12" s="19">
        <v>280</v>
      </c>
      <c r="D12" s="18">
        <v>900</v>
      </c>
    </row>
    <row r="13" spans="1:15" x14ac:dyDescent="0.3">
      <c r="A13" s="61" t="s">
        <v>109</v>
      </c>
      <c r="B13" s="18">
        <v>5318</v>
      </c>
      <c r="C13" s="19">
        <v>280</v>
      </c>
      <c r="D13" s="18">
        <v>1015</v>
      </c>
    </row>
    <row r="14" spans="1:15" x14ac:dyDescent="0.3">
      <c r="A14" s="61" t="s">
        <v>45</v>
      </c>
      <c r="B14" s="18">
        <v>1200</v>
      </c>
      <c r="C14" s="19">
        <v>95</v>
      </c>
      <c r="D14" s="18">
        <v>600</v>
      </c>
    </row>
    <row r="15" spans="1:15" x14ac:dyDescent="0.3">
      <c r="A15" s="17" t="s">
        <v>46</v>
      </c>
      <c r="B15" s="18">
        <v>1323</v>
      </c>
      <c r="C15" s="19">
        <v>120</v>
      </c>
      <c r="D15" s="18">
        <v>620</v>
      </c>
    </row>
    <row r="16" spans="1:15" x14ac:dyDescent="0.3">
      <c r="A16" s="61" t="s">
        <v>47</v>
      </c>
      <c r="B16" s="18">
        <v>1893</v>
      </c>
      <c r="C16" s="19">
        <v>100</v>
      </c>
      <c r="D16" s="18">
        <v>230</v>
      </c>
      <c r="O16" s="60"/>
    </row>
    <row r="17" spans="1:4" x14ac:dyDescent="0.3">
      <c r="A17" s="17" t="s">
        <v>48</v>
      </c>
      <c r="B17" s="18">
        <v>2026</v>
      </c>
      <c r="C17" s="19">
        <v>50</v>
      </c>
      <c r="D17" s="18">
        <v>0</v>
      </c>
    </row>
    <row r="18" spans="1:4" x14ac:dyDescent="0.3">
      <c r="A18" s="61" t="s">
        <v>79</v>
      </c>
      <c r="B18" s="18">
        <v>5490</v>
      </c>
      <c r="C18" s="19">
        <v>360</v>
      </c>
      <c r="D18" s="18">
        <v>1600</v>
      </c>
    </row>
    <row r="19" spans="1:4" x14ac:dyDescent="0.3">
      <c r="A19" s="61" t="s">
        <v>80</v>
      </c>
      <c r="B19" s="18">
        <v>5523</v>
      </c>
      <c r="C19" s="19">
        <v>290</v>
      </c>
      <c r="D19" s="18">
        <v>1015</v>
      </c>
    </row>
    <row r="20" spans="1:4" x14ac:dyDescent="0.3">
      <c r="A20" s="61" t="s">
        <v>82</v>
      </c>
      <c r="B20" s="18">
        <v>216</v>
      </c>
      <c r="C20" s="19">
        <v>30</v>
      </c>
      <c r="D20" s="18">
        <v>0</v>
      </c>
    </row>
    <row r="21" spans="1:4" x14ac:dyDescent="0.3">
      <c r="A21" s="61" t="s">
        <v>81</v>
      </c>
      <c r="B21" s="18">
        <v>63</v>
      </c>
      <c r="C21" s="19">
        <v>25</v>
      </c>
      <c r="D21" s="18">
        <v>0</v>
      </c>
    </row>
    <row r="22" spans="1:4" x14ac:dyDescent="0.3">
      <c r="A22" s="61" t="s">
        <v>110</v>
      </c>
      <c r="B22" s="18">
        <v>-14</v>
      </c>
      <c r="C22" s="19">
        <v>12</v>
      </c>
      <c r="D22" s="18">
        <v>0</v>
      </c>
    </row>
    <row r="23" spans="1:4" x14ac:dyDescent="0.3">
      <c r="A23" s="61" t="s">
        <v>111</v>
      </c>
      <c r="B23" s="18">
        <v>1876</v>
      </c>
      <c r="C23" s="19">
        <v>118</v>
      </c>
      <c r="D23" s="15">
        <v>353</v>
      </c>
    </row>
  </sheetData>
  <dataValidations count="1">
    <dataValidation type="list" allowBlank="1" showInputMessage="1" showErrorMessage="1" sqref="N3" xr:uid="{21700330-A8A6-4E1F-97A7-F792CBE8BCA1}">
      <formula1>"SI,NO"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Cotizador</vt:lpstr>
      <vt:lpstr>Formato TRM</vt:lpstr>
      <vt:lpstr>Clientes</vt:lpstr>
      <vt:lpstr>Rutas</vt:lpstr>
      <vt:lpstr>'Formato TRM'!Área_de_impresión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MOY MONTOYA</cp:lastModifiedBy>
  <cp:lastPrinted>2026-09-04T23:48:59Z</cp:lastPrinted>
  <dcterms:created xsi:type="dcterms:W3CDTF">2026-09-01T15:51:10Z</dcterms:created>
  <dcterms:modified xsi:type="dcterms:W3CDTF">2026-09-08T19:09:28Z</dcterms:modified>
</cp:coreProperties>
</file>