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David\Documents\Games\KSP\AkmeFuelDepot\"/>
    </mc:Choice>
  </mc:AlternateContent>
  <xr:revisionPtr revIDLastSave="0" documentId="13_ncr:1_{240F4EA1-4F46-47F8-955F-C9E0219C895F}" xr6:coauthVersionLast="46" xr6:coauthVersionMax="46" xr10:uidLastSave="{00000000-0000-0000-0000-000000000000}"/>
  <bookViews>
    <workbookView xWindow="0" yWindow="960" windowWidth="16140" windowHeight="10560" activeTab="3" xr2:uid="{00000000-000D-0000-FFFF-FFFF00000000}"/>
  </bookViews>
  <sheets>
    <sheet name="Resources" sheetId="1" r:id="rId1"/>
    <sheet name="TankTypes·Base" sheetId="2" r:id="rId2"/>
    <sheet name="TankTypes" sheetId="3" r:id="rId3"/>
    <sheet name="Lists" sheetId="4" r:id="rId4"/>
  </sheets>
  <definedNames>
    <definedName name="lstResources">_xlfn.ANCHORARRAY(Lists!$A$1)</definedName>
    <definedName name="Tank.Size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R49" i="2"/>
  <c r="T49" i="2" s="1"/>
  <c r="S49" i="2"/>
  <c r="V49" i="2"/>
  <c r="X49" i="2" s="1"/>
  <c r="Y49" i="2" s="1"/>
  <c r="W49" i="2"/>
  <c r="Z49" i="2"/>
  <c r="AB49" i="2" s="1"/>
  <c r="AC49" i="2" s="1"/>
  <c r="AA49" i="2"/>
  <c r="R50" i="2"/>
  <c r="T50" i="2" s="1"/>
  <c r="S50" i="2"/>
  <c r="V50" i="2"/>
  <c r="X50" i="2" s="1"/>
  <c r="Y50" i="2" s="1"/>
  <c r="W50" i="2"/>
  <c r="Z50" i="2"/>
  <c r="AB50" i="2" s="1"/>
  <c r="AC50" i="2" s="1"/>
  <c r="AA50" i="2"/>
  <c r="AE50" i="2"/>
  <c r="R51" i="2"/>
  <c r="T51" i="2" s="1"/>
  <c r="U51" i="2" s="1"/>
  <c r="S51" i="2"/>
  <c r="V51" i="2"/>
  <c r="X51" i="2" s="1"/>
  <c r="W51" i="2"/>
  <c r="Z51" i="2"/>
  <c r="AB51" i="2" s="1"/>
  <c r="AC51" i="2" s="1"/>
  <c r="AA51" i="2"/>
  <c r="R52" i="2"/>
  <c r="S52" i="2"/>
  <c r="V52" i="2"/>
  <c r="X52" i="2" s="1"/>
  <c r="Y52" i="2" s="1"/>
  <c r="W52" i="2"/>
  <c r="Z52" i="2"/>
  <c r="AB52" i="2" s="1"/>
  <c r="AC52" i="2" s="1"/>
  <c r="AA52" i="2"/>
  <c r="R53" i="2"/>
  <c r="T53" i="2" s="1"/>
  <c r="S53" i="2"/>
  <c r="V53" i="2"/>
  <c r="W53" i="2"/>
  <c r="Z53" i="2"/>
  <c r="AB53" i="2" s="1"/>
  <c r="AC53" i="2" s="1"/>
  <c r="AA53" i="2"/>
  <c r="J53" i="3"/>
  <c r="I53" i="3"/>
  <c r="H53" i="3"/>
  <c r="G53" i="3"/>
  <c r="F53" i="3"/>
  <c r="E53" i="3"/>
  <c r="A53" i="3"/>
  <c r="J52" i="3"/>
  <c r="I52" i="3"/>
  <c r="H52" i="3"/>
  <c r="G52" i="3"/>
  <c r="F52" i="3"/>
  <c r="E52" i="3"/>
  <c r="A52" i="3"/>
  <c r="J51" i="3"/>
  <c r="I51" i="3"/>
  <c r="H51" i="3"/>
  <c r="G51" i="3"/>
  <c r="F51" i="3"/>
  <c r="E51" i="3"/>
  <c r="A51" i="3"/>
  <c r="J50" i="3"/>
  <c r="I50" i="3"/>
  <c r="H50" i="3"/>
  <c r="G50" i="3"/>
  <c r="F50" i="3"/>
  <c r="E50" i="3"/>
  <c r="A50" i="3"/>
  <c r="J49" i="3"/>
  <c r="I49" i="3"/>
  <c r="H49" i="3"/>
  <c r="G49" i="3"/>
  <c r="F49" i="3"/>
  <c r="E49" i="3"/>
  <c r="A49" i="3"/>
  <c r="I2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H48" i="3"/>
  <c r="H47" i="3"/>
  <c r="H46" i="3"/>
  <c r="H45" i="3"/>
  <c r="H44" i="3"/>
  <c r="H43" i="3"/>
  <c r="H42" i="3"/>
  <c r="H41" i="3"/>
  <c r="H40" i="3"/>
  <c r="H39" i="3"/>
  <c r="H38" i="3"/>
  <c r="H35" i="3"/>
  <c r="H34" i="3"/>
  <c r="H29" i="3"/>
  <c r="H28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2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5" i="3"/>
  <c r="F28" i="3"/>
  <c r="F29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AL44" i="2"/>
  <c r="AL45" i="2"/>
  <c r="AL46" i="2"/>
  <c r="AL47" i="2"/>
  <c r="AL48" i="2"/>
  <c r="AL49" i="2"/>
  <c r="AL50" i="2"/>
  <c r="AL43" i="2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H36" i="2"/>
  <c r="H37" i="3" s="1"/>
  <c r="R37" i="2"/>
  <c r="T37" i="2" s="1"/>
  <c r="S37" i="2"/>
  <c r="V37" i="2"/>
  <c r="W37" i="2"/>
  <c r="Z37" i="2"/>
  <c r="AB37" i="2" s="1"/>
  <c r="AC37" i="2" s="1"/>
  <c r="AA37" i="2"/>
  <c r="R38" i="2"/>
  <c r="T38" i="2" s="1"/>
  <c r="U38" i="2" s="1"/>
  <c r="S38" i="2"/>
  <c r="V38" i="2"/>
  <c r="X38" i="2" s="1"/>
  <c r="Y38" i="2" s="1"/>
  <c r="W38" i="2"/>
  <c r="Z38" i="2"/>
  <c r="AB38" i="2" s="1"/>
  <c r="AC38" i="2" s="1"/>
  <c r="AA38" i="2"/>
  <c r="R39" i="2"/>
  <c r="T39" i="2" s="1"/>
  <c r="S39" i="2"/>
  <c r="V39" i="2"/>
  <c r="X39" i="2" s="1"/>
  <c r="Y39" i="2" s="1"/>
  <c r="W39" i="2"/>
  <c r="Z39" i="2"/>
  <c r="AB39" i="2" s="1"/>
  <c r="AC39" i="2" s="1"/>
  <c r="AA39" i="2"/>
  <c r="R40" i="2"/>
  <c r="T40" i="2" s="1"/>
  <c r="S40" i="2"/>
  <c r="V40" i="2"/>
  <c r="W40" i="2"/>
  <c r="Z40" i="2"/>
  <c r="AB40" i="2" s="1"/>
  <c r="AC40" i="2" s="1"/>
  <c r="AA40" i="2"/>
  <c r="R42" i="2"/>
  <c r="T42" i="2" s="1"/>
  <c r="U42" i="2" s="1"/>
  <c r="S42" i="2"/>
  <c r="V42" i="2"/>
  <c r="X42" i="2" s="1"/>
  <c r="Y42" i="2" s="1"/>
  <c r="W42" i="2"/>
  <c r="Z42" i="2"/>
  <c r="AB42" i="2" s="1"/>
  <c r="AC42" i="2" s="1"/>
  <c r="AA42" i="2"/>
  <c r="R41" i="2"/>
  <c r="S41" i="2"/>
  <c r="V41" i="2"/>
  <c r="X41" i="2" s="1"/>
  <c r="Y41" i="2" s="1"/>
  <c r="W41" i="2"/>
  <c r="Z41" i="2"/>
  <c r="AB41" i="2" s="1"/>
  <c r="AC41" i="2" s="1"/>
  <c r="AA41" i="2"/>
  <c r="R43" i="2"/>
  <c r="T43" i="2" s="1"/>
  <c r="U43" i="2" s="1"/>
  <c r="S43" i="2"/>
  <c r="V43" i="2"/>
  <c r="X43" i="2" s="1"/>
  <c r="Y43" i="2" s="1"/>
  <c r="W43" i="2"/>
  <c r="Z43" i="2"/>
  <c r="AB43" i="2" s="1"/>
  <c r="AC43" i="2" s="1"/>
  <c r="AA43" i="2"/>
  <c r="R44" i="2"/>
  <c r="S44" i="2"/>
  <c r="V44" i="2"/>
  <c r="X44" i="2" s="1"/>
  <c r="Y44" i="2" s="1"/>
  <c r="W44" i="2"/>
  <c r="Z44" i="2"/>
  <c r="AB44" i="2" s="1"/>
  <c r="AC44" i="2" s="1"/>
  <c r="AA44" i="2"/>
  <c r="R46" i="2"/>
  <c r="T46" i="2" s="1"/>
  <c r="U46" i="2" s="1"/>
  <c r="S46" i="2"/>
  <c r="V46" i="2"/>
  <c r="X46" i="2" s="1"/>
  <c r="Y46" i="2" s="1"/>
  <c r="W46" i="2"/>
  <c r="Z46" i="2"/>
  <c r="AB46" i="2" s="1"/>
  <c r="AC46" i="2" s="1"/>
  <c r="AA46" i="2"/>
  <c r="R45" i="2"/>
  <c r="S45" i="2"/>
  <c r="V45" i="2"/>
  <c r="X45" i="2" s="1"/>
  <c r="Y45" i="2" s="1"/>
  <c r="W45" i="2"/>
  <c r="Z45" i="2"/>
  <c r="AB45" i="2" s="1"/>
  <c r="AC45" i="2" s="1"/>
  <c r="AA45" i="2"/>
  <c r="R47" i="2"/>
  <c r="S47" i="2"/>
  <c r="V47" i="2"/>
  <c r="X47" i="2" s="1"/>
  <c r="Y47" i="2" s="1"/>
  <c r="W47" i="2"/>
  <c r="Z47" i="2"/>
  <c r="AB47" i="2" s="1"/>
  <c r="AC47" i="2" s="1"/>
  <c r="AA47" i="2"/>
  <c r="R48" i="2"/>
  <c r="T48" i="2" s="1"/>
  <c r="U48" i="2" s="1"/>
  <c r="S48" i="2"/>
  <c r="V48" i="2"/>
  <c r="X48" i="2" s="1"/>
  <c r="Y48" i="2" s="1"/>
  <c r="W48" i="2"/>
  <c r="Z48" i="2"/>
  <c r="AB48" i="2" s="1"/>
  <c r="AC48" i="2" s="1"/>
  <c r="AA48" i="2"/>
  <c r="AE52" i="2" l="1"/>
  <c r="AE53" i="2"/>
  <c r="AD49" i="2"/>
  <c r="AF50" i="2"/>
  <c r="B50" i="3" s="1"/>
  <c r="AE49" i="2"/>
  <c r="AD52" i="2"/>
  <c r="AD53" i="2"/>
  <c r="AF51" i="2"/>
  <c r="AF55" i="2" s="1"/>
  <c r="AE51" i="2"/>
  <c r="AD51" i="2"/>
  <c r="Y51" i="2"/>
  <c r="AH51" i="2" s="1"/>
  <c r="U53" i="2"/>
  <c r="AF49" i="2"/>
  <c r="U49" i="2"/>
  <c r="AH49" i="2" s="1"/>
  <c r="T52" i="2"/>
  <c r="X53" i="2"/>
  <c r="Y53" i="2" s="1"/>
  <c r="U50" i="2"/>
  <c r="AH50" i="2" s="1"/>
  <c r="AD50" i="2"/>
  <c r="AG50" i="2" s="1"/>
  <c r="AJ50" i="2" s="1"/>
  <c r="H36" i="3"/>
  <c r="AE48" i="2"/>
  <c r="AD48" i="2"/>
  <c r="AE40" i="2"/>
  <c r="AE42" i="2"/>
  <c r="AD39" i="2"/>
  <c r="AE37" i="2"/>
  <c r="AD37" i="2"/>
  <c r="AE38" i="2"/>
  <c r="AE45" i="2"/>
  <c r="AD45" i="2"/>
  <c r="AD44" i="2"/>
  <c r="AD42" i="2"/>
  <c r="AE39" i="2"/>
  <c r="AH38" i="2"/>
  <c r="AE43" i="2"/>
  <c r="AE41" i="2"/>
  <c r="AE44" i="2"/>
  <c r="AE47" i="2"/>
  <c r="AD43" i="2"/>
  <c r="AD47" i="2"/>
  <c r="AE46" i="2"/>
  <c r="AD41" i="2"/>
  <c r="AD46" i="2"/>
  <c r="AD40" i="2"/>
  <c r="AF39" i="2"/>
  <c r="B39" i="3" s="1"/>
  <c r="U39" i="2"/>
  <c r="AH39" i="2" s="1"/>
  <c r="C39" i="3" s="1"/>
  <c r="U40" i="2"/>
  <c r="AH48" i="2"/>
  <c r="AH46" i="2"/>
  <c r="AH43" i="2"/>
  <c r="AH42" i="2"/>
  <c r="U37" i="2"/>
  <c r="AF38" i="2"/>
  <c r="B38" i="3" s="1"/>
  <c r="AD38" i="2"/>
  <c r="AF42" i="2"/>
  <c r="B42" i="3" s="1"/>
  <c r="T45" i="2"/>
  <c r="T41" i="2"/>
  <c r="X40" i="2"/>
  <c r="Y40" i="2" s="1"/>
  <c r="X37" i="2"/>
  <c r="Y37" i="2" s="1"/>
  <c r="AF48" i="2"/>
  <c r="B48" i="3" s="1"/>
  <c r="AF46" i="2"/>
  <c r="AF43" i="2"/>
  <c r="B43" i="3" s="1"/>
  <c r="T47" i="2"/>
  <c r="T44" i="2"/>
  <c r="AI51" i="2" l="1"/>
  <c r="AG51" i="2"/>
  <c r="AJ51" i="2" s="1"/>
  <c r="AI49" i="2"/>
  <c r="D49" i="3" s="1"/>
  <c r="C49" i="3"/>
  <c r="U52" i="2"/>
  <c r="AH52" i="2" s="1"/>
  <c r="AF52" i="2"/>
  <c r="AH53" i="2"/>
  <c r="AG49" i="2"/>
  <c r="AJ49" i="2"/>
  <c r="B49" i="3"/>
  <c r="AF53" i="2"/>
  <c r="AI50" i="2"/>
  <c r="D50" i="3" s="1"/>
  <c r="C50" i="3"/>
  <c r="B51" i="3"/>
  <c r="AI48" i="2"/>
  <c r="AI38" i="2"/>
  <c r="AH37" i="2"/>
  <c r="C38" i="3" s="1"/>
  <c r="AF37" i="2"/>
  <c r="B37" i="3" s="1"/>
  <c r="AI42" i="2"/>
  <c r="AI43" i="2"/>
  <c r="AI39" i="2"/>
  <c r="AI46" i="2"/>
  <c r="AG38" i="2"/>
  <c r="AJ38" i="2" s="1"/>
  <c r="AF41" i="2"/>
  <c r="B41" i="3" s="1"/>
  <c r="U41" i="2"/>
  <c r="AH41" i="2" s="1"/>
  <c r="AF44" i="2"/>
  <c r="B44" i="3" s="1"/>
  <c r="U44" i="2"/>
  <c r="AH44" i="2" s="1"/>
  <c r="C44" i="3" s="1"/>
  <c r="AF47" i="2"/>
  <c r="B47" i="3" s="1"/>
  <c r="U47" i="2"/>
  <c r="AH47" i="2" s="1"/>
  <c r="AH40" i="2"/>
  <c r="AG46" i="2"/>
  <c r="AJ46" i="2" s="1"/>
  <c r="AF40" i="2"/>
  <c r="B40" i="3" s="1"/>
  <c r="AG48" i="2"/>
  <c r="AJ48" i="2" s="1"/>
  <c r="AG42" i="2"/>
  <c r="AJ42" i="2" s="1"/>
  <c r="AF45" i="2"/>
  <c r="B46" i="3" s="1"/>
  <c r="U45" i="2"/>
  <c r="AH45" i="2" s="1"/>
  <c r="AG43" i="2"/>
  <c r="AJ43" i="2" s="1"/>
  <c r="AG39" i="2"/>
  <c r="AJ39" i="2" s="1"/>
  <c r="B45" i="3" l="1"/>
  <c r="C41" i="3"/>
  <c r="AI53" i="2"/>
  <c r="D53" i="3" s="1"/>
  <c r="C53" i="3"/>
  <c r="AG52" i="2"/>
  <c r="B52" i="3"/>
  <c r="AJ52" i="2"/>
  <c r="AI52" i="2"/>
  <c r="D52" i="3" s="1"/>
  <c r="C52" i="3"/>
  <c r="B53" i="3"/>
  <c r="AG53" i="2"/>
  <c r="AJ53" i="2" s="1"/>
  <c r="D51" i="3"/>
  <c r="C51" i="3"/>
  <c r="C47" i="3"/>
  <c r="D39" i="3"/>
  <c r="AI41" i="2"/>
  <c r="D42" i="3" s="1"/>
  <c r="C42" i="3"/>
  <c r="AI40" i="2"/>
  <c r="D40" i="3" s="1"/>
  <c r="C40" i="3"/>
  <c r="AG37" i="2"/>
  <c r="AJ37" i="2" s="1"/>
  <c r="AI37" i="2"/>
  <c r="AI47" i="2"/>
  <c r="AI44" i="2"/>
  <c r="C46" i="3"/>
  <c r="AI45" i="2"/>
  <c r="D48" i="3" s="1"/>
  <c r="C48" i="3"/>
  <c r="D45" i="3"/>
  <c r="C45" i="3"/>
  <c r="D43" i="3"/>
  <c r="C43" i="3"/>
  <c r="AG41" i="2"/>
  <c r="AJ41" i="2" s="1"/>
  <c r="AG47" i="2"/>
  <c r="AJ47" i="2" s="1"/>
  <c r="AG45" i="2"/>
  <c r="AJ45" i="2" s="1"/>
  <c r="AG40" i="2"/>
  <c r="AJ40" i="2" s="1"/>
  <c r="AG44" i="2"/>
  <c r="AJ44" i="2" s="1"/>
  <c r="D46" i="3" l="1"/>
  <c r="D47" i="3"/>
  <c r="D44" i="3"/>
  <c r="D41" i="3"/>
  <c r="D38" i="3"/>
  <c r="R36" i="2" l="1"/>
  <c r="T36" i="2" s="1"/>
  <c r="S36" i="2"/>
  <c r="V36" i="2"/>
  <c r="X36" i="2" s="1"/>
  <c r="Y36" i="2" s="1"/>
  <c r="W36" i="2"/>
  <c r="Z36" i="2"/>
  <c r="AB36" i="2" s="1"/>
  <c r="AC36" i="2" s="1"/>
  <c r="AA36" i="2"/>
  <c r="A34" i="3"/>
  <c r="A35" i="3"/>
  <c r="R34" i="2"/>
  <c r="T34" i="2" s="1"/>
  <c r="U34" i="2" s="1"/>
  <c r="S34" i="2"/>
  <c r="R35" i="2"/>
  <c r="T35" i="2" s="1"/>
  <c r="U35" i="2" s="1"/>
  <c r="S35" i="2"/>
  <c r="V34" i="2"/>
  <c r="X34" i="2" s="1"/>
  <c r="Y34" i="2" s="1"/>
  <c r="W34" i="2"/>
  <c r="Z34" i="2"/>
  <c r="AB34" i="2" s="1"/>
  <c r="AC34" i="2" s="1"/>
  <c r="AA34" i="2"/>
  <c r="V35" i="2"/>
  <c r="X35" i="2" s="1"/>
  <c r="Y35" i="2" s="1"/>
  <c r="W35" i="2"/>
  <c r="Z35" i="2"/>
  <c r="AB35" i="2" s="1"/>
  <c r="AC35" i="2" s="1"/>
  <c r="AA35" i="2"/>
  <c r="D33" i="2"/>
  <c r="A33" i="3"/>
  <c r="V33" i="2"/>
  <c r="X33" i="2" s="1"/>
  <c r="Y33" i="2" s="1"/>
  <c r="S33" i="2"/>
  <c r="R33" i="2"/>
  <c r="AA33" i="2"/>
  <c r="Z33" i="2"/>
  <c r="AB33" i="2" s="1"/>
  <c r="AC33" i="2" s="1"/>
  <c r="W33" i="2"/>
  <c r="F20" i="1"/>
  <c r="F15" i="1"/>
  <c r="T33" i="2" l="1"/>
  <c r="U33" i="2" s="1"/>
  <c r="AE35" i="2"/>
  <c r="AE36" i="2"/>
  <c r="AD36" i="2"/>
  <c r="AF36" i="2"/>
  <c r="B36" i="3" s="1"/>
  <c r="U36" i="2"/>
  <c r="AH36" i="2" s="1"/>
  <c r="C37" i="3" s="1"/>
  <c r="AD35" i="2"/>
  <c r="AE34" i="2"/>
  <c r="AD34" i="2"/>
  <c r="AF34" i="2"/>
  <c r="B34" i="3" s="1"/>
  <c r="AH34" i="2"/>
  <c r="C34" i="3" s="1"/>
  <c r="AE33" i="2"/>
  <c r="AH33" i="2"/>
  <c r="AF33" i="2"/>
  <c r="B33" i="3" s="1"/>
  <c r="AD33" i="2"/>
  <c r="AI36" i="2" l="1"/>
  <c r="AG36" i="2"/>
  <c r="AJ36" i="2" s="1"/>
  <c r="AG34" i="2"/>
  <c r="AI34" i="2"/>
  <c r="AH35" i="2"/>
  <c r="C36" i="3" s="1"/>
  <c r="AF35" i="2"/>
  <c r="B35" i="3" s="1"/>
  <c r="AJ34" i="2"/>
  <c r="AG33" i="2"/>
  <c r="AJ33" i="2" s="1"/>
  <c r="AI33" i="2"/>
  <c r="D34" i="3" l="1"/>
  <c r="D37" i="3"/>
  <c r="AI35" i="2"/>
  <c r="D35" i="3" s="1"/>
  <c r="C35" i="3"/>
  <c r="AG35" i="2"/>
  <c r="AJ35" i="2" s="1"/>
  <c r="D36" i="3" l="1"/>
  <c r="A30" i="3" l="1"/>
  <c r="A31" i="3"/>
  <c r="A32" i="3"/>
  <c r="H32" i="2"/>
  <c r="H32" i="3" s="1"/>
  <c r="C32" i="2"/>
  <c r="C31" i="2"/>
  <c r="H30" i="2"/>
  <c r="H30" i="3" s="1"/>
  <c r="C30" i="2"/>
  <c r="AA32" i="2"/>
  <c r="Z32" i="2"/>
  <c r="AA31" i="2"/>
  <c r="Z31" i="2"/>
  <c r="W31" i="2"/>
  <c r="V31" i="2"/>
  <c r="AA30" i="2"/>
  <c r="Z30" i="2"/>
  <c r="S30" i="2"/>
  <c r="R30" i="2"/>
  <c r="T30" i="2" s="1"/>
  <c r="AA29" i="2"/>
  <c r="Z29" i="2"/>
  <c r="W29" i="2"/>
  <c r="V29" i="2"/>
  <c r="S29" i="2"/>
  <c r="R29" i="2"/>
  <c r="T29" i="2" s="1"/>
  <c r="AA28" i="2"/>
  <c r="Z28" i="2"/>
  <c r="W28" i="2"/>
  <c r="V28" i="2"/>
  <c r="S28" i="2"/>
  <c r="R28" i="2"/>
  <c r="T28" i="2" s="1"/>
  <c r="AA27" i="2"/>
  <c r="Z27" i="2"/>
  <c r="W27" i="2"/>
  <c r="V27" i="2"/>
  <c r="S27" i="2"/>
  <c r="R27" i="2"/>
  <c r="T27" i="2" s="1"/>
  <c r="H26" i="2"/>
  <c r="C26" i="2"/>
  <c r="AA26" i="2"/>
  <c r="Z26" i="2"/>
  <c r="W26" i="2"/>
  <c r="V26" i="2"/>
  <c r="AA25" i="2"/>
  <c r="Z25" i="2"/>
  <c r="W25" i="2"/>
  <c r="V25" i="2"/>
  <c r="S25" i="2"/>
  <c r="R25" i="2"/>
  <c r="T25" i="2" s="1"/>
  <c r="C23" i="2"/>
  <c r="AA21" i="2"/>
  <c r="Z21" i="2"/>
  <c r="W21" i="2"/>
  <c r="V21" i="2"/>
  <c r="S21" i="2"/>
  <c r="R21" i="2"/>
  <c r="T21" i="2" s="1"/>
  <c r="AA20" i="2"/>
  <c r="Z20" i="2"/>
  <c r="W20" i="2"/>
  <c r="V20" i="2"/>
  <c r="S20" i="2"/>
  <c r="R20" i="2"/>
  <c r="T20" i="2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A11" i="2"/>
  <c r="Z11" i="2"/>
  <c r="W11" i="2"/>
  <c r="V11" i="2"/>
  <c r="S11" i="2"/>
  <c r="R11" i="2"/>
  <c r="T11" i="2" s="1"/>
  <c r="AA10" i="2"/>
  <c r="Z10" i="2"/>
  <c r="W10" i="2"/>
  <c r="V10" i="2"/>
  <c r="S10" i="2"/>
  <c r="R10" i="2"/>
  <c r="T10" i="2" s="1"/>
  <c r="AA7" i="2"/>
  <c r="Z7" i="2"/>
  <c r="W7" i="2"/>
  <c r="V7" i="2"/>
  <c r="S7" i="2"/>
  <c r="R7" i="2"/>
  <c r="T7" i="2" s="1"/>
  <c r="AA6" i="2"/>
  <c r="Z6" i="2"/>
  <c r="W6" i="2"/>
  <c r="V6" i="2"/>
  <c r="S6" i="2"/>
  <c r="R6" i="2"/>
  <c r="T6" i="2" s="1"/>
  <c r="AA3" i="2"/>
  <c r="AA4" i="2"/>
  <c r="AA8" i="2"/>
  <c r="AA9" i="2"/>
  <c r="AA12" i="2"/>
  <c r="AA13" i="2"/>
  <c r="AA14" i="2"/>
  <c r="AA15" i="2"/>
  <c r="AA16" i="2"/>
  <c r="AA5" i="2"/>
  <c r="AA17" i="2"/>
  <c r="AA18" i="2"/>
  <c r="AA19" i="2"/>
  <c r="AA23" i="2"/>
  <c r="AA22" i="2"/>
  <c r="AA24" i="2"/>
  <c r="AA2" i="2"/>
  <c r="Z3" i="2"/>
  <c r="Z4" i="2"/>
  <c r="Z8" i="2"/>
  <c r="Z9" i="2"/>
  <c r="Z12" i="2"/>
  <c r="AB12" i="2" s="1"/>
  <c r="AC12" i="2" s="1"/>
  <c r="Z13" i="2"/>
  <c r="Z14" i="2"/>
  <c r="AB14" i="2" s="1"/>
  <c r="AC14" i="2" s="1"/>
  <c r="Z15" i="2"/>
  <c r="Z16" i="2"/>
  <c r="AB16" i="2" s="1"/>
  <c r="AC16" i="2" s="1"/>
  <c r="Z5" i="2"/>
  <c r="AB5" i="2" s="1"/>
  <c r="AC5" i="2" s="1"/>
  <c r="Z17" i="2"/>
  <c r="Z18" i="2"/>
  <c r="Z19" i="2"/>
  <c r="Z23" i="2"/>
  <c r="Z22" i="2"/>
  <c r="Z24" i="2"/>
  <c r="Z2" i="2"/>
  <c r="W3" i="2"/>
  <c r="W4" i="2"/>
  <c r="W8" i="2"/>
  <c r="W9" i="2"/>
  <c r="W12" i="2"/>
  <c r="W13" i="2"/>
  <c r="W14" i="2"/>
  <c r="W15" i="2"/>
  <c r="W16" i="2"/>
  <c r="W5" i="2"/>
  <c r="W17" i="2"/>
  <c r="W18" i="2"/>
  <c r="W19" i="2"/>
  <c r="W23" i="2"/>
  <c r="W22" i="2"/>
  <c r="W24" i="2"/>
  <c r="W2" i="2"/>
  <c r="V3" i="2"/>
  <c r="V4" i="2"/>
  <c r="V8" i="2"/>
  <c r="V9" i="2"/>
  <c r="V12" i="2"/>
  <c r="V13" i="2"/>
  <c r="V14" i="2"/>
  <c r="V15" i="2"/>
  <c r="V16" i="2"/>
  <c r="V5" i="2"/>
  <c r="V17" i="2"/>
  <c r="V18" i="2"/>
  <c r="X18" i="2" s="1"/>
  <c r="Y18" i="2" s="1"/>
  <c r="V19" i="2"/>
  <c r="X19" i="2" s="1"/>
  <c r="Y19" i="2" s="1"/>
  <c r="V23" i="2"/>
  <c r="V22" i="2"/>
  <c r="V24" i="2"/>
  <c r="V2" i="2"/>
  <c r="S2" i="2"/>
  <c r="S3" i="2"/>
  <c r="S4" i="2"/>
  <c r="S8" i="2"/>
  <c r="S9" i="2"/>
  <c r="S12" i="2"/>
  <c r="S13" i="2"/>
  <c r="S14" i="2"/>
  <c r="S15" i="2"/>
  <c r="S16" i="2"/>
  <c r="S5" i="2"/>
  <c r="S17" i="2"/>
  <c r="S18" i="2"/>
  <c r="S19" i="2"/>
  <c r="S22" i="2"/>
  <c r="S24" i="2"/>
  <c r="R2" i="2"/>
  <c r="T2" i="2" s="1"/>
  <c r="R3" i="2"/>
  <c r="T3" i="2" s="1"/>
  <c r="R4" i="2"/>
  <c r="T4" i="2" s="1"/>
  <c r="R8" i="2"/>
  <c r="T8" i="2" s="1"/>
  <c r="R9" i="2"/>
  <c r="T9" i="2" s="1"/>
  <c r="R12" i="2"/>
  <c r="T12" i="2" s="1"/>
  <c r="R13" i="2"/>
  <c r="T13" i="2" s="1"/>
  <c r="R14" i="2"/>
  <c r="T14" i="2" s="1"/>
  <c r="R15" i="2"/>
  <c r="T15" i="2" s="1"/>
  <c r="R16" i="2"/>
  <c r="T16" i="2" s="1"/>
  <c r="R5" i="2"/>
  <c r="T5" i="2" s="1"/>
  <c r="R17" i="2"/>
  <c r="T17" i="2" s="1"/>
  <c r="R18" i="2"/>
  <c r="T18" i="2" s="1"/>
  <c r="R19" i="2"/>
  <c r="T19" i="2" s="1"/>
  <c r="R22" i="2"/>
  <c r="T22" i="2" s="1"/>
  <c r="R24" i="2"/>
  <c r="T24" i="2" s="1"/>
  <c r="A1" i="4" a="1"/>
  <c r="A1" i="4" s="1"/>
  <c r="F26" i="3" l="1"/>
  <c r="F23" i="3"/>
  <c r="H27" i="3"/>
  <c r="H26" i="3"/>
  <c r="F31" i="3"/>
  <c r="F30" i="3"/>
  <c r="S31" i="2"/>
  <c r="F32" i="3"/>
  <c r="S32" i="2"/>
  <c r="F33" i="3"/>
  <c r="W30" i="2"/>
  <c r="H31" i="3"/>
  <c r="W32" i="2"/>
  <c r="H33" i="3"/>
  <c r="S26" i="2"/>
  <c r="F27" i="3"/>
  <c r="R23" i="2"/>
  <c r="T23" i="2" s="1"/>
  <c r="U23" i="2" s="1"/>
  <c r="F24" i="3"/>
  <c r="U12" i="2"/>
  <c r="U7" i="2"/>
  <c r="U11" i="2"/>
  <c r="U9" i="2"/>
  <c r="U30" i="2"/>
  <c r="U24" i="2"/>
  <c r="U8" i="2"/>
  <c r="U22" i="2"/>
  <c r="U4" i="2"/>
  <c r="U13" i="2"/>
  <c r="U3" i="2"/>
  <c r="U20" i="2"/>
  <c r="U2" i="2"/>
  <c r="U25" i="2"/>
  <c r="U27" i="2"/>
  <c r="U29" i="2"/>
  <c r="U19" i="2"/>
  <c r="U6" i="2"/>
  <c r="U10" i="2"/>
  <c r="U18" i="2"/>
  <c r="U5" i="2"/>
  <c r="U28" i="2"/>
  <c r="U16" i="2"/>
  <c r="U15" i="2"/>
  <c r="U17" i="2"/>
  <c r="U14" i="2"/>
  <c r="U21" i="2"/>
  <c r="R31" i="2"/>
  <c r="T31" i="2" s="1"/>
  <c r="AB21" i="2"/>
  <c r="AC21" i="2" s="1"/>
  <c r="AB28" i="2"/>
  <c r="AC28" i="2" s="1"/>
  <c r="AB7" i="2"/>
  <c r="AC7" i="2" s="1"/>
  <c r="AB11" i="2"/>
  <c r="AC11" i="2" s="1"/>
  <c r="AB15" i="2"/>
  <c r="AC15" i="2" s="1"/>
  <c r="AB26" i="2"/>
  <c r="AC26" i="2" s="1"/>
  <c r="AB17" i="2"/>
  <c r="AC17" i="2" s="1"/>
  <c r="AB13" i="2"/>
  <c r="AC13" i="2" s="1"/>
  <c r="AB31" i="2"/>
  <c r="AC31" i="2" s="1"/>
  <c r="AB30" i="2"/>
  <c r="AC30" i="2" s="1"/>
  <c r="AB2" i="2"/>
  <c r="AC2" i="2" s="1"/>
  <c r="AB20" i="2"/>
  <c r="AC20" i="2" s="1"/>
  <c r="AB24" i="2"/>
  <c r="AC24" i="2" s="1"/>
  <c r="AB9" i="2"/>
  <c r="AC9" i="2" s="1"/>
  <c r="AB25" i="2"/>
  <c r="AC25" i="2" s="1"/>
  <c r="AB27" i="2"/>
  <c r="AC27" i="2" s="1"/>
  <c r="AB29" i="2"/>
  <c r="AC29" i="2" s="1"/>
  <c r="AB6" i="2"/>
  <c r="AC6" i="2" s="1"/>
  <c r="AB32" i="2"/>
  <c r="AC32" i="2" s="1"/>
  <c r="AB8" i="2"/>
  <c r="AC8" i="2" s="1"/>
  <c r="AB23" i="2"/>
  <c r="AC23" i="2" s="1"/>
  <c r="AB22" i="2"/>
  <c r="AC22" i="2" s="1"/>
  <c r="AB10" i="2"/>
  <c r="AC10" i="2" s="1"/>
  <c r="AB4" i="2"/>
  <c r="AC4" i="2" s="1"/>
  <c r="AB19" i="2"/>
  <c r="AC19" i="2" s="1"/>
  <c r="AB3" i="2"/>
  <c r="AC3" i="2" s="1"/>
  <c r="AB18" i="2"/>
  <c r="AC18" i="2" s="1"/>
  <c r="X3" i="2"/>
  <c r="Y3" i="2" s="1"/>
  <c r="X7" i="2"/>
  <c r="Y7" i="2" s="1"/>
  <c r="X11" i="2"/>
  <c r="Y11" i="2" s="1"/>
  <c r="X17" i="2"/>
  <c r="X5" i="2"/>
  <c r="Y5" i="2" s="1"/>
  <c r="X31" i="2"/>
  <c r="Y31" i="2" s="1"/>
  <c r="X4" i="2"/>
  <c r="Y4" i="2" s="1"/>
  <c r="X16" i="2"/>
  <c r="Y16" i="2" s="1"/>
  <c r="X20" i="2"/>
  <c r="Y20" i="2" s="1"/>
  <c r="X15" i="2"/>
  <c r="Y15" i="2" s="1"/>
  <c r="X25" i="2"/>
  <c r="Y25" i="2" s="1"/>
  <c r="X27" i="2"/>
  <c r="Y27" i="2" s="1"/>
  <c r="X29" i="2"/>
  <c r="Y29" i="2" s="1"/>
  <c r="X23" i="2"/>
  <c r="Y23" i="2" s="1"/>
  <c r="X14" i="2"/>
  <c r="Y14" i="2" s="1"/>
  <c r="X6" i="2"/>
  <c r="Y6" i="2" s="1"/>
  <c r="X10" i="2"/>
  <c r="Y10" i="2" s="1"/>
  <c r="X28" i="2"/>
  <c r="Y28" i="2" s="1"/>
  <c r="X2" i="2"/>
  <c r="Y2" i="2" s="1"/>
  <c r="X12" i="2"/>
  <c r="Y12" i="2" s="1"/>
  <c r="X9" i="2"/>
  <c r="Y9" i="2" s="1"/>
  <c r="X26" i="2"/>
  <c r="Y26" i="2" s="1"/>
  <c r="X13" i="2"/>
  <c r="Y13" i="2" s="1"/>
  <c r="X24" i="2"/>
  <c r="Y24" i="2" s="1"/>
  <c r="X22" i="2"/>
  <c r="Y22" i="2" s="1"/>
  <c r="X8" i="2"/>
  <c r="Y8" i="2" s="1"/>
  <c r="X21" i="2"/>
  <c r="Y21" i="2" s="1"/>
  <c r="R32" i="2"/>
  <c r="T32" i="2" s="1"/>
  <c r="V30" i="2"/>
  <c r="AE31" i="2"/>
  <c r="AE27" i="2"/>
  <c r="AE28" i="2"/>
  <c r="S23" i="2"/>
  <c r="AE23" i="2" s="1"/>
  <c r="AE30" i="2"/>
  <c r="R26" i="2"/>
  <c r="T26" i="2" s="1"/>
  <c r="AE29" i="2"/>
  <c r="AD20" i="2"/>
  <c r="AD27" i="2"/>
  <c r="AD29" i="2"/>
  <c r="AE21" i="2"/>
  <c r="AD28" i="2"/>
  <c r="AE20" i="2"/>
  <c r="V32" i="2"/>
  <c r="AD25" i="2"/>
  <c r="AE25" i="2"/>
  <c r="AE26" i="2"/>
  <c r="AD21" i="2"/>
  <c r="AE15" i="2"/>
  <c r="AE12" i="2"/>
  <c r="AE24" i="2"/>
  <c r="AE5" i="2"/>
  <c r="AE6" i="2"/>
  <c r="AE10" i="2"/>
  <c r="AD23" i="2"/>
  <c r="AE7" i="2"/>
  <c r="AE11" i="2"/>
  <c r="AD10" i="2"/>
  <c r="AD11" i="2"/>
  <c r="AD6" i="2"/>
  <c r="AD5" i="2"/>
  <c r="AD7" i="2"/>
  <c r="AE18" i="2"/>
  <c r="AE2" i="2"/>
  <c r="AD18" i="2"/>
  <c r="AD24" i="2"/>
  <c r="AE19" i="2"/>
  <c r="AE22" i="2"/>
  <c r="AE17" i="2"/>
  <c r="AE16" i="2"/>
  <c r="AD15" i="2"/>
  <c r="AE14" i="2"/>
  <c r="AE13" i="2"/>
  <c r="AD13" i="2"/>
  <c r="AD22" i="2"/>
  <c r="AD19" i="2"/>
  <c r="AD17" i="2"/>
  <c r="AD16" i="2"/>
  <c r="AD14" i="2"/>
  <c r="AE8" i="2"/>
  <c r="AE9" i="2"/>
  <c r="AE4" i="2"/>
  <c r="AD2" i="2"/>
  <c r="AE3" i="2"/>
  <c r="AD3" i="2"/>
  <c r="AD4" i="2"/>
  <c r="AD8" i="2"/>
  <c r="AD9" i="2"/>
  <c r="AD12" i="2"/>
  <c r="AE32" i="2" l="1"/>
  <c r="AF17" i="2"/>
  <c r="B17" i="3" s="1"/>
  <c r="Y17" i="2"/>
  <c r="AH17" i="2" s="1"/>
  <c r="AF25" i="2"/>
  <c r="B25" i="3" s="1"/>
  <c r="U31" i="2"/>
  <c r="U32" i="2"/>
  <c r="AF21" i="2"/>
  <c r="B21" i="3" s="1"/>
  <c r="AD31" i="2"/>
  <c r="AF26" i="2"/>
  <c r="B26" i="3" s="1"/>
  <c r="U26" i="2"/>
  <c r="AH26" i="2" s="1"/>
  <c r="AF10" i="2"/>
  <c r="AF8" i="2"/>
  <c r="B8" i="3" s="1"/>
  <c r="AF13" i="2"/>
  <c r="AF16" i="2"/>
  <c r="B16" i="3" s="1"/>
  <c r="AF5" i="2"/>
  <c r="B5" i="3" s="1"/>
  <c r="AF2" i="2"/>
  <c r="B2" i="3" s="1"/>
  <c r="AF15" i="2"/>
  <c r="B15" i="3" s="1"/>
  <c r="AF27" i="2"/>
  <c r="AF12" i="2"/>
  <c r="B12" i="3" s="1"/>
  <c r="AF18" i="2"/>
  <c r="B18" i="3" s="1"/>
  <c r="AF23" i="2"/>
  <c r="AF4" i="2"/>
  <c r="B4" i="3" s="1"/>
  <c r="AF20" i="2"/>
  <c r="B20" i="3" s="1"/>
  <c r="AF9" i="2"/>
  <c r="B9" i="3" s="1"/>
  <c r="AF3" i="2"/>
  <c r="B3" i="3" s="1"/>
  <c r="AF11" i="2"/>
  <c r="B11" i="3" s="1"/>
  <c r="AF19" i="2"/>
  <c r="B19" i="3" s="1"/>
  <c r="AH16" i="2"/>
  <c r="C16" i="3" s="1"/>
  <c r="AF7" i="2"/>
  <c r="B7" i="3" s="1"/>
  <c r="AF24" i="2"/>
  <c r="AF31" i="2"/>
  <c r="B31" i="3" s="1"/>
  <c r="AF22" i="2"/>
  <c r="B22" i="3" s="1"/>
  <c r="AF28" i="2"/>
  <c r="AF6" i="2"/>
  <c r="AF29" i="2"/>
  <c r="AF14" i="2"/>
  <c r="AH4" i="2"/>
  <c r="AH2" i="2"/>
  <c r="AH23" i="2"/>
  <c r="AH11" i="2"/>
  <c r="AH3" i="2"/>
  <c r="C3" i="3" s="1"/>
  <c r="AH15" i="2"/>
  <c r="AH12" i="2"/>
  <c r="C12" i="3" s="1"/>
  <c r="X32" i="2"/>
  <c r="X30" i="2"/>
  <c r="Y30" i="2" s="1"/>
  <c r="AH13" i="2"/>
  <c r="AH10" i="2"/>
  <c r="AH24" i="2"/>
  <c r="C24" i="3" s="1"/>
  <c r="AH9" i="2"/>
  <c r="AI9" i="2" s="1"/>
  <c r="D9" i="3" s="1"/>
  <c r="AH21" i="2"/>
  <c r="AH28" i="2"/>
  <c r="AI28" i="2" s="1"/>
  <c r="AD30" i="2"/>
  <c r="AH29" i="2"/>
  <c r="C29" i="3" s="1"/>
  <c r="AH22" i="2"/>
  <c r="AI22" i="2" s="1"/>
  <c r="AH8" i="2"/>
  <c r="C8" i="3" s="1"/>
  <c r="AH14" i="2"/>
  <c r="AH27" i="2"/>
  <c r="AI27" i="2" s="1"/>
  <c r="AH19" i="2"/>
  <c r="AH31" i="2"/>
  <c r="AI31" i="2" s="1"/>
  <c r="AH18" i="2"/>
  <c r="C18" i="3" s="1"/>
  <c r="AD26" i="2"/>
  <c r="AD32" i="2"/>
  <c r="AH20" i="2"/>
  <c r="AG21" i="2"/>
  <c r="AJ21" i="2" s="1"/>
  <c r="AH5" i="2"/>
  <c r="AI5" i="2" s="1"/>
  <c r="D5" i="3" s="1"/>
  <c r="AG15" i="2"/>
  <c r="AJ15" i="2" s="1"/>
  <c r="AH7" i="2"/>
  <c r="C7" i="3" s="1"/>
  <c r="AH6" i="2"/>
  <c r="AG16" i="2"/>
  <c r="AJ16" i="2" s="1"/>
  <c r="AG17" i="2"/>
  <c r="AJ17" i="2" s="1"/>
  <c r="AG7" i="2"/>
  <c r="AJ7" i="2" s="1"/>
  <c r="AG11" i="2" l="1"/>
  <c r="AJ11" i="2" s="1"/>
  <c r="AG29" i="2"/>
  <c r="AJ29" i="2" s="1"/>
  <c r="B29" i="3"/>
  <c r="AG10" i="2"/>
  <c r="AJ10" i="2" s="1"/>
  <c r="B10" i="3"/>
  <c r="AG6" i="2"/>
  <c r="AJ6" i="2" s="1"/>
  <c r="B6" i="3"/>
  <c r="AG28" i="2"/>
  <c r="AJ28" i="2" s="1"/>
  <c r="B28" i="3"/>
  <c r="AG23" i="2"/>
  <c r="AJ23" i="2" s="1"/>
  <c r="B23" i="3"/>
  <c r="AG14" i="2"/>
  <c r="AJ14" i="2" s="1"/>
  <c r="B14" i="3"/>
  <c r="AG24" i="2"/>
  <c r="AJ24" i="2" s="1"/>
  <c r="B24" i="3"/>
  <c r="AG27" i="2"/>
  <c r="AJ27" i="2" s="1"/>
  <c r="B27" i="3"/>
  <c r="AG13" i="2"/>
  <c r="AJ13" i="2" s="1"/>
  <c r="B13" i="3"/>
  <c r="C14" i="3"/>
  <c r="C19" i="3"/>
  <c r="C15" i="3"/>
  <c r="D28" i="3"/>
  <c r="C23" i="3"/>
  <c r="AG2" i="2"/>
  <c r="AJ2" i="2" s="1"/>
  <c r="AI23" i="2"/>
  <c r="AG19" i="2"/>
  <c r="AJ19" i="2" s="1"/>
  <c r="C17" i="3"/>
  <c r="AI17" i="2"/>
  <c r="AI16" i="2"/>
  <c r="AG12" i="2"/>
  <c r="AJ12" i="2" s="1"/>
  <c r="C9" i="3"/>
  <c r="Y32" i="2"/>
  <c r="AH32" i="2" s="1"/>
  <c r="C33" i="3" s="1"/>
  <c r="AG9" i="2"/>
  <c r="AJ9" i="2" s="1"/>
  <c r="AI14" i="2"/>
  <c r="AI26" i="2"/>
  <c r="D27" i="3" s="1"/>
  <c r="AG3" i="2"/>
  <c r="AJ3" i="2" s="1"/>
  <c r="AI12" i="2"/>
  <c r="D12" i="3" s="1"/>
  <c r="AI19" i="2"/>
  <c r="AG8" i="2"/>
  <c r="AJ8" i="2" s="1"/>
  <c r="AI8" i="2"/>
  <c r="D8" i="3" s="1"/>
  <c r="AI15" i="2"/>
  <c r="AG22" i="2"/>
  <c r="AJ22" i="2" s="1"/>
  <c r="C22" i="3"/>
  <c r="AI3" i="2"/>
  <c r="D3" i="3" s="1"/>
  <c r="AG4" i="2"/>
  <c r="AJ4" i="2" s="1"/>
  <c r="C2" i="3"/>
  <c r="AI2" i="2"/>
  <c r="D2" i="3" s="1"/>
  <c r="C4" i="3"/>
  <c r="AI4" i="2"/>
  <c r="D4" i="3" s="1"/>
  <c r="AI11" i="2"/>
  <c r="D11" i="3" s="1"/>
  <c r="C11" i="3"/>
  <c r="AH30" i="2"/>
  <c r="C31" i="3" s="1"/>
  <c r="AF30" i="2"/>
  <c r="B30" i="3" s="1"/>
  <c r="AF32" i="2"/>
  <c r="B32" i="3" s="1"/>
  <c r="AI21" i="2"/>
  <c r="D22" i="3" s="1"/>
  <c r="C21" i="3"/>
  <c r="C28" i="3"/>
  <c r="C27" i="3"/>
  <c r="C10" i="3"/>
  <c r="AI10" i="2"/>
  <c r="D10" i="3" s="1"/>
  <c r="C13" i="3"/>
  <c r="AI13" i="2"/>
  <c r="D13" i="3" s="1"/>
  <c r="AI29" i="2"/>
  <c r="D29" i="3" s="1"/>
  <c r="AG26" i="2"/>
  <c r="AJ26" i="2" s="1"/>
  <c r="AI24" i="2"/>
  <c r="AH25" i="2"/>
  <c r="AI25" i="2" s="1"/>
  <c r="AI18" i="2"/>
  <c r="AG5" i="2"/>
  <c r="AJ5" i="2" s="1"/>
  <c r="AG20" i="2"/>
  <c r="AJ20" i="2" s="1"/>
  <c r="AG31" i="2"/>
  <c r="AJ31" i="2" s="1"/>
  <c r="AG25" i="2"/>
  <c r="AJ25" i="2" s="1"/>
  <c r="D23" i="3"/>
  <c r="AI20" i="2"/>
  <c r="D20" i="3" s="1"/>
  <c r="C20" i="3"/>
  <c r="AG18" i="2"/>
  <c r="AJ18" i="2" s="1"/>
  <c r="C5" i="3"/>
  <c r="AI6" i="2"/>
  <c r="D6" i="3" s="1"/>
  <c r="AI7" i="2"/>
  <c r="D7" i="3" s="1"/>
  <c r="C6" i="3"/>
  <c r="D18" i="3" l="1"/>
  <c r="D25" i="3"/>
  <c r="D14" i="3"/>
  <c r="D19" i="3"/>
  <c r="D16" i="3"/>
  <c r="D17" i="3"/>
  <c r="D24" i="3"/>
  <c r="D21" i="3"/>
  <c r="C26" i="3"/>
  <c r="D15" i="3"/>
  <c r="D26" i="3"/>
  <c r="AI32" i="2"/>
  <c r="C32" i="3"/>
  <c r="AG30" i="2"/>
  <c r="AJ30" i="2" s="1"/>
  <c r="AG32" i="2"/>
  <c r="AJ32" i="2" s="1"/>
  <c r="C25" i="3"/>
  <c r="C30" i="3"/>
  <c r="AI30" i="2"/>
  <c r="D32" i="3" l="1"/>
  <c r="D33" i="3"/>
  <c r="D30" i="3"/>
  <c r="D3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<sst xmlns="http://schemas.openxmlformats.org/spreadsheetml/2006/main" count="325" uniqueCount="154">
  <si>
    <t>Resource</t>
  </si>
  <si>
    <t>Mass</t>
  </si>
  <si>
    <t>Cost</t>
  </si>
  <si>
    <t>—</t>
  </si>
  <si>
    <t>Oxidizer</t>
  </si>
  <si>
    <t>Monopropellant</t>
  </si>
  <si>
    <t>Kerbosene</t>
  </si>
  <si>
    <t>Hyprazol</t>
  </si>
  <si>
    <t>Nitrox</t>
  </si>
  <si>
    <t>Monoprop</t>
  </si>
  <si>
    <t>SRBF</t>
  </si>
  <si>
    <t>Xe</t>
  </si>
  <si>
    <t>Ar</t>
  </si>
  <si>
    <t>Li</t>
  </si>
  <si>
    <t>Argon</t>
  </si>
  <si>
    <t>Lithium</t>
  </si>
  <si>
    <t>Xenon</t>
  </si>
  <si>
    <t>TankType</t>
  </si>
  <si>
    <t>Resource₀</t>
  </si>
  <si>
    <t>Resource₀·Volume</t>
  </si>
  <si>
    <t>Resource₀·Tank</t>
  </si>
  <si>
    <t>Resource₀·Mass</t>
  </si>
  <si>
    <t>Resource₀·Cost</t>
  </si>
  <si>
    <t>Resource₀·Tank·Mass</t>
  </si>
  <si>
    <t>Resource₀·Tank·Cost</t>
  </si>
  <si>
    <t>Resource₁</t>
  </si>
  <si>
    <t>Resource₁·Volume</t>
  </si>
  <si>
    <t>Resource₁·Tank</t>
  </si>
  <si>
    <t>Resource₁·Mass</t>
  </si>
  <si>
    <t>Resource₁·Cost</t>
  </si>
  <si>
    <t>Resource₁·Tank·Mass</t>
  </si>
  <si>
    <t>Resource₁·Tank·Cost</t>
  </si>
  <si>
    <t>Resource₂</t>
  </si>
  <si>
    <t>Resource₂·Volume</t>
  </si>
  <si>
    <t>Resource₂·Tank</t>
  </si>
  <si>
    <t>Resource₂·Mass</t>
  </si>
  <si>
    <t>Resource₂·Cost</t>
  </si>
  <si>
    <t>Resource₂·Tank·Mass</t>
  </si>
  <si>
    <t>Resource₂·Tank·Cost</t>
  </si>
  <si>
    <t>Kerbolox</t>
  </si>
  <si>
    <t>Tank·Mass·Dry</t>
  </si>
  <si>
    <t>Tank·Mass·Wet</t>
  </si>
  <si>
    <t>Tank·Cost·Dry</t>
  </si>
  <si>
    <t>Tank·Cost·Wet</t>
  </si>
  <si>
    <t>Resources·Mass</t>
  </si>
  <si>
    <t>Resources·Cost</t>
  </si>
  <si>
    <t>Hypergolic</t>
  </si>
  <si>
    <t>Hydrogen</t>
  </si>
  <si>
    <t>Hydrolox</t>
  </si>
  <si>
    <t>Methane</t>
  </si>
  <si>
    <t>Methalox</t>
  </si>
  <si>
    <t>TankMass</t>
  </si>
  <si>
    <t>Battery</t>
  </si>
  <si>
    <t>Ore</t>
  </si>
  <si>
    <t>TankCost·Dry</t>
  </si>
  <si>
    <t>TankCost·Wet</t>
  </si>
  <si>
    <t>SPKerbosene</t>
  </si>
  <si>
    <t>SPKerbolox</t>
  </si>
  <si>
    <t>SPKerboloxMP</t>
  </si>
  <si>
    <t>SPKerboseneMP</t>
  </si>
  <si>
    <t>SPMonoprop</t>
  </si>
  <si>
    <t>SPKerboseneMPShort</t>
  </si>
  <si>
    <t>SPKerboloxMPShort</t>
  </si>
  <si>
    <t>SPHydrolox</t>
  </si>
  <si>
    <t>SPHydroloxMP</t>
  </si>
  <si>
    <t>SPHydroloxMPShort</t>
  </si>
  <si>
    <t>MassRatio</t>
  </si>
  <si>
    <t>TankCost·Mult</t>
  </si>
  <si>
    <t>Resource₀·TankMass</t>
  </si>
  <si>
    <t>Resource₁·TankMass</t>
  </si>
  <si>
    <t>Resource₂·TankMass</t>
  </si>
  <si>
    <t>Resource₀·TankCostMult</t>
  </si>
  <si>
    <t>Resource₁·TankCostMult</t>
  </si>
  <si>
    <t>Resource₂·TankCostMult</t>
  </si>
  <si>
    <t>Support</t>
  </si>
  <si>
    <t>Water</t>
  </si>
  <si>
    <t>Chemicals</t>
  </si>
  <si>
    <t>Supplies</t>
  </si>
  <si>
    <t>Machinery</t>
  </si>
  <si>
    <t>Recyclables</t>
  </si>
  <si>
    <t>MaterialKits</t>
  </si>
  <si>
    <t>Organics</t>
  </si>
  <si>
    <t>Fertilizer</t>
  </si>
  <si>
    <t>Metals</t>
  </si>
  <si>
    <t>Polymers</t>
  </si>
  <si>
    <t>Silicon</t>
  </si>
  <si>
    <t>Rock</t>
  </si>
  <si>
    <t>Substrate</t>
  </si>
  <si>
    <t>Gypsum</t>
  </si>
  <si>
    <t>Hydrates</t>
  </si>
  <si>
    <t>Minerals</t>
  </si>
  <si>
    <t>Monazite</t>
  </si>
  <si>
    <t>Silicates</t>
  </si>
  <si>
    <t>Uraninite</t>
  </si>
  <si>
    <t>Mulch</t>
  </si>
  <si>
    <t>Volume</t>
  </si>
  <si>
    <t>Xenon Gas</t>
  </si>
  <si>
    <t>Antimatter</t>
  </si>
  <si>
    <t>Order</t>
  </si>
  <si>
    <t>LqdH2</t>
  </si>
  <si>
    <t>LqdCH4</t>
  </si>
  <si>
    <t>LqdCO2</t>
  </si>
  <si>
    <t>LqdH2Cryo</t>
  </si>
  <si>
    <t>LqdO2Cryo</t>
  </si>
  <si>
    <t>LqdCH4Cryo</t>
  </si>
  <si>
    <t>LqdNH3Cryo</t>
  </si>
  <si>
    <t>LqdCO2Cryo</t>
  </si>
  <si>
    <t>LqdN2Cryo</t>
  </si>
  <si>
    <t>LqdD2Cryo</t>
  </si>
  <si>
    <t>Lqd3HeCryo</t>
  </si>
  <si>
    <t>O2H2Gas</t>
  </si>
  <si>
    <t>LiquidFuel</t>
  </si>
  <si>
    <t>LqdOxygen</t>
  </si>
  <si>
    <t>SolidFuel</t>
  </si>
  <si>
    <t>LqdHydrogen</t>
  </si>
  <si>
    <t>LqdMethane</t>
  </si>
  <si>
    <t>ElectricCharge</t>
  </si>
  <si>
    <t>Oxygen</t>
  </si>
  <si>
    <t>Ammonia</t>
  </si>
  <si>
    <t>LqdAmmonia</t>
  </si>
  <si>
    <t>CarbonDioxide</t>
  </si>
  <si>
    <t>Nitrogen</t>
  </si>
  <si>
    <t>LqdNitrogen</t>
  </si>
  <si>
    <t>LqdDeuterium</t>
  </si>
  <si>
    <t>LqdHe3</t>
  </si>
  <si>
    <t>SpecializedParts</t>
  </si>
  <si>
    <t>RefinedExotics</t>
  </si>
  <si>
    <t>ExoticMinerals</t>
  </si>
  <si>
    <t>RareMetals</t>
  </si>
  <si>
    <t>MetallicOre</t>
  </si>
  <si>
    <t>EnrichedUranium</t>
  </si>
  <si>
    <t>DepletedFuel</t>
  </si>
  <si>
    <t>NuclearSaltWater</t>
  </si>
  <si>
    <t>FissionParticles</t>
  </si>
  <si>
    <t>FissionPellets</t>
  </si>
  <si>
    <t>FusionPellets</t>
  </si>
  <si>
    <t>MtlHydrogen</t>
  </si>
  <si>
    <t>Resource₀·Vol</t>
  </si>
  <si>
    <t>Resource₁·Vol</t>
  </si>
  <si>
    <t>Resource₂·Vol</t>
  </si>
  <si>
    <t>H2Gas</t>
  </si>
  <si>
    <t>O2Gas</t>
  </si>
  <si>
    <t>CH4Gas</t>
  </si>
  <si>
    <t>NH3Gas</t>
  </si>
  <si>
    <t>CO2Gas</t>
  </si>
  <si>
    <t>N2Gas</t>
  </si>
  <si>
    <t>SPLqdH2</t>
  </si>
  <si>
    <t>SPLqdH2MP</t>
  </si>
  <si>
    <t>SPLqdH2MPShort</t>
  </si>
  <si>
    <t>HydroloxCryo</t>
  </si>
  <si>
    <t>MethaloxCryo</t>
  </si>
  <si>
    <t>NSW</t>
  </si>
  <si>
    <t>Lqd3HeD2Cryo</t>
  </si>
  <si>
    <t>TotalMass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</si>
</sst>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4">
    <numFmt numFmtId="164" formatCode="#,##0.0##;\-#,##0.0##;0;@"/>
    <numFmt numFmtId="165" formatCode="#,##0.0?????;\−#,##0.0?????;0.0?????;@"/>
    <numFmt numFmtId="166" formatCode="#,##0;\−#,##0;0;@"/>
    <numFmt numFmtId="167" formatCode="#,##0.0##;\−#,##0.0##;0.0;@"/>
    <numFmt numFmtId="168" formatCode="&quot;$&quot;#,##0.00;\−&quot;$&quot;#,##0.00;&quot;$&quot;0.00;@"/>
    <numFmt numFmtId="169" formatCode="&quot;$&quot;#,##0;\−&quot;$&quot;#,##0;&quot;$&quot;0;@"/>
    <numFmt numFmtId="170" formatCode="0%;\–0%;0%;@"/>
    <numFmt numFmtId="171" formatCode="0;\−0;\—;@"/>
    <numFmt numFmtId="172" formatCode="#,##0;&quot;−&quot;#,##0;0;@"/>
    <numFmt numFmtId="173" formatCode="#,##0;&quot;−&quot;#,##0;&quot;—&quot;;@"/>
    <numFmt numFmtId="174" formatCode="&quot;+&quot;#,##0;&quot;−&quot;#,##0;&quot;—&quot;;@"/>
    <numFmt numFmtId="175" formatCode="##0.0##E+00;&quot;−&quot;##0.0##E+00;0E+00;@"/>
    <numFmt numFmtId="176" formatCode="#,##0.0#####&quot; m²&quot;;\–#,##0.0#####&quot; m²&quot;;0.0&quot; m²&quot;;@"/>
    <numFmt numFmtId="177" formatCode="#,##0.0#####&quot; m³&quot;;\–#,##0.0#####&quot; m³&quot;;0.0&quot; m³&quot;;@"/>
    <numFmt numFmtId="178" formatCode="#,##0.0#####&quot; m&quot;;\–#,##0.0#####&quot; m&quot;;0.0&quot; m&quot;;@"/>
    <numFmt numFmtId="179" formatCode="#,##0.0#####&quot; kg&quot;;\–#,##0.0#####&quot; kg&quot;;0.0&quot; kg&quot;;@"/>
    <numFmt numFmtId="180" formatCode="#,##0.0#####&quot; m/s&quot;;\–#,##0.0#####&quot; m/s&quot;;0.0&quot; m/s&quot;;@"/>
    <numFmt numFmtId="181" formatCode="#,##0.0#####&quot; s&quot;;\–#,##0.0#####&quot; s&quot;;0.0&quot; s&quot;;@"/>
    <numFmt numFmtId="182" formatCode="#,##0.0#####&quot; K&quot;;\–#,##0.0#####&quot; K&quot;;0.0&quot; K&quot;;@"/>
    <numFmt numFmtId="183" formatCode="#,##0.0#####&quot;°&quot;;\–#,##0.0#####&quot;°&quot;;0.0&quot;°&quot;;@"/>
    <numFmt numFmtId="184" formatCode="#,##0.0#####&quot; Hz&quot;;\–#,##0.0#####&quot; Hz&quot;;0.0&quot; Hz&quot;;@"/>
    <numFmt numFmtId="185" formatCode="#,##0.0#####&quot; A&quot;;\–#,##0.0#####&quot; A&quot;;0.0&quot; A&quot;;@"/>
    <numFmt numFmtId="186" formatCode="#,##0.0#####&quot; N&quot;;\–#,##0.0#####&quot; N&quot;;0.0&quot; N&quot;;@"/>
    <numFmt numFmtId="187" formatCode="#,##0.0#####&quot; Pa&quot;;\–#,##0.0#####&quot; Pa&quot;;0.0&quot; Pa&quot;;@"/>
    <numFmt numFmtId="188" formatCode="#,##0.0#####&quot; J&quot;;\–#,##0.0#####&quot; J&quot;;0.0&quot; J&quot;;@"/>
    <numFmt numFmtId="189" formatCode="#,##0.0#####&quot; W&quot;;\–#,##0.0#####&quot; W&quot;;0.0&quot; W&quot;;@"/>
    <numFmt numFmtId="190" formatCode="#,##0.0#####&quot; C&quot;;\–#,##0.0#####&quot; C&quot;;0.0&quot; C&quot;;@"/>
    <numFmt numFmtId="191" formatCode="#,##0.0#####&quot; V&quot;;\–#,##0.0#####&quot; V&quot;;0.0&quot; V&quot;;@"/>
    <numFmt numFmtId="192" formatCode="#,##0.0#####&quot; F&quot;;\–#,##0.0#####&quot; F&quot;;0.0&quot; F&quot;;@"/>
    <numFmt numFmtId="193" formatCode="#,##0.0#####&quot; Ω&quot;;\–#,##0.0#####&quot; Ω&quot;;0.0&quot; Ω&quot;;@"/>
    <numFmt numFmtId="194" formatCode="#,##0.0#####&quot; T&quot;;\–#,##0.0#####&quot; T&quot;;0.0&quot; T&quot;;@"/>
    <numFmt numFmtId="195" formatCode="#,##0.0#####&quot; mol&quot;;\–#,##0.0#####&quot; mol&quot;;0.0&quot; mol&quot;;@"/>
    <numFmt numFmtId="196" formatCode="#,##0.0#####;&quot;−&quot;#,##0.0#####;0.0;@"/>
    <numFmt numFmtId="197" formatCode="#,##0.0#####;&quot;−&quot;#,##0.0#####;&quot;—&quot;;@"/>
    <numFmt numFmtId="198" formatCode="&quot;+&quot;#,##0.0#####;&quot;−&quot;#,##0.0#####;&quot;—&quot;;@"/>
    <numFmt numFmtId="199" formatCode="0.0#####E+00;&quot;−&quot;0.0#####E+00;0E+00;@"/>
    <numFmt numFmtId="200" formatCode="00000000;\−000000000000000;\—;@"/>
    <numFmt numFmtId="201" formatCode="#,##0.0#####&quot; m/s²&quot;;\–#,##0.0#####&quot; m/s²&quot;;0.0&quot; m/s²&quot;;@"/>
    <numFmt numFmtId="202" formatCode="yyyy/mm/dd;@"/>
    <numFmt numFmtId="203" formatCode="yyyy/mm;@"/>
    <numFmt numFmtId="204" formatCode="#,##0.0#####\ %;&quot;−&quot;#,##0.0#####\ %;0.0\ %;@"/>
    <numFmt numFmtId="205" formatCode="#,##0.0#####\ %;&quot;−&quot;#,##0.0#####\ %;&quot;—&quot;;@"/>
    <numFmt numFmtId="206" formatCode="&quot;+&quot;#,##0.0#####\ %;&quot;−&quot;#,##0.0#####\ %;&quot;—&quot;;@"/>
    <numFmt numFmtId="207" formatCode="#,##0.0###########;&quot;−&quot;#,##0.0###########;0.0;@"/>
  </numFmts>
  <fonts count="45" x14ac:knownFonts="1">
    <font>
      <sz val="12"/>
      <color theme="1"/>
      <name val="Source Sans Pro"/>
      <family val="2"/>
      <scheme val="minor"/>
    </font>
    <font>
      <sz val="12"/>
      <color theme="1"/>
      <name val="Source Sans Pro"/>
      <family val="2"/>
    </font>
    <font>
      <b/>
      <sz val="12"/>
      <color theme="1"/>
      <name val="Source Sans Pro"/>
      <family val="2"/>
    </font>
    <font>
      <sz val="12"/>
      <color theme="1"/>
      <name val="Source Sans Pro"/>
      <family val="2"/>
      <scheme val="minor"/>
    </font>
    <font>
      <sz val="12"/>
      <color theme="0"/>
      <name val="Source Sans Pro"/>
      <family val="2"/>
      <scheme val="minor"/>
    </font>
    <font>
      <sz val="12"/>
      <name val="Source Sans Pro"/>
      <family val="2"/>
      <scheme val="minor"/>
    </font>
    <font>
      <sz val="12"/>
      <color theme="1"/>
      <name val="Source Sans Pro Black"/>
      <family val="2"/>
      <scheme val="major"/>
    </font>
    <font>
      <sz val="12"/>
      <color theme="4" tint="-0.24994659260841701"/>
      <name val="Source Sans Pro Black"/>
      <family val="2"/>
      <scheme val="major"/>
    </font>
    <font>
      <sz val="12"/>
      <color theme="5" tint="-0.24994659260841701"/>
      <name val="Source Sans Pro Black"/>
      <family val="2"/>
      <scheme val="major"/>
    </font>
    <font>
      <sz val="12"/>
      <color theme="6" tint="-0.499984740745262"/>
      <name val="Source Sans Pro Black"/>
      <family val="2"/>
      <scheme val="major"/>
    </font>
    <font>
      <sz val="12"/>
      <color theme="7" tint="-0.24994659260841701"/>
      <name val="Source Sans Pro Black"/>
      <family val="2"/>
      <scheme val="major"/>
    </font>
    <font>
      <sz val="12"/>
      <color theme="8" tint="-0.499984740745262"/>
      <name val="Source Sans Pro Black"/>
      <family val="2"/>
      <scheme val="major"/>
    </font>
    <font>
      <sz val="12"/>
      <color theme="9" tint="-0.499984740745262"/>
      <name val="Source Sans Pro Black"/>
      <family val="2"/>
      <scheme val="major"/>
    </font>
    <font>
      <i/>
      <sz val="12"/>
      <color theme="1"/>
      <name val="Source Sans Pro Black"/>
      <family val="2"/>
      <scheme val="major"/>
    </font>
    <font>
      <i/>
      <sz val="12"/>
      <color theme="4" tint="-0.24994659260841701"/>
      <name val="Source Sans Pro Black"/>
      <family val="2"/>
      <scheme val="major"/>
    </font>
    <font>
      <i/>
      <sz val="12"/>
      <color theme="5" tint="-0.24994659260841701"/>
      <name val="Source Sans Pro Black"/>
      <family val="2"/>
      <scheme val="major"/>
    </font>
    <font>
      <i/>
      <sz val="12"/>
      <color theme="6" tint="-0.499984740745262"/>
      <name val="Source Sans Pro Black"/>
      <family val="2"/>
      <scheme val="major"/>
    </font>
    <font>
      <i/>
      <sz val="12"/>
      <color theme="7" tint="-0.24994659260841701"/>
      <name val="Source Sans Pro Black"/>
      <family val="2"/>
      <scheme val="major"/>
    </font>
    <font>
      <i/>
      <sz val="12"/>
      <color theme="8" tint="-0.499984740745262"/>
      <name val="Source Sans Pro Black"/>
      <family val="2"/>
      <scheme val="major"/>
    </font>
    <font>
      <i/>
      <sz val="12"/>
      <color theme="9" tint="-0.499984740745262"/>
      <name val="Source Sans Pro Black"/>
      <family val="2"/>
      <scheme val="major"/>
    </font>
    <font>
      <b/>
      <sz val="12"/>
      <color theme="1" tint="0.24994659260841701"/>
      <name val="Source Sans Pro"/>
      <family val="2"/>
      <scheme val="minor"/>
    </font>
    <font>
      <b/>
      <sz val="12"/>
      <color theme="4"/>
      <name val="Source Sans Pro"/>
      <family val="2"/>
      <scheme val="minor"/>
    </font>
    <font>
      <b/>
      <sz val="12"/>
      <color theme="5"/>
      <name val="Source Sans Pro"/>
      <family val="2"/>
      <scheme val="minor"/>
    </font>
    <font>
      <b/>
      <sz val="12"/>
      <color theme="6" tint="-0.24994659260841701"/>
      <name val="Source Sans Pro"/>
      <family val="2"/>
      <scheme val="minor"/>
    </font>
    <font>
      <b/>
      <sz val="12"/>
      <color theme="7"/>
      <name val="Source Sans Pro"/>
      <family val="2"/>
      <scheme val="minor"/>
    </font>
    <font>
      <b/>
      <sz val="12"/>
      <color theme="8" tint="-0.24994659260841701"/>
      <name val="Source Sans Pro"/>
      <family val="2"/>
      <scheme val="minor"/>
    </font>
    <font>
      <b/>
      <sz val="12"/>
      <color theme="9" tint="-0.24994659260841701"/>
      <name val="Source Sans Pro"/>
      <family val="2"/>
      <scheme val="minor"/>
    </font>
    <font>
      <b/>
      <i/>
      <sz val="12"/>
      <color theme="1" tint="0.24994659260841701"/>
      <name val="Source Sans Pro"/>
      <family val="2"/>
      <scheme val="minor"/>
    </font>
    <font>
      <b/>
      <i/>
      <sz val="12"/>
      <color theme="4"/>
      <name val="Source Sans Pro"/>
      <family val="2"/>
      <scheme val="minor"/>
    </font>
    <font>
      <b/>
      <i/>
      <sz val="12"/>
      <color theme="5"/>
      <name val="Source Sans Pro"/>
      <family val="2"/>
      <scheme val="minor"/>
    </font>
    <font>
      <b/>
      <i/>
      <sz val="12"/>
      <color theme="6" tint="-0.24994659260841701"/>
      <name val="Source Sans Pro"/>
      <family val="2"/>
      <scheme val="minor"/>
    </font>
    <font>
      <b/>
      <i/>
      <sz val="12"/>
      <color theme="7"/>
      <name val="Source Sans Pro"/>
      <family val="2"/>
      <scheme val="minor"/>
    </font>
    <font>
      <b/>
      <i/>
      <sz val="12"/>
      <color theme="8" tint="-0.24994659260841701"/>
      <name val="Source Sans Pro"/>
      <family val="2"/>
      <scheme val="minor"/>
    </font>
    <font>
      <b/>
      <i/>
      <sz val="12"/>
      <color theme="9" tint="-0.24994659260841701"/>
      <name val="Source Sans Pro"/>
      <family val="2"/>
      <scheme val="minor"/>
    </font>
    <font>
      <b/>
      <sz val="12"/>
      <color theme="1"/>
      <name val="Source Sans Pro"/>
      <family val="2"/>
      <scheme val="minor"/>
    </font>
    <font>
      <sz val="12"/>
      <color theme="4"/>
      <name val="Source Sans Pro Black"/>
      <family val="2"/>
      <scheme val="major"/>
    </font>
    <font>
      <sz val="12"/>
      <color theme="1"/>
      <name val="Source Sans Pro Semibold"/>
      <family val="2"/>
    </font>
    <font>
      <i/>
      <sz val="12"/>
      <color theme="0" tint="-0.499984740745262"/>
      <name val="Source Sans Pro"/>
      <family val="2"/>
      <scheme val="minor"/>
    </font>
    <font>
      <sz val="12"/>
      <color theme="0"/>
      <name val="Source Sans Pro Semibold"/>
      <family val="2"/>
    </font>
    <font>
      <sz val="12"/>
      <color theme="4"/>
      <name val="Source Sans Pro Semibold"/>
      <family val="2"/>
    </font>
    <font>
      <sz val="12"/>
      <color theme="5"/>
      <name val="Source Sans Pro Semibold"/>
      <family val="2"/>
    </font>
    <font>
      <sz val="12"/>
      <color theme="7" tint="0.39994506668294322"/>
      <name val="Source Sans Pro Semibold"/>
      <family val="2"/>
    </font>
    <font>
      <sz val="12"/>
      <color theme="7" tint="0.39994506668294322"/>
      <name val="Source Sans Pro"/>
      <family val="2"/>
      <scheme val="minor"/>
    </font>
    <font>
      <sz val="18"/>
      <color theme="3"/>
      <name val="Source Sans Pro Black"/>
      <family val="2"/>
      <scheme val="major"/>
    </font>
    <font>
      <sz val="12"/>
      <color theme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3" tint="0.39994506668294322"/>
      </top>
      <bottom style="double">
        <color theme="3" tint="0.39994506668294322"/>
      </bottom>
      <diagonal/>
    </border>
    <border>
      <left/>
      <right style="thick">
        <color theme="4" tint="-0.24994659260841701"/>
      </right>
      <top/>
      <bottom/>
      <diagonal/>
    </border>
    <border>
      <left/>
      <right/>
      <top style="thick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double">
        <color theme="7" tint="0.39994506668294322"/>
      </left>
      <right style="double">
        <color theme="7" tint="0.39994506668294322"/>
      </right>
      <top style="double">
        <color theme="7" tint="0.39994506668294322"/>
      </top>
      <bottom style="double">
        <color theme="7" tint="0.39994506668294322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6" tint="0.39988402966399123"/>
      </left>
      <right style="thin">
        <color theme="6" tint="0.39988402966399123"/>
      </right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7" tint="0.39988402966399123"/>
      </left>
      <right style="thin">
        <color theme="7" tint="0.39988402966399123"/>
      </right>
      <top style="thin">
        <color theme="7" tint="0.39988402966399123"/>
      </top>
      <bottom style="thin">
        <color theme="7" tint="0.399884029663991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9" tint="0.39988402966399123"/>
      </left>
      <right style="thin">
        <color theme="9" tint="0.39988402966399123"/>
      </right>
      <top style="thin">
        <color theme="9" tint="0.39988402966399123"/>
      </top>
      <bottom style="thin">
        <color theme="9" tint="0.399884029663991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 tint="0.39994506668294322"/>
      </left>
      <right style="medium">
        <color theme="7" tint="0.39994506668294322"/>
      </right>
      <top style="medium">
        <color theme="7" tint="0.39994506668294322"/>
      </top>
      <bottom style="medium">
        <color theme="7" tint="0.39994506668294322"/>
      </bottom>
      <diagonal/>
    </border>
    <border>
      <left/>
      <right/>
      <top/>
      <bottom style="double">
        <color theme="8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14548173467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 style="thin">
        <color theme="4" tint="0.39994506668294322"/>
      </right>
      <top/>
      <bottom/>
      <diagonal/>
    </border>
  </borders>
  <cellStyleXfs count="115">
    <xf numFmtId="196" fontId="0" fillId="0" borderId="0" applyAlignment="0">
      <alignment horizontal="left" vertical="center"/>
    </xf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43" fillId="0" borderId="0" applyNumberFormat="0" applyFill="0" applyBorder="0" applyAlignment="0" applyProtection="0">
      <alignment horizontal="left" vertical="center"/>
    </xf>
    <xf numFmtId="0" fontId="6" fillId="0" borderId="0" applyNumberFormat="0" applyFill="0" applyBorder="0" applyAlignment="0" applyProtection="0">
      <alignment horizontal="left" vertical="center"/>
    </xf>
    <xf numFmtId="0" fontId="1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0" fillId="30" borderId="17" applyNumberFormat="0" applyAlignment="0" applyProtection="0">
      <alignment horizontal="left" vertical="center"/>
    </xf>
    <xf numFmtId="0" fontId="39" fillId="17" borderId="16" applyNumberFormat="0" applyAlignment="0" applyProtection="0">
      <alignment horizontal="left" vertical="center"/>
    </xf>
    <xf numFmtId="0" fontId="41" fillId="32" borderId="18" applyNumberFormat="0" applyAlignment="0" applyProtection="0">
      <alignment horizontal="left" vertical="center"/>
    </xf>
    <xf numFmtId="165" fontId="3" fillId="0" borderId="0" applyNumberFormat="0" applyFont="0" applyFill="0" applyBorder="0" applyAlignment="0">
      <alignment horizontal="left" vertical="center"/>
      <protection locked="0"/>
    </xf>
    <xf numFmtId="0" fontId="3" fillId="16" borderId="6" applyNumberFormat="0" applyAlignment="0" applyProtection="0">
      <alignment horizontal="left" vertical="center"/>
    </xf>
    <xf numFmtId="165" fontId="42" fillId="16" borderId="13">
      <alignment horizontal="right" vertical="top" indent="1"/>
      <protection hidden="1"/>
    </xf>
    <xf numFmtId="0" fontId="44" fillId="0" borderId="19" applyNumberFormat="0" applyFill="0" applyAlignment="0" applyProtection="0">
      <alignment horizontal="left" vertical="center"/>
    </xf>
    <xf numFmtId="0" fontId="38" fillId="31" borderId="5" applyNumberFormat="0" applyAlignment="0" applyProtection="0">
      <alignment horizontal="left" vertical="center"/>
    </xf>
    <xf numFmtId="0" fontId="21" fillId="0" borderId="0" applyNumberFormat="0" applyFill="0" applyBorder="0" applyAlignment="0" applyProtection="0">
      <alignment horizontal="left" vertical="center"/>
    </xf>
    <xf numFmtId="0" fontId="3" fillId="32" borderId="20" applyNumberFormat="0" applyAlignment="0" applyProtection="0">
      <alignment horizontal="left" vertical="center"/>
    </xf>
    <xf numFmtId="0" fontId="37" fillId="0" borderId="0" applyNumberFormat="0" applyFill="0" applyBorder="0" applyAlignment="0" applyProtection="0">
      <alignment horizontal="left" vertical="center"/>
    </xf>
    <xf numFmtId="0" fontId="2" fillId="0" borderId="1" applyNumberFormat="0" applyFill="0" applyAlignment="0" applyProtection="0">
      <alignment horizontal="left" vertical="center"/>
    </xf>
    <xf numFmtId="0" fontId="4" fillId="20" borderId="7" applyNumberFormat="0" applyAlignment="0" applyProtection="0"/>
    <xf numFmtId="0" fontId="3" fillId="17" borderId="21" applyNumberFormat="0" applyAlignment="0" applyProtection="0"/>
    <xf numFmtId="0" fontId="3" fillId="18" borderId="7" applyNumberFormat="0" applyAlignment="0" applyProtection="0"/>
    <xf numFmtId="0" fontId="4" fillId="19" borderId="7" applyNumberFormat="0" applyAlignment="0" applyProtection="0"/>
    <xf numFmtId="0" fontId="4" fillId="22" borderId="8" applyNumberFormat="0" applyAlignment="0" applyProtection="0"/>
    <xf numFmtId="0" fontId="3" fillId="30" borderId="8" applyNumberFormat="0" applyAlignment="0" applyProtection="0"/>
    <xf numFmtId="0" fontId="3" fillId="2" borderId="8" applyNumberFormat="0" applyAlignment="0" applyProtection="0"/>
    <xf numFmtId="0" fontId="4" fillId="21" borderId="8" applyNumberFormat="0" applyAlignment="0" applyProtection="0"/>
    <xf numFmtId="0" fontId="4" fillId="14" borderId="9" applyNumberFormat="0" applyAlignment="0" applyProtection="0"/>
    <xf numFmtId="0" fontId="3" fillId="23" borderId="9" applyNumberFormat="0" applyAlignment="0" applyProtection="0"/>
    <xf numFmtId="0" fontId="3" fillId="8" borderId="9" applyNumberFormat="0" applyAlignment="0" applyProtection="0"/>
    <xf numFmtId="0" fontId="4" fillId="12" borderId="9" applyNumberFormat="0" applyAlignment="0" applyProtection="0"/>
    <xf numFmtId="0" fontId="4" fillId="25" borderId="10" applyNumberFormat="0" applyAlignment="0" applyProtection="0"/>
    <xf numFmtId="0" fontId="3" fillId="3" borderId="10" applyNumberFormat="0" applyAlignment="0" applyProtection="0"/>
    <xf numFmtId="0" fontId="3" fillId="4" borderId="10" applyNumberFormat="0" applyAlignment="0" applyProtection="0"/>
    <xf numFmtId="0" fontId="4" fillId="24" borderId="10" applyNumberFormat="0" applyAlignment="0" applyProtection="0"/>
    <xf numFmtId="0" fontId="4" fillId="27" borderId="11" applyNumberFormat="0" applyAlignment="0" applyProtection="0"/>
    <xf numFmtId="0" fontId="3" fillId="5" borderId="11" applyNumberFormat="0" applyAlignment="0" applyProtection="0"/>
    <xf numFmtId="0" fontId="3" fillId="10" borderId="11" applyNumberFormat="0" applyAlignment="0" applyProtection="0"/>
    <xf numFmtId="0" fontId="4" fillId="26" borderId="11" applyNumberFormat="0" applyAlignment="0" applyProtection="0"/>
    <xf numFmtId="0" fontId="4" fillId="15" borderId="12" applyNumberFormat="0" applyAlignment="0" applyProtection="0"/>
    <xf numFmtId="0" fontId="3" fillId="6" borderId="12" applyNumberFormat="0" applyAlignment="0" applyProtection="0"/>
    <xf numFmtId="0" fontId="3" fillId="7" borderId="12" applyNumberFormat="0" applyAlignment="0" applyProtection="0"/>
    <xf numFmtId="0" fontId="4" fillId="13" borderId="12" applyNumberFormat="0" applyAlignment="0" applyProtection="0"/>
    <xf numFmtId="0" fontId="3" fillId="9" borderId="14" applyNumberFormat="0" applyAlignment="0" applyProtection="0"/>
    <xf numFmtId="0" fontId="3" fillId="11" borderId="15" applyNumberFormat="0" applyAlignment="0" applyProtection="0"/>
    <xf numFmtId="0" fontId="4" fillId="28" borderId="13" applyNumberFormat="0" applyAlignment="0" applyProtection="0"/>
    <xf numFmtId="164" fontId="5" fillId="0" borderId="2" applyNumberFormat="0" applyFont="0" applyFill="0" applyAlignment="0" applyProtection="0">
      <alignment horizontal="left" vertical="top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2" fontId="5" fillId="0" borderId="0" applyFont="0" applyFill="0" applyBorder="0" applyAlignment="0" applyProtection="0">
      <alignment horizontal="left" vertical="top"/>
    </xf>
    <xf numFmtId="178" fontId="5" fillId="0" borderId="0" applyFont="0" applyFill="0" applyBorder="0" applyAlignment="0" applyProtection="0">
      <alignment horizontal="left" vertical="top"/>
    </xf>
    <xf numFmtId="179" fontId="5" fillId="0" borderId="0" applyFont="0" applyFill="0" applyBorder="0" applyAlignment="0" applyProtection="0">
      <alignment horizontal="left" vertical="top"/>
    </xf>
    <xf numFmtId="0" fontId="4" fillId="29" borderId="13" applyNumberFormat="0" applyAlignment="0" applyProtection="0"/>
    <xf numFmtId="171" fontId="5" fillId="0" borderId="0" applyFont="0" applyFill="0" applyBorder="0" applyAlignment="0" applyProtection="0">
      <alignment horizontal="left" vertical="top"/>
    </xf>
    <xf numFmtId="49" fontId="35" fillId="0" borderId="3" applyFill="0" applyProtection="0">
      <alignment horizontal="left" vertical="center"/>
    </xf>
    <xf numFmtId="49" fontId="21" fillId="0" borderId="4" applyFill="0" applyProtection="0">
      <alignment horizontal="left" vertical="center" indent="1"/>
    </xf>
    <xf numFmtId="49" fontId="34" fillId="0" borderId="0" applyFill="0" applyBorder="0" applyProtection="0">
      <alignment horizontal="left" vertical="center" indent="2"/>
    </xf>
    <xf numFmtId="49" fontId="36" fillId="0" borderId="0" applyFill="0" applyBorder="0" applyProtection="0">
      <alignment horizontal="left" vertical="center" indent="4"/>
    </xf>
    <xf numFmtId="175" fontId="3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horizontal="left" vertical="top"/>
    </xf>
    <xf numFmtId="177" fontId="5" fillId="0" borderId="0" applyFont="0" applyFill="0" applyBorder="0" applyAlignment="0" applyProtection="0">
      <alignment horizontal="left" vertical="top"/>
    </xf>
    <xf numFmtId="180" fontId="5" fillId="0" borderId="0" applyFont="0" applyFill="0" applyBorder="0" applyAlignment="0" applyProtection="0">
      <alignment horizontal="left" vertical="top"/>
    </xf>
    <xf numFmtId="181" fontId="5" fillId="0" borderId="0" applyFont="0" applyFill="0" applyBorder="0" applyAlignment="0" applyProtection="0">
      <alignment horizontal="left" vertical="top"/>
    </xf>
    <xf numFmtId="182" fontId="5" fillId="0" borderId="0" applyFont="0" applyFill="0" applyBorder="0" applyAlignment="0" applyProtection="0">
      <alignment horizontal="left" vertical="top"/>
    </xf>
    <xf numFmtId="183" fontId="5" fillId="0" borderId="0" applyFont="0" applyFill="0" applyBorder="0" applyAlignment="0" applyProtection="0">
      <alignment horizontal="left" vertical="top"/>
    </xf>
    <xf numFmtId="200" fontId="5" fillId="0" borderId="0" applyFont="0" applyFill="0" applyBorder="0" applyAlignment="0" applyProtection="0">
      <alignment horizontal="left" vertical="top"/>
    </xf>
    <xf numFmtId="184" fontId="5" fillId="0" borderId="0" applyFont="0" applyFill="0" applyBorder="0" applyAlignment="0" applyProtection="0">
      <alignment horizontal="left" vertical="top"/>
    </xf>
    <xf numFmtId="185" fontId="5" fillId="0" borderId="0" applyFont="0" applyFill="0" applyBorder="0" applyAlignment="0" applyProtection="0">
      <alignment horizontal="left" vertical="top"/>
    </xf>
    <xf numFmtId="186" fontId="5" fillId="0" borderId="0" applyFont="0" applyFill="0" applyBorder="0" applyAlignment="0" applyProtection="0">
      <alignment horizontal="left" vertical="top"/>
    </xf>
    <xf numFmtId="187" fontId="5" fillId="0" borderId="0" applyFont="0" applyFill="0" applyBorder="0" applyAlignment="0" applyProtection="0">
      <alignment horizontal="left" vertical="top"/>
    </xf>
    <xf numFmtId="188" fontId="5" fillId="0" borderId="0" applyFont="0" applyFill="0" applyBorder="0" applyAlignment="0" applyProtection="0">
      <alignment horizontal="left" vertical="top"/>
    </xf>
    <xf numFmtId="189" fontId="5" fillId="0" borderId="0" applyFont="0" applyFill="0" applyBorder="0" applyAlignment="0" applyProtection="0">
      <alignment horizontal="left" vertical="top"/>
    </xf>
    <xf numFmtId="190" fontId="5" fillId="0" borderId="0" applyFont="0" applyFill="0" applyBorder="0" applyAlignment="0" applyProtection="0">
      <alignment horizontal="left" vertical="top"/>
    </xf>
    <xf numFmtId="191" fontId="5" fillId="0" borderId="0" applyFont="0" applyFill="0" applyBorder="0" applyAlignment="0" applyProtection="0">
      <alignment horizontal="left" vertical="top"/>
    </xf>
    <xf numFmtId="192" fontId="5" fillId="0" borderId="0" applyFont="0" applyFill="0" applyBorder="0" applyAlignment="0" applyProtection="0">
      <alignment horizontal="left" vertical="top"/>
    </xf>
    <xf numFmtId="193" fontId="5" fillId="0" borderId="0" applyFont="0" applyFill="0" applyBorder="0" applyAlignment="0" applyProtection="0">
      <alignment horizontal="left" vertical="top"/>
    </xf>
    <xf numFmtId="194" fontId="5" fillId="0" borderId="0" applyFont="0" applyFill="0" applyBorder="0" applyAlignment="0" applyProtection="0">
      <alignment horizontal="left" vertical="top"/>
    </xf>
    <xf numFmtId="195" fontId="5" fillId="0" borderId="0" applyFont="0" applyFill="0" applyBorder="0" applyAlignment="0" applyProtection="0">
      <alignment horizontal="left" vertical="top"/>
    </xf>
    <xf numFmtId="199" fontId="3" fillId="0" borderId="0" applyFont="0" applyFill="0" applyBorder="0" applyAlignment="0" applyProtection="0">
      <alignment vertical="center"/>
    </xf>
    <xf numFmtId="173" fontId="5" fillId="0" borderId="0" applyFont="0" applyFill="0" applyBorder="0" applyAlignment="0" applyProtection="0">
      <alignment horizontal="left" vertical="top"/>
    </xf>
    <xf numFmtId="174" fontId="5" fillId="0" borderId="0" applyFont="0" applyFill="0" applyBorder="0" applyAlignment="0" applyProtection="0">
      <alignment horizontal="left" vertical="top"/>
    </xf>
    <xf numFmtId="197" fontId="3" fillId="0" borderId="0" applyAlignment="0">
      <alignment horizontal="left" vertical="center"/>
    </xf>
    <xf numFmtId="198" fontId="3" fillId="0" borderId="0" applyAlignment="0">
      <alignment horizontal="left" vertical="center"/>
    </xf>
    <xf numFmtId="205" fontId="3" fillId="0" borderId="0" applyFont="0" applyFill="0" applyBorder="0" applyAlignment="0" applyProtection="0">
      <alignment horizontal="left" vertical="center"/>
    </xf>
    <xf numFmtId="204" fontId="3" fillId="0" borderId="0" applyFont="0" applyFill="0" applyBorder="0" applyAlignment="0" applyProtection="0">
      <alignment horizontal="left" vertical="center"/>
    </xf>
    <xf numFmtId="206" fontId="3" fillId="0" borderId="0" applyFont="0" applyFill="0" applyBorder="0" applyAlignment="0" applyProtection="0">
      <alignment horizontal="left" vertical="center"/>
    </xf>
    <xf numFmtId="201" fontId="5" fillId="0" borderId="0" applyFont="0" applyFill="0" applyBorder="0" applyAlignment="0" applyProtection="0">
      <alignment horizontal="left" vertical="top"/>
    </xf>
    <xf numFmtId="202" fontId="3" fillId="0" borderId="0" applyFont="0" applyFill="0" applyBorder="0" applyAlignment="0" applyProtection="0">
      <alignment vertical="top"/>
    </xf>
    <xf numFmtId="203" fontId="3" fillId="0" borderId="0" applyFont="0" applyFill="0" applyBorder="0" applyAlignment="0" applyProtection="0">
      <alignment vertical="top"/>
    </xf>
  </cellStyleXfs>
  <cellXfs count="26">
    <xf numFmtId="196" fontId="0" fillId="0" borderId="0" xfId="0" applyAlignment="1"/>
    <xf numFmtId="196" fontId="0" fillId="0" borderId="0" xfId="0" applyAlignment="1">
      <alignment vertical="top"/>
    </xf>
    <xf numFmtId="196" fontId="0" fillId="0" borderId="0" xfId="0" applyAlignment="1">
      <alignment horizontal="center" vertical="top"/>
    </xf>
    <xf numFmtId="196" fontId="7" fillId="0" borderId="0" xfId="51" applyNumberFormat="1" applyAlignment="1">
      <alignment vertical="top"/>
    </xf>
    <xf numFmtId="196" fontId="0" fillId="0" borderId="0" xfId="0" quotePrefix="1" applyAlignment="1">
      <alignment vertical="top"/>
    </xf>
    <xf numFmtId="196" fontId="7" fillId="0" borderId="0" xfId="51" quotePrefix="1" applyNumberFormat="1" applyAlignment="1">
      <alignment vertical="top"/>
    </xf>
    <xf numFmtId="196" fontId="7" fillId="0" borderId="0" xfId="51" quotePrefix="1" applyNumberFormat="1" applyAlignment="1">
      <alignment horizontal="center" vertical="top"/>
    </xf>
    <xf numFmtId="196" fontId="3" fillId="17" borderId="21" xfId="24" applyNumberFormat="1" applyAlignment="1">
      <alignment horizontal="center" vertical="top"/>
    </xf>
    <xf numFmtId="196" fontId="3" fillId="17" borderId="22" xfId="24" applyNumberFormat="1" applyBorder="1" applyAlignment="1">
      <alignment horizontal="center" vertical="top"/>
    </xf>
    <xf numFmtId="196" fontId="3" fillId="17" borderId="22" xfId="24" quotePrefix="1" applyNumberFormat="1" applyBorder="1" applyAlignment="1">
      <alignment horizontal="center" vertical="top"/>
    </xf>
    <xf numFmtId="196" fontId="3" fillId="17" borderId="21" xfId="24" quotePrefix="1" applyNumberFormat="1" applyBorder="1" applyAlignment="1">
      <alignment horizontal="center" vertical="top"/>
    </xf>
    <xf numFmtId="196" fontId="3" fillId="17" borderId="23" xfId="24" quotePrefix="1" applyNumberFormat="1" applyBorder="1" applyAlignment="1">
      <alignment horizontal="center" vertical="top"/>
    </xf>
    <xf numFmtId="196" fontId="3" fillId="17" borderId="21" xfId="24" applyNumberFormat="1" applyBorder="1" applyAlignment="1">
      <alignment horizontal="center" vertical="top"/>
    </xf>
    <xf numFmtId="196" fontId="0" fillId="0" borderId="0" xfId="0" applyNumberFormat="1" applyAlignment="1">
      <alignment horizontal="center" vertical="top"/>
    </xf>
    <xf numFmtId="196" fontId="3" fillId="17" borderId="0" xfId="24" applyNumberFormat="1" applyBorder="1" applyAlignment="1">
      <alignment horizontal="center" vertical="top"/>
    </xf>
    <xf numFmtId="207" fontId="0" fillId="0" borderId="0" xfId="0" applyNumberFormat="1" applyAlignment="1">
      <alignment horizontal="center" vertical="top"/>
    </xf>
    <xf numFmtId="196" fontId="3" fillId="17" borderId="24" xfId="24" applyNumberFormat="1" applyBorder="1" applyAlignment="1">
      <alignment horizontal="center" vertical="top"/>
    </xf>
    <xf numFmtId="196" fontId="7" fillId="0" borderId="0" xfId="51" applyNumberFormat="1" applyAlignment="1">
      <alignment horizontal="center" vertical="top"/>
    </xf>
    <xf numFmtId="172" fontId="0" fillId="0" borderId="0" xfId="75" applyFont="1" applyAlignment="1">
      <alignment horizontal="center" vertical="top"/>
    </xf>
    <xf numFmtId="172" fontId="7" fillId="0" borderId="0" xfId="75" quotePrefix="1" applyFont="1" applyAlignment="1">
      <alignment horizontal="center" vertical="top"/>
    </xf>
    <xf numFmtId="172" fontId="0" fillId="0" borderId="0" xfId="75" applyFont="1" applyAlignment="1">
      <alignment vertical="top"/>
    </xf>
    <xf numFmtId="196" fontId="3" fillId="17" borderId="24" xfId="24" quotePrefix="1" applyNumberFormat="1" applyBorder="1" applyAlignment="1">
      <alignment horizontal="center" vertical="top"/>
    </xf>
    <xf numFmtId="196" fontId="0" fillId="0" borderId="0" xfId="0" quotePrefix="1" applyBorder="1" applyAlignment="1">
      <alignment vertical="top"/>
    </xf>
    <xf numFmtId="196" fontId="3" fillId="17" borderId="23" xfId="24" applyNumberFormat="1" applyBorder="1" applyAlignment="1">
      <alignment horizontal="center" vertical="top"/>
    </xf>
    <xf numFmtId="196" fontId="0" fillId="0" borderId="0" xfId="0" applyBorder="1" applyAlignment="1">
      <alignment horizontal="center" vertical="top"/>
    </xf>
    <xf numFmtId="196" fontId="0" fillId="0" borderId="0" xfId="0" applyNumberFormat="1" applyBorder="1" applyAlignment="1">
      <alignment horizontal="center" vertical="top"/>
    </xf>
  </cellXfs>
  <cellStyles count="115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1 Accent 1" xfId="51" xr:uid="{00000000-0005-0000-0000-000022000000}"/>
    <cellStyle name="Heading 1 Accent 2" xfId="52" xr:uid="{00000000-0005-0000-0000-000023000000}"/>
    <cellStyle name="Heading 1 Accent 3" xfId="53" xr:uid="{00000000-0005-0000-0000-000024000000}"/>
    <cellStyle name="Heading 1 Accent 4" xfId="54" xr:uid="{00000000-0005-0000-0000-000025000000}"/>
    <cellStyle name="Heading 1 Accent 5" xfId="55" xr:uid="{00000000-0005-0000-0000-000026000000}"/>
    <cellStyle name="Heading 1 Accent 6" xfId="56" xr:uid="{00000000-0005-0000-0000-000027000000}"/>
    <cellStyle name="Heading 2" xfId="8" builtinId="17" customBuiltin="1"/>
    <cellStyle name="Heading 2 Accent 1" xfId="57" xr:uid="{00000000-0005-0000-0000-000029000000}"/>
    <cellStyle name="Heading 2 Accent 2" xfId="58" xr:uid="{00000000-0005-0000-0000-00002A000000}"/>
    <cellStyle name="Heading 2 Accent 3" xfId="59" xr:uid="{00000000-0005-0000-0000-00002B000000}"/>
    <cellStyle name="Heading 2 Accent 4" xfId="60" xr:uid="{00000000-0005-0000-0000-00002C000000}"/>
    <cellStyle name="Heading 2 Accent 5" xfId="61" xr:uid="{00000000-0005-0000-0000-00002D000000}"/>
    <cellStyle name="Heading 2 Accent 6" xfId="62" xr:uid="{00000000-0005-0000-0000-00002E000000}"/>
    <cellStyle name="Heading 3" xfId="9" builtinId="18" customBuiltin="1"/>
    <cellStyle name="Heading 3 Accent 1" xfId="63" xr:uid="{00000000-0005-0000-0000-000030000000}"/>
    <cellStyle name="Heading 3 Accent 2" xfId="64" xr:uid="{00000000-0005-0000-0000-000031000000}"/>
    <cellStyle name="Heading 3 Accent 3" xfId="65" xr:uid="{00000000-0005-0000-0000-000032000000}"/>
    <cellStyle name="Heading 3 Accent 4" xfId="66" xr:uid="{00000000-0005-0000-0000-000033000000}"/>
    <cellStyle name="Heading 3 Accent 5" xfId="67" xr:uid="{00000000-0005-0000-0000-000034000000}"/>
    <cellStyle name="Heading 3 Accent 6" xfId="68" xr:uid="{00000000-0005-0000-0000-000035000000}"/>
    <cellStyle name="Heading 4" xfId="10" builtinId="19" customBuiltin="1"/>
    <cellStyle name="Heading 4 Accent 1" xfId="69" xr:uid="{00000000-0005-0000-0000-000037000000}"/>
    <cellStyle name="Heading 4 Accent 2" xfId="70" xr:uid="{00000000-0005-0000-0000-000038000000}"/>
    <cellStyle name="Heading 4 Accent 3" xfId="71" xr:uid="{00000000-0005-0000-0000-000039000000}"/>
    <cellStyle name="Heading 4 Accent 4" xfId="72" xr:uid="{00000000-0005-0000-0000-00003A000000}"/>
    <cellStyle name="Heading 4 Accent 5" xfId="73" xr:uid="{00000000-0005-0000-0000-00003B000000}"/>
    <cellStyle name="Heading 4 Accent 6" xfId="74" xr:uid="{00000000-0005-0000-0000-00003C000000}"/>
    <cellStyle name="ID" xfId="91" xr:uid="{A9670C7D-D208-4692-B4A8-694E20036DF5}"/>
    <cellStyle name="Input" xfId="14" builtinId="20" customBuiltin="1"/>
    <cellStyle name="Integer" xfId="75" xr:uid="{00000000-0005-0000-0000-00003E000000}"/>
    <cellStyle name="Integer · Dash Zero" xfId="105" xr:uid="{722F82CC-968B-4AAC-8C78-C3A50E7DD1C7}"/>
    <cellStyle name="Integer · Modifier" xfId="106" xr:uid="{67EA7ACD-1F0C-4877-976D-23B83CA9D1DC}"/>
    <cellStyle name="ISO YM" xfId="114" xr:uid="{56421EA0-1E78-4E2E-8506-BDAAE7E0193B}"/>
    <cellStyle name="ISO YMD" xfId="113" xr:uid="{5EA65180-9EEA-42A2-A9E0-85B1CF3D58F6}"/>
    <cellStyle name="Linked Cell" xfId="17" builtinId="24" customBuiltin="1"/>
    <cellStyle name="Neutral" xfId="13" builtinId="28" customBuiltin="1"/>
    <cellStyle name="Normal" xfId="0" builtinId="0" customBuiltin="1"/>
    <cellStyle name="Normal · Dash Zero" xfId="107" xr:uid="{57334937-776F-4BE9-9063-1E1CCFD9359E}"/>
    <cellStyle name="Normal · Modifier" xfId="108" xr:uid="{D4948220-4F07-4EE1-BB7B-4D889F2B7BDB}"/>
    <cellStyle name="Note" xfId="20" builtinId="10" customBuiltin="1"/>
    <cellStyle name="Outline 1" xfId="80" xr:uid="{00000000-0005-0000-0000-000045000000}"/>
    <cellStyle name="Outline 2" xfId="81" xr:uid="{00000000-0005-0000-0000-000046000000}"/>
    <cellStyle name="Outline 3" xfId="82" xr:uid="{00000000-0005-0000-0000-000047000000}"/>
    <cellStyle name="Outline 4" xfId="83" xr:uid="{00000000-0005-0000-0000-000048000000}"/>
    <cellStyle name="Output" xfId="15" builtinId="21" customBuiltin="1"/>
    <cellStyle name="Percent" xfId="5" builtinId="5" hidden="1" customBuiltin="1"/>
    <cellStyle name="Percent" xfId="110" xr:uid="{DA0DAFD7-B87E-42FF-92BF-C572A212E183}"/>
    <cellStyle name="Percent · Dash Zero" xfId="109" xr:uid="{27576C0B-7AF6-4CEA-BB1D-ADB6849EE79A}"/>
    <cellStyle name="Percent · Modifier" xfId="111" xr:uid="{BC5BC00B-DFF8-433C-95DE-FDB33D258D4D}"/>
    <cellStyle name="Scientific" xfId="104" xr:uid="{3D02015A-D926-4D40-B411-ABE28846A719}"/>
    <cellStyle name="Scientific · Engineering" xfId="84" xr:uid="{89B14D7E-AD5C-4082-A5A9-0B6D081EDB6B}"/>
    <cellStyle name="Shade" xfId="78" xr:uid="{00000000-0005-0000-0000-00004B000000}"/>
    <cellStyle name="Shade - 20%" xfId="47" xr:uid="{00000000-0005-0000-0000-00004C000000}"/>
    <cellStyle name="Shade - 40%" xfId="48" xr:uid="{00000000-0005-0000-0000-00004D000000}"/>
    <cellStyle name="Shade - 60%" xfId="49" xr:uid="{00000000-0005-0000-0000-00004E000000}"/>
    <cellStyle name="Title" xfId="6" builtinId="15" customBuiltin="1"/>
    <cellStyle name="Total" xfId="22" builtinId="25" customBuiltin="1"/>
    <cellStyle name="Units · Acceleration (m/s²)" xfId="112" xr:uid="{151731E6-7C64-48C9-A61F-3C4CBF3D1CE4}"/>
    <cellStyle name="Units · Angle (°)" xfId="90" xr:uid="{E19A8379-F772-41BF-9478-EC6999BFA28E}"/>
    <cellStyle name="Units · Area (m²)" xfId="85" xr:uid="{09B76DFD-559C-4464-8D5E-7F313C5B9169}"/>
    <cellStyle name="Units · Electric Capacitance (F)" xfId="100" xr:uid="{F0FF3A15-A3A3-4E88-86EF-AE67133C2960}"/>
    <cellStyle name="Units · Electric Charge (C)" xfId="98" xr:uid="{982FC37E-1312-4084-88DE-F586661C28A2}"/>
    <cellStyle name="Units · Electric Current (A)" xfId="93" xr:uid="{55E5E687-32F7-44A4-8FB3-08528AFAC4BC}"/>
    <cellStyle name="Units · Electric Potential (V)" xfId="99" xr:uid="{1D587641-9DF6-41E9-80FE-61924DBDF0C5}"/>
    <cellStyle name="Units · Electric Resistance (Ω)" xfId="101" xr:uid="{12EA84DE-B17B-4892-877B-BAF91D932CB5}"/>
    <cellStyle name="Units · Energy (J)" xfId="96" xr:uid="{F476EF3F-F1C9-4FE2-A2AA-D96072359483}"/>
    <cellStyle name="Units · Force (N)" xfId="94" xr:uid="{99029A19-93F3-4D20-9AA5-E7A79B2A8B47}"/>
    <cellStyle name="Units · Frequency (Hz)" xfId="92" xr:uid="{FCC7ADFA-4C54-4F7C-A9FA-2E5A0813CE7E}"/>
    <cellStyle name="Units · Length (m)" xfId="76" xr:uid="{00000000-0005-0000-0000-00003F000000}"/>
    <cellStyle name="Units · Magnetic Strength (T)" xfId="102" xr:uid="{F2AE6C28-CFD9-40BC-AB66-D91C157880B5}"/>
    <cellStyle name="Units · Mass (kg)" xfId="77" xr:uid="{00000000-0005-0000-0000-000041000000}"/>
    <cellStyle name="Units · Power (W)" xfId="97" xr:uid="{CC5D22AA-9221-48B8-BF1C-FB07539B5F5C}"/>
    <cellStyle name="Units · Pressure (Pa)" xfId="95" xr:uid="{4DFE723F-3A21-4FEA-B3CA-B947CAC8A491}"/>
    <cellStyle name="Units · Speed (m/s)" xfId="87" xr:uid="{B4270BAB-9876-4947-A403-47552A6060A0}"/>
    <cellStyle name="Units · Substance Amount (mol)" xfId="103" xr:uid="{0DCADF1C-D836-4DC5-B6EE-1B4F86E9DF9F}"/>
    <cellStyle name="Units · Temperature (K)" xfId="89" xr:uid="{E2A72A77-5305-4900-89E1-B951376D23AB}"/>
    <cellStyle name="Units · Time (s)" xfId="88" xr:uid="{F92A99DB-D489-4460-99BC-3D893A0DC850}"/>
    <cellStyle name="Units · Volume (m³)" xfId="86" xr:uid="{A5076A50-0E1D-4C82-BE0A-2A3FA38EF7D9}"/>
    <cellStyle name="Vertical Divider" xfId="50" xr:uid="{00000000-0005-0000-0000-000052000000}"/>
    <cellStyle name="Warning Text" xfId="19" builtinId="11" customBuiltin="1"/>
    <cellStyle name="Year" xfId="79" xr:uid="{00000000-0005-0000-0000-000054000000}"/>
  </cellStyles>
  <dxfs count="58"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207" formatCode="#,##0.0###########;&quot;−&quot;#,##0.0###########;0.0;@"/>
      <alignment horizontal="center" vertical="top" textRotation="0" wrapText="0" indent="0" justifyLastLine="0" shrinkToFit="0" readingOrder="0"/>
    </dxf>
    <dxf>
      <numFmt numFmtId="207" formatCode="#,##0.0###########;&quot;−&quot;#,##0.0###########;0.0;@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general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numFmt numFmtId="196" formatCode="#,##0.0#####;&quot;−&quot;#,##0.0#####;0.0;@"/>
      <alignment horizontal="general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general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4506668294322"/>
        </right>
        <top/>
        <bottom style="thin">
          <color theme="4" tint="0.39994506668294322"/>
        </bottom>
        <vertical/>
        <horizontal/>
      </border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numFmt numFmtId="196" formatCode="#,##0.0#####;&quot;−&quot;#,##0.0#####;0.0;@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n">
          <color theme="4" tint="0.39991454817346722"/>
        </left>
        <top/>
        <bottom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theme="4"/>
        </left>
        <right style="thick">
          <color theme="4"/>
        </right>
        <top style="thin">
          <color theme="4"/>
        </top>
        <bottom style="thick">
          <color theme="4"/>
        </bottom>
        <vertical style="thick">
          <color theme="4"/>
        </vertical>
        <horizontal style="thin">
          <color theme="4"/>
        </horizontal>
      </border>
    </dxf>
    <dxf>
      <fill>
        <patternFill patternType="none">
          <bgColor auto="1"/>
        </patternFill>
      </fill>
      <border>
        <left style="thin">
          <color theme="4" tint="0.39988402966399123"/>
        </left>
        <right style="thin">
          <color theme="4" tint="0.39988402966399123"/>
        </right>
        <top style="thin">
          <color theme="4" tint="0.39988402966399123"/>
        </top>
        <bottom style="thin">
          <color theme="4" tint="0.39988402966399123"/>
        </bottom>
        <vertical style="thin">
          <color theme="4" tint="0.39988402966399123"/>
        </vertical>
        <horizontal style="thin">
          <color theme="4" tint="0.39988402966399123"/>
        </horizontal>
      </border>
    </dxf>
  </dxfs>
  <tableStyles count="1" defaultTableStyle="Base Table Style" defaultPivotStyle="PivotStyleLight16">
    <tableStyle name="Base Table Style" pivot="0" count="4" xr9:uid="{83D308B1-3DAC-404B-AE76-8AF533A105F7}">
      <tableStyleElement type="wholeTable" dxfId="57"/>
      <tableStyleElement type="headerRow" dxfId="56"/>
      <tableStyleElement type="firstRowStripe" size="2" dxfId="55"/>
      <tableStyleElement type="secondRowStripe" size="2" dxfId="54"/>
    </tableStyle>
  </tableStyles>
  <colors>
    <mruColors>
      <color rgb="FFFFC080"/>
      <color rgb="FFFFC000"/>
      <color rgb="FFC0C000"/>
      <color rgb="FFFFFFC0"/>
      <color rgb="FF00C000"/>
      <color rgb="FF00FF00"/>
      <color rgb="FFC0FFC0"/>
      <color rgb="FFFFC0C0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8E3E2-E906-4614-BB16-08D42636E44E}" name="tblResources" displayName="tblResources" ref="A1:E66" totalsRowShown="0" headerRowCellStyle="Heading 1 Accent 1">
  <autoFilter ref="A1:E66" xr:uid="{5A008EB2-1110-4561-9A5F-8442FA924E57}"/>
  <sortState xmlns:xlrd2="http://schemas.microsoft.com/office/spreadsheetml/2017/richdata2" ref="A2:E66">
    <sortCondition ref="E1:E66"/>
  </sortState>
  <tableColumns count="5">
    <tableColumn id="1" xr3:uid="{3E959312-1382-4FEF-82AF-375BA7377437}" name="Resource" dataDxfId="53"/>
    <tableColumn id="2" xr3:uid="{A1FF7DFC-AE33-43F8-B979-D5DA61E4AD45}" name="Mass" dataDxfId="52"/>
    <tableColumn id="3" xr3:uid="{047F33E8-D89D-46C3-9A88-F91D0B75FB83}" name="Cost" dataDxfId="51"/>
    <tableColumn id="4" xr3:uid="{7A88A8BE-8129-4228-96B1-B6203DB96799}" name="Volume" dataDxfId="50"/>
    <tableColumn id="5" xr3:uid="{722B7E3B-43F9-4B28-A957-FC910A622CB9}" name="Order" dataDxfId="49" dataCellStyle="Integer"/>
  </tableColumns>
  <tableStyleInfo name="Base Table Style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21804E-6984-436D-B1E1-3A5DBACFFAE6}" name="tblTankTypes.Base" displayName="tblTankTypes.Base" ref="A1:AJ53" totalsRowShown="0" headerRowDxfId="48" dataDxfId="47" headerRowCellStyle="Heading 1 Accent 1">
  <autoFilter ref="A1:AJ53" xr:uid="{6C43E554-B1C2-463A-ABEE-C653A4F9EBD8}"/>
  <tableColumns count="36">
    <tableColumn id="1" xr3:uid="{9C4D8989-9483-4C4A-B7B4-3B4A57C85DCE}" name="TankType" dataDxfId="46"/>
    <tableColumn id="2" xr3:uid="{246DB2F2-0428-40F1-A1B6-5A19BC9F072E}" name="Resource₀" dataDxfId="45" dataCellStyle="20% - Accent1"/>
    <tableColumn id="3" xr3:uid="{F1FB71C8-A216-403B-BD7F-00518B505825}" name="Resource₀·Volume" dataDxfId="44" dataCellStyle="20% - Accent1"/>
    <tableColumn id="4" xr3:uid="{2AEFD855-EAF3-47AD-AD57-FA9CDAEC5345}" name="Resource₀·Tank" dataDxfId="43" dataCellStyle="20% - Accent1"/>
    <tableColumn id="32" xr3:uid="{EFDF651E-90D8-4842-B83C-A406E09CF4E1}" name="Resource₀·TankMass" dataDxfId="42" dataCellStyle="20% - Accent1"/>
    <tableColumn id="35" xr3:uid="{03287BE3-F974-4816-AA32-680FB23941B0}" name="Resource₀·TankCostMult" dataDxfId="41" dataCellStyle="20% - Accent1"/>
    <tableColumn id="5" xr3:uid="{3CA10FA9-BA3D-435C-8326-3BC817274FAE}" name="Resource₁" dataDxfId="40" dataCellStyle="20% - Accent1"/>
    <tableColumn id="6" xr3:uid="{0C1DA7BD-AAB7-413D-9018-0DAEAF9D511B}" name="Resource₁·Volume" dataDxfId="39" dataCellStyle="20% - Accent1"/>
    <tableColumn id="7" xr3:uid="{D20F23FB-6746-42D0-B6A4-0F69BA57E330}" name="Resource₁·Tank" dataDxfId="38" dataCellStyle="20% - Accent1"/>
    <tableColumn id="33" xr3:uid="{93589054-9302-4437-A888-B54C982B57CB}" name="Resource₁·TankMass" dataDxfId="37" dataCellStyle="20% - Accent1"/>
    <tableColumn id="36" xr3:uid="{229965BB-5B2B-49EC-981A-9966F2B3F9EF}" name="Resource₁·TankCostMult" dataDxfId="36" dataCellStyle="20% - Accent1"/>
    <tableColumn id="8" xr3:uid="{C674FF7A-AC58-42E2-B68A-5704880625C1}" name="Resource₂" dataDxfId="35" dataCellStyle="20% - Accent1"/>
    <tableColumn id="9" xr3:uid="{A32DB41F-CA30-43F1-A55A-4D4DA8B9F11E}" name="Resource₂·Volume" dataDxfId="34" dataCellStyle="20% - Accent1"/>
    <tableColumn id="10" xr3:uid="{F31F0AE2-B67A-40D7-994B-455044826483}" name="Resource₂·Tank" dataDxfId="33" dataCellStyle="20% - Accent1"/>
    <tableColumn id="34" xr3:uid="{B6CA73B9-C09A-43D3-8315-7E7DF03C650A}" name="Resource₂·TankMass" dataDxfId="32" dataCellStyle="20% - Accent1"/>
    <tableColumn id="37" xr3:uid="{298E677C-2D2C-40D0-A8EA-0A0331D5FF65}" name="Resource₂·TankCostMult" dataDxfId="31" dataCellStyle="20% - Accent1"/>
    <tableColumn id="31" xr3:uid="{559F3140-14B9-4B27-A74B-134FB88AA0A7}" name="TankCost·Mult" dataDxfId="30" dataCellStyle="20% - Accent1"/>
    <tableColumn id="11" xr3:uid="{F91CA6A1-71C9-4095-9E5D-3B2960C3CE8A}" name="Resource₀·Mass" dataDxfId="29" dataCellStyle="Normal">
      <calculatedColumnFormula>_xlfn.XLOOKUP(tblTankTypes.Base[[#This Row],[Resource₀]], tblResources[Resource], tblResources[Mass], #N/A, 0, 1) * tblTankTypes.Base[[#This Row],[Resource₀·Volume]]</calculatedColumnFormula>
    </tableColumn>
    <tableColumn id="12" xr3:uid="{7F16E06D-CEEF-4FB8-9572-55CF0FFA0C04}" name="Resource₀·Cost" dataDxfId="28" dataCellStyle="20% - Accent1">
      <calculatedColumnFormula>_xlfn.XLOOKUP(tblTankTypes.Base[[#This Row],[Resource₀]], tblResources[Resource], tblResources[Cost], #N/A, 0, 1) * tblTankTypes.Base[[#This Row],[Resource₀·Volume]]</calculatedColumnFormula>
    </tableColumn>
    <tableColumn id="13" xr3:uid="{18B4882D-72D0-4CD1-924A-80A249A1BCA9}" name="Resource₀·Tank·Mass" dataDxfId="27" dataCellStyle="20% - Accent1">
      <calculatedColumnFormula>tblTankTypes.Base[[#This Row],[Resource₀·Tank]] * tblTankTypes.Base[[#This Row],[Resource₀·Mass]] + tblTankTypes.Base[[#This Row],[Resource₀·Volume]] * tblTankTypes.Base[[#This Row],[Resource₀·TankMass]]</calculatedColumnFormula>
    </tableColumn>
    <tableColumn id="14" xr3:uid="{0D05C1E8-A950-4033-8461-4EAC875BD289}" name="Resource₀·Tank·Cost" dataDxfId="26" dataCellStyle="20% - Accent1">
      <calculatedColumnFormula>0.8 * tblTankTypes.Base[[#This Row],[Resource₀·Tank·Mass]] * tblTankTypes.Base[[#This Row],[Resource₀·TankCostMult]]</calculatedColumnFormula>
    </tableColumn>
    <tableColumn id="15" xr3:uid="{2D9E8689-18CB-463C-8163-EFC71A137690}" name="Resource₁·Mass" dataDxfId="25">
      <calculatedColumnFormula>_xlfn.XLOOKUP(tblTankTypes.Base[[#This Row],[Resource₁]], tblResources[Resource], tblResources[Mass], #N/A, 0, 1) * tblTankTypes.Base[[#This Row],[Resource₁·Volume]]</calculatedColumnFormula>
    </tableColumn>
    <tableColumn id="16" xr3:uid="{8659A2CC-0C72-412E-80BA-2CFDCDEA0948}" name="Resource₁·Cost" dataDxfId="24">
      <calculatedColumnFormula>_xlfn.XLOOKUP(tblTankTypes.Base[[#This Row],[Resource₁]], tblResources[Resource], tblResources[Cost], #N/A, 0, 1) * tblTankTypes.Base[[#This Row],[Resource₁·Volume]]</calculatedColumnFormula>
    </tableColumn>
    <tableColumn id="17" xr3:uid="{5B151E79-3D45-4BA3-A019-6E6637E32C10}" name="Resource₁·Tank·Mass" dataDxfId="23">
      <calculatedColumnFormula>tblTankTypes.Base[[#This Row],[Resource₁·Tank]] * tblTankTypes.Base[[#This Row],[Resource₁·Mass]] + tblTankTypes.Base[[#This Row],[Resource₁·Volume]] * tblTankTypes.Base[[#This Row],[Resource₁·TankMass]]</calculatedColumnFormula>
    </tableColumn>
    <tableColumn id="18" xr3:uid="{1810AD71-5287-4B53-9798-B6899A157821}" name="Resource₁·Tank·Cost" dataDxfId="22">
      <calculatedColumnFormula>0.8 * tblTankTypes.Base[[#This Row],[Resource₀·Tank·Mass]] * tblTankTypes.Base[[#This Row],[Resource₀·TankCostMult]]</calculatedColumnFormula>
    </tableColumn>
    <tableColumn id="19" xr3:uid="{06A3BE3D-5C13-4FF4-8FC6-218B438F55EE}" name="Resource₂·Mass" dataDxfId="21">
      <calculatedColumnFormula>_xlfn.XLOOKUP(tblTankTypes.Base[[#This Row],[Resource₂]], tblResources[Resource], tblResources[Mass], #N/A, 0, 1) * tblTankTypes.Base[[#This Row],[Resource₂·Volume]]</calculatedColumnFormula>
    </tableColumn>
    <tableColumn id="20" xr3:uid="{639BE49E-5F24-454C-A254-BC76158FEFA7}" name="Resource₂·Cost" dataDxfId="20">
      <calculatedColumnFormula>_xlfn.XLOOKUP(tblTankTypes.Base[[#This Row],[Resource₂]], tblResources[Resource], tblResources[Cost], #N/A, 0, 1) * tblTankTypes.Base[[#This Row],[Resource₂·Volume]]</calculatedColumnFormula>
    </tableColumn>
    <tableColumn id="21" xr3:uid="{F67A09CF-F267-45B2-980C-D1B8ECEA017A}" name="Resource₂·Tank·Mass" dataDxfId="19">
      <calculatedColumnFormula>tblTankTypes.Base[[#This Row],[Resource₂·Tank]] * tblTankTypes.Base[[#This Row],[Resource₂·Mass]] + tblTankTypes.Base[[#This Row],[Resource₂·Volume]] * tblTankTypes.Base[[#This Row],[Resource₂·TankMass]]</calculatedColumnFormula>
    </tableColumn>
    <tableColumn id="22" xr3:uid="{EE366A68-CC3E-4E87-91F7-E7B58F192744}" name="Resource₂·Tank·Cost" dataDxfId="18">
      <calculatedColumnFormula>0.8 * tblTankTypes.Base[[#This Row],[Resource₀·Tank·Mass]] * tblTankTypes.Base[[#This Row],[Resource₀·TankCostMult]]</calculatedColumnFormula>
    </tableColumn>
    <tableColumn id="29" xr3:uid="{4412B438-B46A-41EA-982D-23C89B9EAF0A}" name="Resources·Mass" dataDxfId="17">
      <calculatedColumnFormula>tblTankTypes.Base[[#This Row],[Resource₀·Tank·Mass]] + tblTankTypes.Base[[#This Row],[Resource₁·Tank·Mass]] + tblTankTypes.Base[[#This Row],[Resource₂·Tank·Mass]]</calculatedColumnFormula>
    </tableColumn>
    <tableColumn id="30" xr3:uid="{2A76E27D-E143-4DEB-B916-510A3FD7DCBF}" name="Resources·Cost" dataDxfId="16">
      <calculatedColumnFormula>tblTankTypes.Base[[#This Row],[Resource₀·Mass]] + tblTankTypes.Base[[#This Row],[Resource₁·Mass]] + tblTankTypes.Base[[#This Row],[Resource₂·Mass]]</calculatedColumnFormula>
    </tableColumn>
    <tableColumn id="28" xr3:uid="{0C13A35F-E64D-447C-8A29-3D8AC7DA44F0}" name="Tank·Mass·Dry" dataDxfId="15">
      <calculatedColumnFormula>tblTankTypes.Base[[#This Row],[Resource₀·Tank·Mass]] + tblTankTypes.Base[[#This Row],[Resource₁·Tank·Mass]] + tblTankTypes.Base[[#This Row],[Resource₂·Tank·Mass]]</calculatedColumnFormula>
    </tableColumn>
    <tableColumn id="24" xr3:uid="{226B8438-589E-4F35-8AB6-6594B38D7669}" name="Tank·Mass·Wet" dataDxfId="14">
      <calculatedColumnFormula>tblTankTypes.Base[[#This Row],[Tank·Mass·Dry]] + tblTankTypes.Base[[#This Row],[Resources·Mass]]</calculatedColumnFormula>
    </tableColumn>
    <tableColumn id="25" xr3:uid="{DF084B7C-DA9B-4E55-BB20-C13337144F8A}" name="Tank·Cost·Dry" dataDxfId="13">
      <calculatedColumnFormula>(tblTankTypes.Base[[#This Row],[Resource₀·Tank·Cost]] + tblTankTypes.Base[[#This Row],[Resource₁·Tank·Cost]] + tblTankTypes.Base[[#This Row],[Resource₂·Tank·Cost]]) * tblTankTypes.Base[[#This Row],[TankCost·Mult]]</calculatedColumnFormula>
    </tableColumn>
    <tableColumn id="26" xr3:uid="{70515717-01DB-453C-B657-671FB6E7E510}" name="Tank·Cost·Wet" dataDxfId="12">
      <calculatedColumnFormula>tblTankTypes.Base[[#This Row],[Tank·Cost·Dry]] + tblTankTypes.Base[[#This Row],[Resources·Cost]]</calculatedColumnFormula>
    </tableColumn>
    <tableColumn id="23" xr3:uid="{854280C9-8F52-4A0E-8A55-E2B4078975E0}" name="MassRatio" dataDxfId="11">
      <calculatedColumnFormula>tblTankTypes.Base[[#This Row],[Tank·Mass·Dry]] / tblTankTypes.Base[[#This Row],[Tank·Mass·Wet]]</calculatedColumnFormula>
    </tableColumn>
  </tableColumns>
  <tableStyleInfo name="Base Table Style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0FF62-A3D6-40A4-9892-8C53911A6FEC}" name="tblTankTypes" displayName="tblTankTypes" ref="A1:K53" totalsRowShown="0" headerRowCellStyle="Heading 1 Accent 1">
  <autoFilter ref="A1:K53" xr:uid="{9EBF1629-DEDD-461C-9F15-7CD2FD0DD5E4}"/>
  <tableColumns count="11">
    <tableColumn id="1" xr3:uid="{855AE968-5F57-46D9-B81C-04DEEBF0E02F}" name="TankType" dataDxfId="10">
      <calculatedColumnFormula>tblTankTypes.Base[[#This Row],[TankType]]</calculatedColumnFormula>
    </tableColumn>
    <tableColumn id="2" xr3:uid="{4DAB787A-DC91-4AA0-909A-9DE3358A389D}" name="TankMass" dataDxfId="9">
      <calculatedColumnFormula>ROUND(0.001 * tblTankTypes.Base[[#This Row],[Tank·Mass·Dry]], -_xlfn.FLOOR.MATH(IFERROR(LOG10(tblTankTypes.Base[[#This Row],[Tank·Mass·Dry]]), 0)) + 5)</calculatedColumnFormula>
    </tableColumn>
    <tableColumn id="3" xr3:uid="{6092B942-39CF-4572-BEC9-D168BBC61DD8}" name="TankCost·Dry" dataDxfId="8">
      <calculatedColumnFormula>ROUND(tblTankTypes.Base[[#This Row],[Tank·Cost·Dry]], -_xlfn.FLOOR.MATH(IFERROR(LOG10(tblTankTypes.Base[[#This Row],[Tank·Cost·Dry]]), 0)) + 2)</calculatedColumnFormula>
    </tableColumn>
    <tableColumn id="4" xr3:uid="{1042C0CC-CB92-4AF4-A2B5-C90F3D6F96A6}" name="TankCost·Wet" dataDxfId="7">
      <calculatedColumnFormula>ROUND(tblTankTypes.Base[[#This Row],[Tank·Cost·Dry]], -_xlfn.FLOOR.MATH(IFERROR(LOG10(tblTankTypes.Base[[#This Row],[Tank·Cost·Dry]]), 0)) + 2)</calculatedColumnFormula>
    </tableColumn>
    <tableColumn id="5" xr3:uid="{5A0D9DB5-668F-4CF5-A6DE-AD155C3D36AD}" name="Resource₀" dataDxfId="6">
      <calculatedColumnFormula>tblTankTypes.Base[[#This Row],[Resource₀]]</calculatedColumnFormula>
    </tableColumn>
    <tableColumn id="6" xr3:uid="{A583182C-F205-4E5B-9B06-3368B6C756BD}" name="Resource₀·Vol" dataDxfId="5">
      <calculatedColumnFormula>tblTankTypes.Base[[#This Row],[Resource₀·Volume]]</calculatedColumnFormula>
    </tableColumn>
    <tableColumn id="7" xr3:uid="{620E26D2-D564-44A2-BE3E-6AFF2C4284EB}" name="Resource₁" dataDxfId="4">
      <calculatedColumnFormula>tblTankTypes.Base[[#This Row],[Resource₀]]</calculatedColumnFormula>
    </tableColumn>
    <tableColumn id="8" xr3:uid="{39B55FB3-AE0F-474C-83A6-031581E138C9}" name="Resource₁·Vol" dataDxfId="3">
      <calculatedColumnFormula>tblTankTypes.Base[[#This Row],[Resource₀·Volume]]</calculatedColumnFormula>
    </tableColumn>
    <tableColumn id="9" xr3:uid="{55A3C74D-14B6-4CC0-B1DD-0F800AEAF00A}" name="Resource₂" dataDxfId="2">
      <calculatedColumnFormula>tblTankTypes.Base[[#This Row],[Resource₀]]</calculatedColumnFormula>
    </tableColumn>
    <tableColumn id="10" xr3:uid="{A7EF985C-4CA3-40D4-A914-56097BF0000E}" name="Resource₂·Vol" dataDxfId="1">
      <calculatedColumnFormula>tblTankTypes.Base[[#This Row],[Resource₂·Volume]]</calculatedColumnFormula>
    </tableColumn>
    <tableColumn id="11" xr3:uid="{BFB260FF-54EB-4E13-804C-E4108C4D8764}" name="TotalMass" dataDxfId="0">
      <calculatedColumnFormula>tblTankTypes.Base[[#This Row],[Tank·Mass·Wet]]</calculatedColumnFormula>
    </tableColumn>
  </tableColumns>
  <tableStyleInfo name="Base Table Styl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David">
      <a:dk1>
        <a:srgbClr val="000000"/>
      </a:dk1>
      <a:lt1>
        <a:srgbClr val="FFFFFF"/>
      </a:lt1>
      <a:dk2>
        <a:srgbClr val="902020"/>
      </a:dk2>
      <a:lt2>
        <a:srgbClr val="FFF6C8"/>
      </a:lt2>
      <a:accent1>
        <a:srgbClr val="C02020"/>
      </a:accent1>
      <a:accent2>
        <a:srgbClr val="407020"/>
      </a:accent2>
      <a:accent3>
        <a:srgbClr val="0060A0"/>
      </a:accent3>
      <a:accent4>
        <a:srgbClr val="C06000"/>
      </a:accent4>
      <a:accent5>
        <a:srgbClr val="C00080"/>
      </a:accent5>
      <a:accent6>
        <a:srgbClr val="307070"/>
      </a:accent6>
      <a:hlink>
        <a:srgbClr val="6060FF"/>
      </a:hlink>
      <a:folHlink>
        <a:srgbClr val="A060A0"/>
      </a:folHlink>
    </a:clrScheme>
    <a:fontScheme name="grylliade">
      <a:majorFont>
        <a:latin typeface="Source Sans Pro Black"/>
        <a:ea typeface=""/>
        <a:cs typeface=""/>
      </a:majorFont>
      <a:minorFont>
        <a:latin typeface="Source Sans Pro"/>
        <a:ea typeface=""/>
        <a:cs typeface="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defaultGridColor="0" colorId="2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defaultColWidth="24.625" defaultRowHeight="15.95" customHeight="1" x14ac:dyDescent="0.35"/>
  <cols>
    <col min="1" max="1" width="24.625" style="1" customWidth="1"/>
    <col min="2" max="3" width="24.625" style="2" customWidth="1"/>
    <col min="4" max="4" width="24.625" style="1"/>
    <col min="5" max="5" width="24.625" style="20"/>
    <col min="6" max="16384" width="24.625" style="1"/>
  </cols>
  <sheetData>
    <row r="1" spans="1:6" s="3" customFormat="1" ht="15.95" customHeight="1" x14ac:dyDescent="0.35">
      <c r="A1" s="5" t="s">
        <v>0</v>
      </c>
      <c r="B1" s="6" t="s">
        <v>1</v>
      </c>
      <c r="C1" s="6" t="s">
        <v>2</v>
      </c>
      <c r="D1" s="17" t="s">
        <v>95</v>
      </c>
      <c r="E1" s="19" t="s">
        <v>98</v>
      </c>
    </row>
    <row r="2" spans="1:6" ht="15.95" customHeight="1" x14ac:dyDescent="0.35">
      <c r="A2" s="4" t="s">
        <v>3</v>
      </c>
      <c r="B2" s="2">
        <v>0</v>
      </c>
      <c r="C2" s="2">
        <v>0</v>
      </c>
      <c r="D2" s="2">
        <v>0</v>
      </c>
      <c r="E2" s="18">
        <v>0</v>
      </c>
    </row>
    <row r="3" spans="1:6" ht="15.95" customHeight="1" x14ac:dyDescent="0.35">
      <c r="A3" s="4" t="s">
        <v>111</v>
      </c>
      <c r="B3" s="2">
        <v>5</v>
      </c>
      <c r="C3" s="2">
        <v>0.8</v>
      </c>
      <c r="D3" s="2">
        <v>5</v>
      </c>
      <c r="E3" s="18">
        <v>1</v>
      </c>
    </row>
    <row r="4" spans="1:6" ht="15.95" customHeight="1" x14ac:dyDescent="0.35">
      <c r="A4" s="4" t="s">
        <v>6</v>
      </c>
      <c r="B4" s="2">
        <v>0.8</v>
      </c>
      <c r="C4" s="2">
        <v>0.08</v>
      </c>
      <c r="D4" s="2">
        <v>1</v>
      </c>
      <c r="E4" s="18">
        <v>2</v>
      </c>
    </row>
    <row r="5" spans="1:6" ht="15.95" customHeight="1" x14ac:dyDescent="0.35">
      <c r="A5" s="4" t="s">
        <v>4</v>
      </c>
      <c r="B5" s="2">
        <v>5</v>
      </c>
      <c r="C5" s="2">
        <v>0.18</v>
      </c>
      <c r="D5" s="2">
        <v>5</v>
      </c>
      <c r="E5" s="18">
        <v>3</v>
      </c>
    </row>
    <row r="6" spans="1:6" ht="15.95" customHeight="1" x14ac:dyDescent="0.35">
      <c r="A6" s="4" t="s">
        <v>112</v>
      </c>
      <c r="B6" s="2">
        <v>1.141</v>
      </c>
      <c r="C6" s="2">
        <v>4.564E-2</v>
      </c>
      <c r="D6" s="2">
        <v>1</v>
      </c>
      <c r="E6" s="18">
        <v>4</v>
      </c>
    </row>
    <row r="7" spans="1:6" ht="15.95" customHeight="1" x14ac:dyDescent="0.35">
      <c r="A7" s="4" t="s">
        <v>113</v>
      </c>
      <c r="B7" s="2">
        <v>7.5</v>
      </c>
      <c r="C7" s="2">
        <v>0.6</v>
      </c>
      <c r="D7" s="2">
        <v>5</v>
      </c>
      <c r="E7" s="18">
        <v>5</v>
      </c>
    </row>
    <row r="8" spans="1:6" ht="15.95" customHeight="1" x14ac:dyDescent="0.35">
      <c r="A8" s="4" t="s">
        <v>10</v>
      </c>
      <c r="B8" s="2">
        <v>1.5</v>
      </c>
      <c r="C8" s="2">
        <v>0.12</v>
      </c>
      <c r="D8" s="2">
        <v>1</v>
      </c>
      <c r="E8" s="18">
        <v>6</v>
      </c>
    </row>
    <row r="9" spans="1:6" ht="15.95" customHeight="1" x14ac:dyDescent="0.35">
      <c r="A9" s="4" t="s">
        <v>5</v>
      </c>
      <c r="B9" s="2">
        <v>4</v>
      </c>
      <c r="C9" s="2">
        <v>1.2</v>
      </c>
      <c r="D9" s="2">
        <v>5</v>
      </c>
      <c r="E9" s="18">
        <v>7</v>
      </c>
    </row>
    <row r="10" spans="1:6" ht="15.95" customHeight="1" x14ac:dyDescent="0.35">
      <c r="A10" s="4" t="s">
        <v>9</v>
      </c>
      <c r="B10" s="2">
        <v>0.8</v>
      </c>
      <c r="C10" s="2">
        <v>0.24</v>
      </c>
      <c r="D10" s="2">
        <v>1</v>
      </c>
      <c r="E10" s="18">
        <v>8</v>
      </c>
    </row>
    <row r="11" spans="1:6" ht="15.95" customHeight="1" x14ac:dyDescent="0.35">
      <c r="A11" s="4" t="s">
        <v>114</v>
      </c>
      <c r="B11" s="2">
        <v>7.0849999999999996E-2</v>
      </c>
      <c r="C11" s="2">
        <v>3.6749999999999998E-2</v>
      </c>
      <c r="D11" s="2">
        <v>1</v>
      </c>
      <c r="E11" s="18">
        <v>9</v>
      </c>
    </row>
    <row r="12" spans="1:6" ht="15.95" customHeight="1" x14ac:dyDescent="0.35">
      <c r="A12" s="4" t="s">
        <v>115</v>
      </c>
      <c r="B12" s="2">
        <v>0.42560999999999999</v>
      </c>
      <c r="C12" s="2">
        <v>0.45</v>
      </c>
      <c r="D12" s="2">
        <v>1</v>
      </c>
      <c r="E12" s="18">
        <v>10</v>
      </c>
    </row>
    <row r="13" spans="1:6" ht="15.95" customHeight="1" x14ac:dyDescent="0.35">
      <c r="A13" s="4" t="s">
        <v>7</v>
      </c>
      <c r="B13" s="2">
        <v>0.9</v>
      </c>
      <c r="C13" s="2">
        <v>1.35</v>
      </c>
      <c r="D13" s="2">
        <v>1</v>
      </c>
      <c r="E13" s="18">
        <v>11</v>
      </c>
    </row>
    <row r="14" spans="1:6" ht="15.95" customHeight="1" x14ac:dyDescent="0.35">
      <c r="A14" s="4" t="s">
        <v>8</v>
      </c>
      <c r="B14" s="2">
        <v>1.35</v>
      </c>
      <c r="C14" s="2">
        <v>0.2</v>
      </c>
      <c r="D14" s="2">
        <v>1</v>
      </c>
      <c r="E14" s="18">
        <v>12</v>
      </c>
    </row>
    <row r="15" spans="1:6" ht="15.95" customHeight="1" x14ac:dyDescent="0.35">
      <c r="A15" s="4" t="s">
        <v>96</v>
      </c>
      <c r="B15" s="2">
        <v>0.1</v>
      </c>
      <c r="C15" s="2">
        <v>4</v>
      </c>
      <c r="D15" s="2">
        <v>0.1</v>
      </c>
      <c r="E15" s="18">
        <v>13</v>
      </c>
      <c r="F15" s="1">
        <f>tblResources[[#This Row],[Cost]] / tblResources[[#This Row],[Mass]]</f>
        <v>40</v>
      </c>
    </row>
    <row r="16" spans="1:6" ht="15.95" customHeight="1" x14ac:dyDescent="0.35">
      <c r="A16" s="4" t="s">
        <v>14</v>
      </c>
      <c r="B16" s="2">
        <v>1.784E-3</v>
      </c>
      <c r="C16" s="2">
        <v>1.0500000000000001E-2</v>
      </c>
      <c r="D16" s="2">
        <v>1</v>
      </c>
      <c r="E16" s="18">
        <v>14</v>
      </c>
    </row>
    <row r="17" spans="1:6" ht="15.95" customHeight="1" x14ac:dyDescent="0.35">
      <c r="A17" s="4" t="s">
        <v>15</v>
      </c>
      <c r="B17" s="2">
        <v>0.53400000000000003</v>
      </c>
      <c r="C17" s="2">
        <v>0.60799999999999998</v>
      </c>
      <c r="D17" s="2">
        <v>1</v>
      </c>
      <c r="E17" s="18">
        <v>15</v>
      </c>
    </row>
    <row r="18" spans="1:6" ht="15.95" customHeight="1" x14ac:dyDescent="0.35">
      <c r="A18" s="4" t="s">
        <v>12</v>
      </c>
      <c r="B18" s="2">
        <v>1.784E-3</v>
      </c>
      <c r="C18" s="2">
        <v>1.0500000000000001E-2</v>
      </c>
      <c r="D18" s="2">
        <v>1</v>
      </c>
      <c r="E18" s="18">
        <v>16</v>
      </c>
    </row>
    <row r="19" spans="1:6" ht="15.95" customHeight="1" x14ac:dyDescent="0.35">
      <c r="A19" s="4" t="s">
        <v>13</v>
      </c>
      <c r="B19" s="2">
        <v>0.53400000000000003</v>
      </c>
      <c r="C19" s="2">
        <v>0.60750000000000004</v>
      </c>
      <c r="D19" s="2">
        <v>1</v>
      </c>
      <c r="E19" s="18">
        <v>17</v>
      </c>
    </row>
    <row r="20" spans="1:6" ht="15.95" customHeight="1" x14ac:dyDescent="0.35">
      <c r="A20" s="4" t="s">
        <v>11</v>
      </c>
      <c r="B20" s="2">
        <v>5.8939999999999999E-3</v>
      </c>
      <c r="C20" s="2">
        <v>0.23576</v>
      </c>
      <c r="D20" s="2">
        <v>1</v>
      </c>
      <c r="E20" s="18">
        <v>18</v>
      </c>
      <c r="F20" s="1">
        <f>40 * tblResources[[#This Row],[Mass]]</f>
        <v>0.23576</v>
      </c>
    </row>
    <row r="21" spans="1:6" ht="15.95" customHeight="1" x14ac:dyDescent="0.35">
      <c r="A21" s="4" t="s">
        <v>116</v>
      </c>
      <c r="B21" s="2">
        <v>0</v>
      </c>
      <c r="C21" s="2">
        <v>0</v>
      </c>
      <c r="D21" s="2">
        <v>1</v>
      </c>
      <c r="E21" s="18">
        <v>19</v>
      </c>
    </row>
    <row r="22" spans="1:6" ht="15.95" customHeight="1" x14ac:dyDescent="0.35">
      <c r="A22" s="4" t="s">
        <v>47</v>
      </c>
      <c r="B22" s="2">
        <v>8.9900000000000003E-5</v>
      </c>
      <c r="C22" s="2">
        <v>5.5835999999999999E-5</v>
      </c>
      <c r="D22" s="2">
        <v>1</v>
      </c>
      <c r="E22" s="18">
        <v>20</v>
      </c>
    </row>
    <row r="23" spans="1:6" ht="15.95" customHeight="1" x14ac:dyDescent="0.35">
      <c r="A23" s="4" t="s">
        <v>117</v>
      </c>
      <c r="B23" s="2">
        <v>1.4300000000000001E-3</v>
      </c>
      <c r="C23" s="2">
        <v>5.5835999999999999E-5</v>
      </c>
      <c r="D23" s="2">
        <v>1</v>
      </c>
      <c r="E23" s="18">
        <v>21</v>
      </c>
    </row>
    <row r="24" spans="1:6" ht="15.95" customHeight="1" x14ac:dyDescent="0.35">
      <c r="A24" s="4" t="s">
        <v>49</v>
      </c>
      <c r="B24" s="2">
        <v>7.1699999999999997E-4</v>
      </c>
      <c r="C24" s="2">
        <v>1.8642000000000001E-3</v>
      </c>
      <c r="D24" s="2">
        <v>1</v>
      </c>
      <c r="E24" s="18">
        <v>22</v>
      </c>
    </row>
    <row r="25" spans="1:6" ht="15.95" customHeight="1" x14ac:dyDescent="0.35">
      <c r="A25" s="4" t="s">
        <v>118</v>
      </c>
      <c r="B25" s="2">
        <v>7.6900000000000004E-4</v>
      </c>
      <c r="C25" s="2">
        <v>1.4999999999999999E-4</v>
      </c>
      <c r="D25" s="2">
        <v>1</v>
      </c>
      <c r="E25" s="18">
        <v>23</v>
      </c>
    </row>
    <row r="26" spans="1:6" ht="15.95" customHeight="1" x14ac:dyDescent="0.35">
      <c r="A26" s="4" t="s">
        <v>120</v>
      </c>
      <c r="B26" s="2">
        <v>1.951E-3</v>
      </c>
      <c r="C26" s="2">
        <v>3.0000000000000001E-6</v>
      </c>
      <c r="D26" s="2">
        <v>1</v>
      </c>
      <c r="E26" s="18">
        <v>24</v>
      </c>
    </row>
    <row r="27" spans="1:6" ht="15.95" customHeight="1" x14ac:dyDescent="0.35">
      <c r="A27" s="4" t="s">
        <v>121</v>
      </c>
      <c r="B27" s="2">
        <v>1.2509999999999999E-3</v>
      </c>
      <c r="C27" s="2">
        <v>5.0000000000000002E-5</v>
      </c>
      <c r="D27" s="2">
        <v>1</v>
      </c>
      <c r="E27" s="18">
        <v>25</v>
      </c>
    </row>
    <row r="28" spans="1:6" ht="15.95" customHeight="1" x14ac:dyDescent="0.35">
      <c r="A28" s="4" t="s">
        <v>119</v>
      </c>
      <c r="B28" s="2">
        <v>0.70209999999999995</v>
      </c>
      <c r="C28" s="2">
        <v>0.14199999999999999</v>
      </c>
      <c r="D28" s="2">
        <v>1</v>
      </c>
      <c r="E28" s="18">
        <v>26</v>
      </c>
    </row>
    <row r="29" spans="1:6" ht="15.95" customHeight="1" x14ac:dyDescent="0.35">
      <c r="A29" s="4" t="s">
        <v>101</v>
      </c>
      <c r="B29" s="2">
        <v>1.1732499999999999</v>
      </c>
      <c r="C29" s="2">
        <v>1.7247E-3</v>
      </c>
      <c r="D29" s="2">
        <v>1</v>
      </c>
      <c r="E29" s="18">
        <v>27</v>
      </c>
    </row>
    <row r="30" spans="1:6" ht="15.95" customHeight="1" x14ac:dyDescent="0.35">
      <c r="A30" s="4" t="s">
        <v>122</v>
      </c>
      <c r="B30" s="2">
        <v>0.82490699999999995</v>
      </c>
      <c r="C30" s="2">
        <v>8.2400000000000008E-3</v>
      </c>
      <c r="D30" s="2">
        <v>1</v>
      </c>
      <c r="E30" s="18">
        <v>28</v>
      </c>
    </row>
    <row r="31" spans="1:6" ht="15.95" customHeight="1" x14ac:dyDescent="0.35">
      <c r="A31" s="4" t="s">
        <v>123</v>
      </c>
      <c r="B31" s="2">
        <v>0.16239999999999999</v>
      </c>
      <c r="C31" s="2">
        <v>0.25600000000000001</v>
      </c>
      <c r="D31" s="2">
        <v>1</v>
      </c>
      <c r="E31" s="18">
        <v>29</v>
      </c>
    </row>
    <row r="32" spans="1:6" ht="15.95" customHeight="1" x14ac:dyDescent="0.35">
      <c r="A32" s="4" t="s">
        <v>124</v>
      </c>
      <c r="B32" s="2">
        <v>5.8999999999999997E-2</v>
      </c>
      <c r="C32" s="2">
        <v>52.52</v>
      </c>
      <c r="D32" s="2">
        <v>1</v>
      </c>
      <c r="E32" s="18">
        <v>30</v>
      </c>
    </row>
    <row r="33" spans="1:5" ht="15.95" customHeight="1" x14ac:dyDescent="0.35">
      <c r="A33" s="4" t="s">
        <v>53</v>
      </c>
      <c r="B33" s="2">
        <v>2</v>
      </c>
      <c r="C33" s="2">
        <v>4.0000000000000001E-3</v>
      </c>
      <c r="D33" s="2">
        <v>1</v>
      </c>
      <c r="E33" s="18">
        <v>31</v>
      </c>
    </row>
    <row r="34" spans="1:5" ht="15.95" customHeight="1" x14ac:dyDescent="0.35">
      <c r="A34" s="4" t="s">
        <v>75</v>
      </c>
      <c r="B34" s="2">
        <v>1</v>
      </c>
      <c r="C34" s="2">
        <v>8.0000000000000004E-4</v>
      </c>
      <c r="D34" s="2">
        <v>1</v>
      </c>
      <c r="E34" s="18">
        <v>32</v>
      </c>
    </row>
    <row r="35" spans="1:5" ht="15.95" customHeight="1" x14ac:dyDescent="0.35">
      <c r="A35" s="4" t="s">
        <v>76</v>
      </c>
      <c r="B35" s="2">
        <v>2.5</v>
      </c>
      <c r="C35" s="2">
        <v>16</v>
      </c>
      <c r="D35" s="2">
        <v>1</v>
      </c>
      <c r="E35" s="18">
        <v>33</v>
      </c>
    </row>
    <row r="36" spans="1:5" ht="15.95" customHeight="1" x14ac:dyDescent="0.35">
      <c r="A36" s="4" t="s">
        <v>77</v>
      </c>
      <c r="B36" s="2">
        <v>1</v>
      </c>
      <c r="C36" s="2">
        <v>2.5</v>
      </c>
      <c r="D36" s="2">
        <v>1</v>
      </c>
      <c r="E36" s="18">
        <v>34</v>
      </c>
    </row>
    <row r="37" spans="1:5" ht="15.95" customHeight="1" x14ac:dyDescent="0.35">
      <c r="A37" s="4" t="s">
        <v>94</v>
      </c>
      <c r="B37" s="2">
        <v>1</v>
      </c>
      <c r="C37" s="2">
        <v>0</v>
      </c>
      <c r="D37" s="2">
        <v>1</v>
      </c>
      <c r="E37" s="18">
        <v>35</v>
      </c>
    </row>
    <row r="38" spans="1:5" ht="15.95" customHeight="1" x14ac:dyDescent="0.35">
      <c r="A38" s="4" t="s">
        <v>78</v>
      </c>
      <c r="B38" s="2">
        <v>3.78</v>
      </c>
      <c r="C38" s="2">
        <v>15.8</v>
      </c>
      <c r="D38" s="2">
        <v>1</v>
      </c>
      <c r="E38" s="18">
        <v>36</v>
      </c>
    </row>
    <row r="39" spans="1:5" ht="15.95" customHeight="1" x14ac:dyDescent="0.35">
      <c r="A39" s="4" t="s">
        <v>79</v>
      </c>
      <c r="B39" s="2">
        <v>3.78</v>
      </c>
      <c r="C39" s="2">
        <v>7</v>
      </c>
      <c r="D39" s="2">
        <v>1</v>
      </c>
      <c r="E39" s="18">
        <v>37</v>
      </c>
    </row>
    <row r="40" spans="1:5" ht="15.95" customHeight="1" x14ac:dyDescent="0.35">
      <c r="A40" s="4" t="s">
        <v>80</v>
      </c>
      <c r="B40" s="2">
        <v>1</v>
      </c>
      <c r="C40" s="2">
        <v>2</v>
      </c>
      <c r="D40" s="2">
        <v>1</v>
      </c>
      <c r="E40" s="18">
        <v>38</v>
      </c>
    </row>
    <row r="41" spans="1:5" ht="15.95" customHeight="1" x14ac:dyDescent="0.35">
      <c r="A41" s="4" t="s">
        <v>81</v>
      </c>
      <c r="B41" s="2">
        <v>1</v>
      </c>
      <c r="C41" s="2">
        <v>0.5</v>
      </c>
      <c r="D41" s="2">
        <v>1</v>
      </c>
      <c r="E41" s="18">
        <v>39</v>
      </c>
    </row>
    <row r="42" spans="1:5" ht="15.95" customHeight="1" x14ac:dyDescent="0.35">
      <c r="A42" s="4" t="s">
        <v>125</v>
      </c>
      <c r="B42" s="2">
        <v>3.78</v>
      </c>
      <c r="C42" s="2">
        <v>32</v>
      </c>
      <c r="D42" s="2">
        <v>1</v>
      </c>
      <c r="E42" s="18">
        <v>40</v>
      </c>
    </row>
    <row r="43" spans="1:5" ht="15.95" customHeight="1" x14ac:dyDescent="0.35">
      <c r="A43" s="4" t="s">
        <v>126</v>
      </c>
      <c r="B43" s="2">
        <v>5.2</v>
      </c>
      <c r="C43" s="2">
        <v>250</v>
      </c>
      <c r="D43" s="2">
        <v>1</v>
      </c>
      <c r="E43" s="18">
        <v>41</v>
      </c>
    </row>
    <row r="44" spans="1:5" ht="15.95" customHeight="1" x14ac:dyDescent="0.35">
      <c r="A44" s="4" t="s">
        <v>82</v>
      </c>
      <c r="B44" s="2">
        <v>1</v>
      </c>
      <c r="C44" s="2">
        <v>2</v>
      </c>
      <c r="D44" s="2">
        <v>1</v>
      </c>
      <c r="E44" s="18">
        <v>42</v>
      </c>
    </row>
    <row r="45" spans="1:5" ht="15.95" customHeight="1" x14ac:dyDescent="0.35">
      <c r="A45" s="4" t="s">
        <v>83</v>
      </c>
      <c r="B45" s="2">
        <v>7.8</v>
      </c>
      <c r="C45" s="2">
        <v>14.24</v>
      </c>
      <c r="D45" s="2">
        <v>1</v>
      </c>
      <c r="E45" s="18">
        <v>43</v>
      </c>
    </row>
    <row r="46" spans="1:5" ht="15.95" customHeight="1" x14ac:dyDescent="0.35">
      <c r="A46" s="4" t="s">
        <v>84</v>
      </c>
      <c r="B46" s="2">
        <v>1.04</v>
      </c>
      <c r="C46" s="2">
        <v>8</v>
      </c>
      <c r="D46" s="2">
        <v>1</v>
      </c>
      <c r="E46" s="18">
        <v>44</v>
      </c>
    </row>
    <row r="47" spans="1:5" ht="15.95" customHeight="1" x14ac:dyDescent="0.35">
      <c r="A47" s="4" t="s">
        <v>85</v>
      </c>
      <c r="B47" s="2">
        <v>2.3290000000000002</v>
      </c>
      <c r="C47" s="2">
        <v>0.02</v>
      </c>
      <c r="D47" s="2">
        <v>1</v>
      </c>
      <c r="E47" s="18">
        <v>45</v>
      </c>
    </row>
    <row r="48" spans="1:5" ht="15.95" customHeight="1" x14ac:dyDescent="0.35">
      <c r="A48" s="4" t="s">
        <v>86</v>
      </c>
      <c r="B48" s="2">
        <v>2.5</v>
      </c>
      <c r="C48" s="2">
        <v>1.0000000000000001E-5</v>
      </c>
      <c r="D48" s="2">
        <v>1</v>
      </c>
      <c r="E48" s="18">
        <v>46</v>
      </c>
    </row>
    <row r="49" spans="1:5" ht="15.95" customHeight="1" x14ac:dyDescent="0.35">
      <c r="A49" s="4" t="s">
        <v>87</v>
      </c>
      <c r="B49" s="2">
        <v>1.6</v>
      </c>
      <c r="C49" s="2">
        <v>0.3</v>
      </c>
      <c r="D49" s="2">
        <v>1</v>
      </c>
      <c r="E49" s="18">
        <v>47</v>
      </c>
    </row>
    <row r="50" spans="1:5" ht="15.95" customHeight="1" x14ac:dyDescent="0.35">
      <c r="A50" s="4" t="s">
        <v>127</v>
      </c>
      <c r="B50" s="2">
        <v>2.5</v>
      </c>
      <c r="C50" s="2">
        <v>160</v>
      </c>
      <c r="D50" s="2">
        <v>1</v>
      </c>
      <c r="E50" s="18">
        <v>48</v>
      </c>
    </row>
    <row r="51" spans="1:5" ht="15.95" customHeight="1" x14ac:dyDescent="0.35">
      <c r="A51" s="4" t="s">
        <v>128</v>
      </c>
      <c r="B51" s="2">
        <v>7.8</v>
      </c>
      <c r="C51" s="2">
        <v>140</v>
      </c>
      <c r="D51" s="2">
        <v>1</v>
      </c>
      <c r="E51" s="18">
        <v>49</v>
      </c>
    </row>
    <row r="52" spans="1:5" ht="15.95" customHeight="1" x14ac:dyDescent="0.35">
      <c r="A52" s="4" t="s">
        <v>88</v>
      </c>
      <c r="B52" s="2">
        <v>5.5</v>
      </c>
      <c r="C52" s="2">
        <v>0.01</v>
      </c>
      <c r="D52" s="2">
        <v>1</v>
      </c>
      <c r="E52" s="18">
        <v>50</v>
      </c>
    </row>
    <row r="53" spans="1:5" ht="15.95" customHeight="1" x14ac:dyDescent="0.35">
      <c r="A53" s="4" t="s">
        <v>89</v>
      </c>
      <c r="B53" s="2">
        <v>1.5</v>
      </c>
      <c r="C53" s="2">
        <v>0.5</v>
      </c>
      <c r="D53" s="2">
        <v>1</v>
      </c>
      <c r="E53" s="18">
        <v>51</v>
      </c>
    </row>
    <row r="54" spans="1:5" ht="15.95" customHeight="1" x14ac:dyDescent="0.35">
      <c r="A54" s="4" t="s">
        <v>129</v>
      </c>
      <c r="B54" s="2">
        <v>5.5</v>
      </c>
      <c r="C54" s="2">
        <v>1.76</v>
      </c>
      <c r="D54" s="2">
        <v>1</v>
      </c>
      <c r="E54" s="18">
        <v>52</v>
      </c>
    </row>
    <row r="55" spans="1:5" ht="15.95" customHeight="1" x14ac:dyDescent="0.35">
      <c r="A55" s="4" t="s">
        <v>90</v>
      </c>
      <c r="B55" s="2">
        <v>2.7</v>
      </c>
      <c r="C55" s="2">
        <v>0.8</v>
      </c>
      <c r="D55" s="2">
        <v>1</v>
      </c>
      <c r="E55" s="18">
        <v>53</v>
      </c>
    </row>
    <row r="56" spans="1:5" ht="15.95" customHeight="1" x14ac:dyDescent="0.35">
      <c r="A56" s="4" t="s">
        <v>91</v>
      </c>
      <c r="B56" s="2">
        <v>5</v>
      </c>
      <c r="C56" s="2">
        <v>0</v>
      </c>
      <c r="D56" s="2">
        <v>1</v>
      </c>
      <c r="E56" s="18">
        <v>54</v>
      </c>
    </row>
    <row r="57" spans="1:5" ht="15.95" customHeight="1" x14ac:dyDescent="0.35">
      <c r="A57" s="4" t="s">
        <v>92</v>
      </c>
      <c r="B57" s="2">
        <v>2.5</v>
      </c>
      <c r="C57" s="2">
        <v>0.01</v>
      </c>
      <c r="D57" s="2">
        <v>1</v>
      </c>
      <c r="E57" s="18">
        <v>55</v>
      </c>
    </row>
    <row r="58" spans="1:5" ht="15.95" customHeight="1" x14ac:dyDescent="0.35">
      <c r="A58" s="4" t="s">
        <v>93</v>
      </c>
      <c r="B58" s="2">
        <v>7.5</v>
      </c>
      <c r="C58" s="2">
        <v>0.7</v>
      </c>
      <c r="D58" s="2">
        <v>1</v>
      </c>
      <c r="E58" s="18">
        <v>56</v>
      </c>
    </row>
    <row r="59" spans="1:5" ht="15.95" customHeight="1" x14ac:dyDescent="0.35">
      <c r="A59" s="4" t="s">
        <v>130</v>
      </c>
      <c r="B59" s="2">
        <v>10.97</v>
      </c>
      <c r="C59" s="2">
        <v>865</v>
      </c>
      <c r="D59" s="2">
        <v>1</v>
      </c>
      <c r="E59" s="18">
        <v>57</v>
      </c>
    </row>
    <row r="60" spans="1:5" ht="15.95" customHeight="1" x14ac:dyDescent="0.35">
      <c r="A60" s="4" t="s">
        <v>131</v>
      </c>
      <c r="B60" s="2">
        <v>10.97</v>
      </c>
      <c r="C60" s="2">
        <v>0</v>
      </c>
      <c r="D60" s="2">
        <v>1</v>
      </c>
      <c r="E60" s="18">
        <v>58</v>
      </c>
    </row>
    <row r="61" spans="1:5" ht="15.95" customHeight="1" x14ac:dyDescent="0.35">
      <c r="A61" s="4" t="s">
        <v>132</v>
      </c>
      <c r="B61" s="2">
        <v>1.05</v>
      </c>
      <c r="C61" s="2">
        <v>4</v>
      </c>
      <c r="D61" s="2">
        <v>1</v>
      </c>
      <c r="E61" s="18">
        <v>59</v>
      </c>
    </row>
    <row r="62" spans="1:5" ht="15.95" customHeight="1" x14ac:dyDescent="0.35">
      <c r="A62" s="4" t="s">
        <v>133</v>
      </c>
      <c r="B62" s="2">
        <v>1.44</v>
      </c>
      <c r="C62" s="2">
        <v>50</v>
      </c>
      <c r="D62" s="2">
        <v>1</v>
      </c>
      <c r="E62" s="18">
        <v>60</v>
      </c>
    </row>
    <row r="63" spans="1:5" ht="15.95" customHeight="1" x14ac:dyDescent="0.35">
      <c r="A63" s="4" t="s">
        <v>134</v>
      </c>
      <c r="B63" s="2">
        <v>1</v>
      </c>
      <c r="C63" s="2">
        <v>12</v>
      </c>
      <c r="D63" s="2">
        <v>1</v>
      </c>
      <c r="E63" s="18">
        <v>61</v>
      </c>
    </row>
    <row r="64" spans="1:5" ht="15.95" customHeight="1" x14ac:dyDescent="0.35">
      <c r="A64" s="4" t="s">
        <v>135</v>
      </c>
      <c r="B64" s="2">
        <v>0.216</v>
      </c>
      <c r="C64" s="2">
        <v>150</v>
      </c>
      <c r="D64" s="2">
        <v>1</v>
      </c>
      <c r="E64" s="18">
        <v>62</v>
      </c>
    </row>
    <row r="65" spans="1:5" ht="15.95" customHeight="1" x14ac:dyDescent="0.35">
      <c r="A65" s="4" t="s">
        <v>136</v>
      </c>
      <c r="B65" s="2">
        <v>7.085</v>
      </c>
      <c r="C65" s="2">
        <v>1.25</v>
      </c>
      <c r="D65" s="2">
        <v>1</v>
      </c>
      <c r="E65" s="18">
        <v>63</v>
      </c>
    </row>
    <row r="66" spans="1:5" ht="15.95" customHeight="1" x14ac:dyDescent="0.35">
      <c r="A66" s="4" t="s">
        <v>97</v>
      </c>
      <c r="B66" s="2">
        <v>9.9999999999999995E-7</v>
      </c>
      <c r="C66" s="2">
        <v>100</v>
      </c>
      <c r="D66" s="2">
        <v>1</v>
      </c>
      <c r="E66" s="18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5"/>
  <sheetViews>
    <sheetView defaultGridColor="0" colorId="23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G2" sqref="AG2"/>
    </sheetView>
  </sheetViews>
  <sheetFormatPr defaultColWidth="24.625" defaultRowHeight="15.95" customHeight="1" x14ac:dyDescent="0.35"/>
  <cols>
    <col min="1" max="1" width="24.625" style="1"/>
    <col min="2" max="3" width="24.625" style="2"/>
    <col min="4" max="30" width="24.625" style="1"/>
    <col min="31" max="31" width="24.625" style="2"/>
    <col min="32" max="16384" width="24.625" style="1"/>
  </cols>
  <sheetData>
    <row r="1" spans="1:36" s="3" customFormat="1" ht="15.95" customHeight="1" x14ac:dyDescent="0.35">
      <c r="A1" s="5" t="s">
        <v>17</v>
      </c>
      <c r="B1" s="6" t="s">
        <v>18</v>
      </c>
      <c r="C1" s="6" t="s">
        <v>19</v>
      </c>
      <c r="D1" s="6" t="s">
        <v>20</v>
      </c>
      <c r="E1" s="6" t="s">
        <v>68</v>
      </c>
      <c r="F1" s="6" t="s">
        <v>71</v>
      </c>
      <c r="G1" s="6" t="s">
        <v>25</v>
      </c>
      <c r="H1" s="6" t="s">
        <v>26</v>
      </c>
      <c r="I1" s="6" t="s">
        <v>27</v>
      </c>
      <c r="J1" s="6" t="s">
        <v>69</v>
      </c>
      <c r="K1" s="6" t="s">
        <v>72</v>
      </c>
      <c r="L1" s="6" t="s">
        <v>32</v>
      </c>
      <c r="M1" s="6" t="s">
        <v>33</v>
      </c>
      <c r="N1" s="6" t="s">
        <v>34</v>
      </c>
      <c r="O1" s="6" t="s">
        <v>70</v>
      </c>
      <c r="P1" s="6" t="s">
        <v>73</v>
      </c>
      <c r="Q1" s="6" t="s">
        <v>67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44</v>
      </c>
      <c r="AE1" s="6" t="s">
        <v>45</v>
      </c>
      <c r="AF1" s="6" t="s">
        <v>40</v>
      </c>
      <c r="AG1" s="6" t="s">
        <v>41</v>
      </c>
      <c r="AH1" s="6" t="s">
        <v>42</v>
      </c>
      <c r="AI1" s="6" t="s">
        <v>43</v>
      </c>
      <c r="AJ1" s="6" t="s">
        <v>66</v>
      </c>
    </row>
    <row r="2" spans="1:36" ht="15.95" customHeight="1" x14ac:dyDescent="0.35">
      <c r="A2" s="4" t="s">
        <v>6</v>
      </c>
      <c r="B2" s="9" t="s">
        <v>6</v>
      </c>
      <c r="C2" s="8">
        <v>1</v>
      </c>
      <c r="D2" s="8">
        <v>0.125</v>
      </c>
      <c r="E2" s="14">
        <v>0</v>
      </c>
      <c r="F2" s="14">
        <v>1</v>
      </c>
      <c r="G2" s="9" t="s">
        <v>3</v>
      </c>
      <c r="H2" s="8">
        <v>0</v>
      </c>
      <c r="I2" s="8">
        <v>0</v>
      </c>
      <c r="J2" s="14">
        <v>0</v>
      </c>
      <c r="K2" s="14">
        <v>1</v>
      </c>
      <c r="L2" s="9" t="s">
        <v>3</v>
      </c>
      <c r="M2" s="8">
        <v>0</v>
      </c>
      <c r="N2" s="8">
        <v>0</v>
      </c>
      <c r="O2" s="14">
        <v>0</v>
      </c>
      <c r="P2" s="14">
        <v>1</v>
      </c>
      <c r="Q2" s="14">
        <v>1</v>
      </c>
      <c r="R2" s="2">
        <f>_xlfn.XLOOKUP(tblTankTypes.Base[[#This Row],[Resource₀]], tblResources[Resource], tblResources[Mass], #N/A, 0, 1) * tblTankTypes.Base[[#This Row],[Resource₀·Volume]]</f>
        <v>0.8</v>
      </c>
      <c r="S2" s="2">
        <f>_xlfn.XLOOKUP(tblTankTypes.Base[[#This Row],[Resource₀]], tblResources[Resource], tblResources[Cost], #N/A, 0, 1) * tblTankTypes.Base[[#This Row],[Resource₀·Volume]]</f>
        <v>0.08</v>
      </c>
      <c r="T2" s="2">
        <f>tblTankTypes.Base[[#This Row],[Resource₀·Tank]] * tblTankTypes.Base[[#This Row],[Resource₀·Mass]] + tblTankTypes.Base[[#This Row],[Resource₀·Volume]] * tblTankTypes.Base[[#This Row],[Resource₀·TankMass]]</f>
        <v>0.1</v>
      </c>
      <c r="U2" s="2">
        <f>0.8 * tblTankTypes.Base[[#This Row],[Resource₀·Tank·Mass]] * tblTankTypes.Base[[#This Row],[Resource₀·TankCostMult]]</f>
        <v>8.0000000000000016E-2</v>
      </c>
      <c r="V2" s="2">
        <f>_xlfn.XLOOKUP(tblTankTypes.Base[[#This Row],[Resource₁]], tblResources[Resource], tblResources[Mass], #N/A, 0, 1) * tblTankTypes.Base[[#This Row],[Resource₁·Volume]]</f>
        <v>0</v>
      </c>
      <c r="W2" s="2">
        <f>_xlfn.XLOOKUP(tblTankTypes.Base[[#This Row],[Resource₁]], tblResources[Resource], tblResources[Cost], #N/A, 0, 1) * tblTankTypes.Base[[#This Row],[Resource₁·Volume]]</f>
        <v>0</v>
      </c>
      <c r="X2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2" s="2">
        <f>0.8 * tblTankTypes.Base[[#This Row],[Resource₁·Tank·Mass]] * tblTankTypes.Base[[#This Row],[Resource₁·TankCostMult]]</f>
        <v>0</v>
      </c>
      <c r="Z2" s="2">
        <f>_xlfn.XLOOKUP(tblTankTypes.Base[[#This Row],[Resource₂]], tblResources[Resource], tblResources[Mass], #N/A, 0, 1) * tblTankTypes.Base[[#This Row],[Resource₂·Volume]]</f>
        <v>0</v>
      </c>
      <c r="AA2" s="2">
        <f>_xlfn.XLOOKUP(tblTankTypes.Base[[#This Row],[Resource₂]], tblResources[Resource], tblResources[Cost], #N/A, 0, 1) * tblTankTypes.Base[[#This Row],[Resource₂·Volume]]</f>
        <v>0</v>
      </c>
      <c r="AB2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" s="2">
        <f>0.8 * tblTankTypes.Base[[#This Row],[Resource₂·Tank·Mass]] * tblTankTypes.Base[[#This Row],[Resource₂·TankCostMult]]</f>
        <v>0</v>
      </c>
      <c r="AD2" s="2">
        <f>tblTankTypes.Base[[#This Row],[Resource₀·Mass]] + tblTankTypes.Base[[#This Row],[Resource₁·Mass]] + tblTankTypes.Base[[#This Row],[Resource₂·Mass]]</f>
        <v>0.8</v>
      </c>
      <c r="AE2" s="2">
        <f>tblTankTypes.Base[[#This Row],[Resource₀·Cost]] + tblTankTypes.Base[[#This Row],[Resource₁·Cost]] + tblTankTypes.Base[[#This Row],[Resource₂·Cost]]</f>
        <v>0.08</v>
      </c>
      <c r="AF2" s="2">
        <f>tblTankTypes.Base[[#This Row],[Resource₀·Tank·Mass]] + tblTankTypes.Base[[#This Row],[Resource₁·Tank·Mass]] + tblTankTypes.Base[[#This Row],[Resource₂·Tank·Mass]]</f>
        <v>0.1</v>
      </c>
      <c r="AG2" s="2">
        <f>tblTankTypes.Base[[#This Row],[Tank·Mass·Dry]] + tblTankTypes.Base[[#This Row],[Resources·Mass]]</f>
        <v>0.9</v>
      </c>
      <c r="AH2" s="2">
        <f>(tblTankTypes.Base[[#This Row],[Resource₀·Tank·Cost]] + tblTankTypes.Base[[#This Row],[Resource₁·Tank·Cost]] + tblTankTypes.Base[[#This Row],[Resource₂·Tank·Cost]]) * tblTankTypes.Base[[#This Row],[TankCost·Mult]]</f>
        <v>8.0000000000000016E-2</v>
      </c>
      <c r="AI2" s="2">
        <f>tblTankTypes.Base[[#This Row],[Tank·Cost·Dry]] + tblTankTypes.Base[[#This Row],[Resources·Cost]]</f>
        <v>0.16000000000000003</v>
      </c>
      <c r="AJ2" s="13">
        <f>tblTankTypes.Base[[#This Row],[Tank·Mass·Dry]] / tblTankTypes.Base[[#This Row],[Tank·Mass·Wet]]</f>
        <v>0.11111111111111112</v>
      </c>
    </row>
    <row r="3" spans="1:36" ht="15.95" customHeight="1" x14ac:dyDescent="0.35">
      <c r="A3" s="4" t="s">
        <v>39</v>
      </c>
      <c r="B3" s="9" t="s">
        <v>6</v>
      </c>
      <c r="C3" s="7">
        <v>0.375</v>
      </c>
      <c r="D3" s="8">
        <v>0.125</v>
      </c>
      <c r="E3" s="14">
        <v>0</v>
      </c>
      <c r="F3" s="14">
        <v>1</v>
      </c>
      <c r="G3" s="9" t="s">
        <v>112</v>
      </c>
      <c r="H3" s="8">
        <v>0.625</v>
      </c>
      <c r="I3" s="8">
        <v>0.125</v>
      </c>
      <c r="J3" s="14">
        <v>0</v>
      </c>
      <c r="K3" s="14">
        <v>1</v>
      </c>
      <c r="L3" s="9" t="s">
        <v>3</v>
      </c>
      <c r="M3" s="8">
        <v>0</v>
      </c>
      <c r="N3" s="8">
        <v>0</v>
      </c>
      <c r="O3" s="14">
        <v>0</v>
      </c>
      <c r="P3" s="14">
        <v>1</v>
      </c>
      <c r="Q3" s="14">
        <v>1</v>
      </c>
      <c r="R3" s="2">
        <f>_xlfn.XLOOKUP(tblTankTypes.Base[[#This Row],[Resource₀]], tblResources[Resource], tblResources[Mass], #N/A, 0, 1) * tblTankTypes.Base[[#This Row],[Resource₀·Volume]]</f>
        <v>0.30000000000000004</v>
      </c>
      <c r="S3" s="2">
        <f>_xlfn.XLOOKUP(tblTankTypes.Base[[#This Row],[Resource₀]], tblResources[Resource], tblResources[Cost], #N/A, 0, 1) * tblTankTypes.Base[[#This Row],[Resource₀·Volume]]</f>
        <v>0.03</v>
      </c>
      <c r="T3" s="2">
        <f>tblTankTypes.Base[[#This Row],[Resource₀·Tank]] * tblTankTypes.Base[[#This Row],[Resource₀·Mass]] + tblTankTypes.Base[[#This Row],[Resource₀·Volume]] * tblTankTypes.Base[[#This Row],[Resource₀·TankMass]]</f>
        <v>3.7500000000000006E-2</v>
      </c>
      <c r="U3" s="2">
        <f>0.8 * tblTankTypes.Base[[#This Row],[Resource₀·Tank·Mass]] * tblTankTypes.Base[[#This Row],[Resource₀·TankCostMult]]</f>
        <v>3.0000000000000006E-2</v>
      </c>
      <c r="V3" s="2">
        <f>_xlfn.XLOOKUP(tblTankTypes.Base[[#This Row],[Resource₁]], tblResources[Resource], tblResources[Mass], #N/A, 0, 1) * tblTankTypes.Base[[#This Row],[Resource₁·Volume]]</f>
        <v>0.71312500000000001</v>
      </c>
      <c r="W3" s="2">
        <f>_xlfn.XLOOKUP(tblTankTypes.Base[[#This Row],[Resource₁]], tblResources[Resource], tblResources[Cost], #N/A, 0, 1) * tblTankTypes.Base[[#This Row],[Resource₁·Volume]]</f>
        <v>2.8525000000000002E-2</v>
      </c>
      <c r="X3" s="2">
        <f>tblTankTypes.Base[[#This Row],[Resource₁·Tank]] * tblTankTypes.Base[[#This Row],[Resource₁·Mass]] + tblTankTypes.Base[[#This Row],[Resource₁·Volume]] * tblTankTypes.Base[[#This Row],[Resource₁·TankMass]]</f>
        <v>8.9140625000000001E-2</v>
      </c>
      <c r="Y3" s="2">
        <f>0.8 * tblTankTypes.Base[[#This Row],[Resource₁·Tank·Mass]] * tblTankTypes.Base[[#This Row],[Resource₁·TankCostMult]]</f>
        <v>7.1312500000000001E-2</v>
      </c>
      <c r="Z3" s="2">
        <f>_xlfn.XLOOKUP(tblTankTypes.Base[[#This Row],[Resource₂]], tblResources[Resource], tblResources[Mass], #N/A, 0, 1) * tblTankTypes.Base[[#This Row],[Resource₂·Volume]]</f>
        <v>0</v>
      </c>
      <c r="AA3" s="2">
        <f>_xlfn.XLOOKUP(tblTankTypes.Base[[#This Row],[Resource₂]], tblResources[Resource], tblResources[Cost], #N/A, 0, 1) * tblTankTypes.Base[[#This Row],[Resource₂·Volume]]</f>
        <v>0</v>
      </c>
      <c r="AB3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3" s="2">
        <f>0.8 * tblTankTypes.Base[[#This Row],[Resource₂·Tank·Mass]] * tblTankTypes.Base[[#This Row],[Resource₂·TankCostMult]]</f>
        <v>0</v>
      </c>
      <c r="AD3" s="2">
        <f>tblTankTypes.Base[[#This Row],[Resource₀·Mass]] + tblTankTypes.Base[[#This Row],[Resource₁·Mass]] + tblTankTypes.Base[[#This Row],[Resource₂·Mass]]</f>
        <v>1.0131250000000001</v>
      </c>
      <c r="AE3" s="2">
        <f>tblTankTypes.Base[[#This Row],[Resource₀·Cost]] + tblTankTypes.Base[[#This Row],[Resource₁·Cost]] + tblTankTypes.Base[[#This Row],[Resource₂·Cost]]</f>
        <v>5.8525000000000001E-2</v>
      </c>
      <c r="AF3" s="2">
        <f>tblTankTypes.Base[[#This Row],[Resource₀·Tank·Mass]] + tblTankTypes.Base[[#This Row],[Resource₁·Tank·Mass]] + tblTankTypes.Base[[#This Row],[Resource₂·Tank·Mass]]</f>
        <v>0.12664062500000001</v>
      </c>
      <c r="AG3" s="2">
        <f>tblTankTypes.Base[[#This Row],[Tank·Mass·Dry]] + tblTankTypes.Base[[#This Row],[Resources·Mass]]</f>
        <v>1.1397656250000001</v>
      </c>
      <c r="AH3" s="2">
        <f>(tblTankTypes.Base[[#This Row],[Resource₀·Tank·Cost]] + tblTankTypes.Base[[#This Row],[Resource₁·Tank·Cost]] + tblTankTypes.Base[[#This Row],[Resource₂·Tank·Cost]]) * tblTankTypes.Base[[#This Row],[TankCost·Mult]]</f>
        <v>0.1013125</v>
      </c>
      <c r="AI3" s="2">
        <f>tblTankTypes.Base[[#This Row],[Tank·Cost·Dry]] + tblTankTypes.Base[[#This Row],[Resources·Cost]]</f>
        <v>0.15983749999999999</v>
      </c>
      <c r="AJ3" s="13">
        <f>tblTankTypes.Base[[#This Row],[Tank·Mass·Dry]] / tblTankTypes.Base[[#This Row],[Tank·Mass·Wet]]</f>
        <v>0.1111111111111111</v>
      </c>
    </row>
    <row r="4" spans="1:36" ht="15.95" customHeight="1" x14ac:dyDescent="0.35">
      <c r="A4" s="4" t="s">
        <v>46</v>
      </c>
      <c r="B4" s="10" t="s">
        <v>7</v>
      </c>
      <c r="C4" s="7">
        <v>0.45</v>
      </c>
      <c r="D4" s="8">
        <v>0.125</v>
      </c>
      <c r="E4" s="14">
        <v>0</v>
      </c>
      <c r="F4" s="14">
        <v>1</v>
      </c>
      <c r="G4" s="10" t="s">
        <v>8</v>
      </c>
      <c r="H4" s="8">
        <v>0.55000000000000004</v>
      </c>
      <c r="I4" s="8">
        <v>0.125</v>
      </c>
      <c r="J4" s="14">
        <v>0</v>
      </c>
      <c r="K4" s="14">
        <v>1</v>
      </c>
      <c r="L4" s="10" t="s">
        <v>3</v>
      </c>
      <c r="M4" s="8">
        <v>0</v>
      </c>
      <c r="N4" s="8">
        <v>0</v>
      </c>
      <c r="O4" s="14">
        <v>0</v>
      </c>
      <c r="P4" s="14">
        <v>1</v>
      </c>
      <c r="Q4" s="14">
        <v>1</v>
      </c>
      <c r="R4" s="2">
        <f>_xlfn.XLOOKUP(tblTankTypes.Base[[#This Row],[Resource₀]], tblResources[Resource], tblResources[Mass], #N/A, 0, 1) * tblTankTypes.Base[[#This Row],[Resource₀·Volume]]</f>
        <v>0.40500000000000003</v>
      </c>
      <c r="S4" s="2">
        <f>_xlfn.XLOOKUP(tblTankTypes.Base[[#This Row],[Resource₀]], tblResources[Resource], tblResources[Cost], #N/A, 0, 1) * tblTankTypes.Base[[#This Row],[Resource₀·Volume]]</f>
        <v>0.60750000000000004</v>
      </c>
      <c r="T4" s="2">
        <f>tblTankTypes.Base[[#This Row],[Resource₀·Tank]] * tblTankTypes.Base[[#This Row],[Resource₀·Mass]] + tblTankTypes.Base[[#This Row],[Resource₀·Volume]] * tblTankTypes.Base[[#This Row],[Resource₀·TankMass]]</f>
        <v>5.0625000000000003E-2</v>
      </c>
      <c r="U4" s="2">
        <f>0.8 * tblTankTypes.Base[[#This Row],[Resource₀·Tank·Mass]] * tblTankTypes.Base[[#This Row],[Resource₀·TankCostMult]]</f>
        <v>4.0500000000000008E-2</v>
      </c>
      <c r="V4" s="2">
        <f>_xlfn.XLOOKUP(tblTankTypes.Base[[#This Row],[Resource₁]], tblResources[Resource], tblResources[Mass], #N/A, 0, 1) * tblTankTypes.Base[[#This Row],[Resource₁·Volume]]</f>
        <v>0.74250000000000016</v>
      </c>
      <c r="W4" s="2">
        <f>_xlfn.XLOOKUP(tblTankTypes.Base[[#This Row],[Resource₁]], tblResources[Resource], tblResources[Cost], #N/A, 0, 1) * tblTankTypes.Base[[#This Row],[Resource₁·Volume]]</f>
        <v>0.11000000000000001</v>
      </c>
      <c r="X4" s="2">
        <f>tblTankTypes.Base[[#This Row],[Resource₁·Tank]] * tblTankTypes.Base[[#This Row],[Resource₁·Mass]] + tblTankTypes.Base[[#This Row],[Resource₁·Volume]] * tblTankTypes.Base[[#This Row],[Resource₁·TankMass]]</f>
        <v>9.281250000000002E-2</v>
      </c>
      <c r="Y4" s="2">
        <f>0.8 * tblTankTypes.Base[[#This Row],[Resource₁·Tank·Mass]] * tblTankTypes.Base[[#This Row],[Resource₁·TankCostMult]]</f>
        <v>7.4250000000000024E-2</v>
      </c>
      <c r="Z4" s="2">
        <f>_xlfn.XLOOKUP(tblTankTypes.Base[[#This Row],[Resource₂]], tblResources[Resource], tblResources[Mass], #N/A, 0, 1) * tblTankTypes.Base[[#This Row],[Resource₂·Volume]]</f>
        <v>0</v>
      </c>
      <c r="AA4" s="2">
        <f>_xlfn.XLOOKUP(tblTankTypes.Base[[#This Row],[Resource₂]], tblResources[Resource], tblResources[Cost], #N/A, 0, 1) * tblTankTypes.Base[[#This Row],[Resource₂·Volume]]</f>
        <v>0</v>
      </c>
      <c r="AB4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4" s="2">
        <f>0.8 * tblTankTypes.Base[[#This Row],[Resource₂·Tank·Mass]] * tblTankTypes.Base[[#This Row],[Resource₂·TankCostMult]]</f>
        <v>0</v>
      </c>
      <c r="AD4" s="2">
        <f>tblTankTypes.Base[[#This Row],[Resource₀·Mass]] + tblTankTypes.Base[[#This Row],[Resource₁·Mass]] + tblTankTypes.Base[[#This Row],[Resource₂·Mass]]</f>
        <v>1.1475000000000002</v>
      </c>
      <c r="AE4" s="2">
        <f>tblTankTypes.Base[[#This Row],[Resource₀·Cost]] + tblTankTypes.Base[[#This Row],[Resource₁·Cost]] + tblTankTypes.Base[[#This Row],[Resource₂·Cost]]</f>
        <v>0.71750000000000003</v>
      </c>
      <c r="AF4" s="2">
        <f>tblTankTypes.Base[[#This Row],[Resource₀·Tank·Mass]] + tblTankTypes.Base[[#This Row],[Resource₁·Tank·Mass]] + tblTankTypes.Base[[#This Row],[Resource₂·Tank·Mass]]</f>
        <v>0.14343750000000002</v>
      </c>
      <c r="AG4" s="2">
        <f>tblTankTypes.Base[[#This Row],[Tank·Mass·Dry]] + tblTankTypes.Base[[#This Row],[Resources·Mass]]</f>
        <v>1.2909375000000003</v>
      </c>
      <c r="AH4" s="2">
        <f>(tblTankTypes.Base[[#This Row],[Resource₀·Tank·Cost]] + tblTankTypes.Base[[#This Row],[Resource₁·Tank·Cost]] + tblTankTypes.Base[[#This Row],[Resource₂·Tank·Cost]]) * tblTankTypes.Base[[#This Row],[TankCost·Mult]]</f>
        <v>0.11475000000000003</v>
      </c>
      <c r="AI4" s="2">
        <f>tblTankTypes.Base[[#This Row],[Tank·Cost·Dry]] + tblTankTypes.Base[[#This Row],[Resources·Cost]]</f>
        <v>0.83225000000000005</v>
      </c>
      <c r="AJ4" s="13">
        <f>tblTankTypes.Base[[#This Row],[Tank·Mass·Dry]] / tblTankTypes.Base[[#This Row],[Tank·Mass·Wet]]</f>
        <v>0.1111111111111111</v>
      </c>
    </row>
    <row r="5" spans="1:36" ht="15.95" customHeight="1" x14ac:dyDescent="0.35">
      <c r="A5" s="4" t="s">
        <v>9</v>
      </c>
      <c r="B5" s="10" t="s">
        <v>9</v>
      </c>
      <c r="C5" s="7">
        <v>1</v>
      </c>
      <c r="D5" s="8">
        <v>0.125</v>
      </c>
      <c r="E5" s="14">
        <v>0</v>
      </c>
      <c r="F5" s="14">
        <v>1</v>
      </c>
      <c r="G5" s="10" t="s">
        <v>3</v>
      </c>
      <c r="H5" s="12">
        <v>0</v>
      </c>
      <c r="I5" s="12">
        <v>0</v>
      </c>
      <c r="J5" s="14">
        <v>0</v>
      </c>
      <c r="K5" s="14">
        <v>1</v>
      </c>
      <c r="L5" s="10" t="s">
        <v>3</v>
      </c>
      <c r="M5" s="12">
        <v>0</v>
      </c>
      <c r="N5" s="12">
        <v>0</v>
      </c>
      <c r="O5" s="14">
        <v>0</v>
      </c>
      <c r="P5" s="14">
        <v>1</v>
      </c>
      <c r="Q5" s="14">
        <v>1</v>
      </c>
      <c r="R5" s="2">
        <f>_xlfn.XLOOKUP(tblTankTypes.Base[[#This Row],[Resource₀]], tblResources[Resource], tblResources[Mass], #N/A, 0, 1) * tblTankTypes.Base[[#This Row],[Resource₀·Volume]]</f>
        <v>0.8</v>
      </c>
      <c r="S5" s="2">
        <f>_xlfn.XLOOKUP(tblTankTypes.Base[[#This Row],[Resource₀]], tblResources[Resource], tblResources[Cost], #N/A, 0, 1) * tblTankTypes.Base[[#This Row],[Resource₀·Volume]]</f>
        <v>0.24</v>
      </c>
      <c r="T5" s="2">
        <f>tblTankTypes.Base[[#This Row],[Resource₀·Tank]] * tblTankTypes.Base[[#This Row],[Resource₀·Mass]] + tblTankTypes.Base[[#This Row],[Resource₀·Volume]] * tblTankTypes.Base[[#This Row],[Resource₀·TankMass]]</f>
        <v>0.1</v>
      </c>
      <c r="U5" s="2">
        <f>0.8 * tblTankTypes.Base[[#This Row],[Resource₀·Tank·Mass]] * tblTankTypes.Base[[#This Row],[Resource₀·TankCostMult]]</f>
        <v>8.0000000000000016E-2</v>
      </c>
      <c r="V5" s="2">
        <f>_xlfn.XLOOKUP(tblTankTypes.Base[[#This Row],[Resource₁]], tblResources[Resource], tblResources[Mass], #N/A, 0, 1) * tblTankTypes.Base[[#This Row],[Resource₁·Volume]]</f>
        <v>0</v>
      </c>
      <c r="W5" s="2">
        <f>_xlfn.XLOOKUP(tblTankTypes.Base[[#This Row],[Resource₁]], tblResources[Resource], tblResources[Cost], #N/A, 0, 1) * tblTankTypes.Base[[#This Row],[Resource₁·Volume]]</f>
        <v>0</v>
      </c>
      <c r="X5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5" s="2">
        <f>0.8 * tblTankTypes.Base[[#This Row],[Resource₁·Tank·Mass]] * tblTankTypes.Base[[#This Row],[Resource₁·TankCostMult]]</f>
        <v>0</v>
      </c>
      <c r="Z5" s="2">
        <f>_xlfn.XLOOKUP(tblTankTypes.Base[[#This Row],[Resource₂]], tblResources[Resource], tblResources[Mass], #N/A, 0, 1) * tblTankTypes.Base[[#This Row],[Resource₂·Volume]]</f>
        <v>0</v>
      </c>
      <c r="AA5" s="2">
        <f>_xlfn.XLOOKUP(tblTankTypes.Base[[#This Row],[Resource₂]], tblResources[Resource], tblResources[Cost], #N/A, 0, 1) * tblTankTypes.Base[[#This Row],[Resource₂·Volume]]</f>
        <v>0</v>
      </c>
      <c r="AB5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5" s="2">
        <f>0.8 * tblTankTypes.Base[[#This Row],[Resource₂·Tank·Mass]] * tblTankTypes.Base[[#This Row],[Resource₂·TankCostMult]]</f>
        <v>0</v>
      </c>
      <c r="AD5" s="2">
        <f>tblTankTypes.Base[[#This Row],[Resource₀·Mass]] + tblTankTypes.Base[[#This Row],[Resource₁·Mass]] + tblTankTypes.Base[[#This Row],[Resource₂·Mass]]</f>
        <v>0.8</v>
      </c>
      <c r="AE5" s="2">
        <f>tblTankTypes.Base[[#This Row],[Resource₀·Cost]] + tblTankTypes.Base[[#This Row],[Resource₁·Cost]] + tblTankTypes.Base[[#This Row],[Resource₂·Cost]]</f>
        <v>0.24</v>
      </c>
      <c r="AF5" s="13">
        <f>tblTankTypes.Base[[#This Row],[Resource₀·Tank·Mass]] + tblTankTypes.Base[[#This Row],[Resource₁·Tank·Mass]] + tblTankTypes.Base[[#This Row],[Resource₂·Tank·Mass]]</f>
        <v>0.1</v>
      </c>
      <c r="AG5" s="2">
        <f>tblTankTypes.Base[[#This Row],[Tank·Mass·Dry]] + tblTankTypes.Base[[#This Row],[Resources·Mass]]</f>
        <v>0.9</v>
      </c>
      <c r="AH5" s="2">
        <f>(tblTankTypes.Base[[#This Row],[Resource₀·Tank·Cost]] + tblTankTypes.Base[[#This Row],[Resource₁·Tank·Cost]] + tblTankTypes.Base[[#This Row],[Resource₂·Tank·Cost]]) * tblTankTypes.Base[[#This Row],[TankCost·Mult]]</f>
        <v>8.0000000000000016E-2</v>
      </c>
      <c r="AI5" s="13">
        <f>tblTankTypes.Base[[#This Row],[Tank·Cost·Dry]] + tblTankTypes.Base[[#This Row],[Resources·Cost]]</f>
        <v>0.32</v>
      </c>
      <c r="AJ5" s="13">
        <f>tblTankTypes.Base[[#This Row],[Tank·Mass·Dry]] / tblTankTypes.Base[[#This Row],[Tank·Mass·Wet]]</f>
        <v>0.11111111111111112</v>
      </c>
    </row>
    <row r="6" spans="1:36" ht="15.95" customHeight="1" x14ac:dyDescent="0.35">
      <c r="A6" s="4" t="s">
        <v>99</v>
      </c>
      <c r="B6" s="10" t="s">
        <v>114</v>
      </c>
      <c r="C6" s="7">
        <v>1.5</v>
      </c>
      <c r="D6" s="8">
        <v>0.2</v>
      </c>
      <c r="E6" s="14">
        <v>0</v>
      </c>
      <c r="F6" s="14">
        <v>1</v>
      </c>
      <c r="G6" s="10" t="s">
        <v>3</v>
      </c>
      <c r="H6" s="8">
        <v>0</v>
      </c>
      <c r="I6" s="8">
        <v>0</v>
      </c>
      <c r="J6" s="14">
        <v>0</v>
      </c>
      <c r="K6" s="14">
        <v>1</v>
      </c>
      <c r="L6" s="10" t="s">
        <v>3</v>
      </c>
      <c r="M6" s="8">
        <v>0</v>
      </c>
      <c r="N6" s="8">
        <v>0</v>
      </c>
      <c r="O6" s="14">
        <v>0</v>
      </c>
      <c r="P6" s="14">
        <v>1</v>
      </c>
      <c r="Q6" s="14">
        <v>1</v>
      </c>
      <c r="R6" s="2">
        <f>_xlfn.XLOOKUP(tblTankTypes.Base[[#This Row],[Resource₀]], tblResources[Resource], tblResources[Mass], #N/A, 0, 1) * tblTankTypes.Base[[#This Row],[Resource₀·Volume]]</f>
        <v>0.10627499999999999</v>
      </c>
      <c r="S6" s="2">
        <f>_xlfn.XLOOKUP(tblTankTypes.Base[[#This Row],[Resource₀]], tblResources[Resource], tblResources[Cost], #N/A, 0, 1) * tblTankTypes.Base[[#This Row],[Resource₀·Volume]]</f>
        <v>5.5124999999999993E-2</v>
      </c>
      <c r="T6" s="2">
        <f>tblTankTypes.Base[[#This Row],[Resource₀·Tank]] * tblTankTypes.Base[[#This Row],[Resource₀·Mass]] + tblTankTypes.Base[[#This Row],[Resource₀·Volume]] * tblTankTypes.Base[[#This Row],[Resource₀·TankMass]]</f>
        <v>2.1255E-2</v>
      </c>
      <c r="U6" s="2">
        <f>0.8 * tblTankTypes.Base[[#This Row],[Resource₀·Tank·Mass]] * tblTankTypes.Base[[#This Row],[Resource₀·TankCostMult]]</f>
        <v>1.7004000000000002E-2</v>
      </c>
      <c r="V6" s="2">
        <f>_xlfn.XLOOKUP(tblTankTypes.Base[[#This Row],[Resource₁]], tblResources[Resource], tblResources[Mass], #N/A, 0, 1) * tblTankTypes.Base[[#This Row],[Resource₁·Volume]]</f>
        <v>0</v>
      </c>
      <c r="W6" s="2">
        <f>_xlfn.XLOOKUP(tblTankTypes.Base[[#This Row],[Resource₁]], tblResources[Resource], tblResources[Cost], #N/A, 0, 1) * tblTankTypes.Base[[#This Row],[Resource₁·Volume]]</f>
        <v>0</v>
      </c>
      <c r="X6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6" s="2">
        <f>0.8 * tblTankTypes.Base[[#This Row],[Resource₁·Tank·Mass]] * tblTankTypes.Base[[#This Row],[Resource₁·TankCostMult]]</f>
        <v>0</v>
      </c>
      <c r="Z6" s="2">
        <f>_xlfn.XLOOKUP(tblTankTypes.Base[[#This Row],[Resource₂]], tblResources[Resource], tblResources[Mass], #N/A, 0, 1) * tblTankTypes.Base[[#This Row],[Resource₂·Volume]]</f>
        <v>0</v>
      </c>
      <c r="AA6" s="2">
        <f>_xlfn.XLOOKUP(tblTankTypes.Base[[#This Row],[Resource₂]], tblResources[Resource], tblResources[Cost], #N/A, 0, 1) * tblTankTypes.Base[[#This Row],[Resource₂·Volume]]</f>
        <v>0</v>
      </c>
      <c r="AB6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6" s="2">
        <f>0.8 * tblTankTypes.Base[[#This Row],[Resource₂·Tank·Mass]] * tblTankTypes.Base[[#This Row],[Resource₂·TankCostMult]]</f>
        <v>0</v>
      </c>
      <c r="AD6" s="2">
        <f>tblTankTypes.Base[[#This Row],[Resource₀·Mass]] + tblTankTypes.Base[[#This Row],[Resource₁·Mass]] + tblTankTypes.Base[[#This Row],[Resource₂·Mass]]</f>
        <v>0.10627499999999999</v>
      </c>
      <c r="AE6" s="2">
        <f>tblTankTypes.Base[[#This Row],[Resource₀·Cost]] + tblTankTypes.Base[[#This Row],[Resource₁·Cost]] + tblTankTypes.Base[[#This Row],[Resource₂·Cost]]</f>
        <v>5.5124999999999993E-2</v>
      </c>
      <c r="AF6" s="2">
        <f>tblTankTypes.Base[[#This Row],[Resource₀·Tank·Mass]] + tblTankTypes.Base[[#This Row],[Resource₁·Tank·Mass]] + tblTankTypes.Base[[#This Row],[Resource₂·Tank·Mass]]</f>
        <v>2.1255E-2</v>
      </c>
      <c r="AG6" s="2">
        <f>tblTankTypes.Base[[#This Row],[Tank·Mass·Dry]] + tblTankTypes.Base[[#This Row],[Resources·Mass]]</f>
        <v>0.12753</v>
      </c>
      <c r="AH6" s="2">
        <f>(tblTankTypes.Base[[#This Row],[Resource₀·Tank·Cost]] + tblTankTypes.Base[[#This Row],[Resource₁·Tank·Cost]] + tblTankTypes.Base[[#This Row],[Resource₂·Tank·Cost]]) * tblTankTypes.Base[[#This Row],[TankCost·Mult]]</f>
        <v>1.7004000000000002E-2</v>
      </c>
      <c r="AI6" s="2">
        <f>tblTankTypes.Base[[#This Row],[Tank·Cost·Dry]] + tblTankTypes.Base[[#This Row],[Resources·Cost]]</f>
        <v>7.2128999999999999E-2</v>
      </c>
      <c r="AJ6" s="13">
        <f>tblTankTypes.Base[[#This Row],[Tank·Mass·Dry]] / tblTankTypes.Base[[#This Row],[Tank·Mass·Wet]]</f>
        <v>0.16666666666666666</v>
      </c>
    </row>
    <row r="7" spans="1:36" ht="15.95" customHeight="1" x14ac:dyDescent="0.35">
      <c r="A7" s="4" t="s">
        <v>48</v>
      </c>
      <c r="B7" s="10" t="s">
        <v>114</v>
      </c>
      <c r="C7" s="7">
        <v>1</v>
      </c>
      <c r="D7" s="8">
        <v>0.2</v>
      </c>
      <c r="E7" s="14">
        <v>0</v>
      </c>
      <c r="F7" s="14">
        <v>1</v>
      </c>
      <c r="G7" s="10" t="s">
        <v>112</v>
      </c>
      <c r="H7" s="8">
        <v>0.33333333333333331</v>
      </c>
      <c r="I7" s="8">
        <v>0.125</v>
      </c>
      <c r="J7" s="14">
        <v>0</v>
      </c>
      <c r="K7" s="14">
        <v>1</v>
      </c>
      <c r="L7" s="10" t="s">
        <v>3</v>
      </c>
      <c r="M7" s="8">
        <v>0</v>
      </c>
      <c r="N7" s="8">
        <v>0</v>
      </c>
      <c r="O7" s="14">
        <v>0</v>
      </c>
      <c r="P7" s="14">
        <v>1</v>
      </c>
      <c r="Q7" s="14">
        <v>1</v>
      </c>
      <c r="R7" s="2">
        <f>_xlfn.XLOOKUP(tblTankTypes.Base[[#This Row],[Resource₀]], tblResources[Resource], tblResources[Mass], #N/A, 0, 1) * tblTankTypes.Base[[#This Row],[Resource₀·Volume]]</f>
        <v>7.0849999999999996E-2</v>
      </c>
      <c r="S7" s="2">
        <f>_xlfn.XLOOKUP(tblTankTypes.Base[[#This Row],[Resource₀]], tblResources[Resource], tblResources[Cost], #N/A, 0, 1) * tblTankTypes.Base[[#This Row],[Resource₀·Volume]]</f>
        <v>3.6749999999999998E-2</v>
      </c>
      <c r="T7" s="2">
        <f>tblTankTypes.Base[[#This Row],[Resource₀·Tank]] * tblTankTypes.Base[[#This Row],[Resource₀·Mass]] + tblTankTypes.Base[[#This Row],[Resource₀·Volume]] * tblTankTypes.Base[[#This Row],[Resource₀·TankMass]]</f>
        <v>1.417E-2</v>
      </c>
      <c r="U7" s="2">
        <f>0.8 * tblTankTypes.Base[[#This Row],[Resource₀·Tank·Mass]] * tblTankTypes.Base[[#This Row],[Resource₀·TankCostMult]]</f>
        <v>1.1336000000000001E-2</v>
      </c>
      <c r="V7" s="2">
        <f>_xlfn.XLOOKUP(tblTankTypes.Base[[#This Row],[Resource₁]], tblResources[Resource], tblResources[Mass], #N/A, 0, 1) * tblTankTypes.Base[[#This Row],[Resource₁·Volume]]</f>
        <v>0.3803333333333333</v>
      </c>
      <c r="W7" s="2">
        <f>_xlfn.XLOOKUP(tblTankTypes.Base[[#This Row],[Resource₁]], tblResources[Resource], tblResources[Cost], #N/A, 0, 1) * tblTankTypes.Base[[#This Row],[Resource₁·Volume]]</f>
        <v>1.5213333333333332E-2</v>
      </c>
      <c r="X7" s="2">
        <f>tblTankTypes.Base[[#This Row],[Resource₁·Tank]] * tblTankTypes.Base[[#This Row],[Resource₁·Mass]] + tblTankTypes.Base[[#This Row],[Resource₁·Volume]] * tblTankTypes.Base[[#This Row],[Resource₁·TankMass]]</f>
        <v>4.7541666666666663E-2</v>
      </c>
      <c r="Y7" s="2">
        <f>0.8 * tblTankTypes.Base[[#This Row],[Resource₁·Tank·Mass]] * tblTankTypes.Base[[#This Row],[Resource₁·TankCostMult]]</f>
        <v>3.8033333333333336E-2</v>
      </c>
      <c r="Z7" s="2">
        <f>_xlfn.XLOOKUP(tblTankTypes.Base[[#This Row],[Resource₂]], tblResources[Resource], tblResources[Mass], #N/A, 0, 1) * tblTankTypes.Base[[#This Row],[Resource₂·Volume]]</f>
        <v>0</v>
      </c>
      <c r="AA7" s="2">
        <f>_xlfn.XLOOKUP(tblTankTypes.Base[[#This Row],[Resource₂]], tblResources[Resource], tblResources[Cost], #N/A, 0, 1) * tblTankTypes.Base[[#This Row],[Resource₂·Volume]]</f>
        <v>0</v>
      </c>
      <c r="AB7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7" s="2">
        <f>0.8 * tblTankTypes.Base[[#This Row],[Resource₂·Tank·Mass]] * tblTankTypes.Base[[#This Row],[Resource₂·TankCostMult]]</f>
        <v>0</v>
      </c>
      <c r="AD7" s="2">
        <f>tblTankTypes.Base[[#This Row],[Resource₀·Mass]] + tblTankTypes.Base[[#This Row],[Resource₁·Mass]] + tblTankTypes.Base[[#This Row],[Resource₂·Mass]]</f>
        <v>0.45118333333333327</v>
      </c>
      <c r="AE7" s="2">
        <f>tblTankTypes.Base[[#This Row],[Resource₀·Cost]] + tblTankTypes.Base[[#This Row],[Resource₁·Cost]] + tblTankTypes.Base[[#This Row],[Resource₂·Cost]]</f>
        <v>5.1963333333333334E-2</v>
      </c>
      <c r="AF7" s="2">
        <f>tblTankTypes.Base[[#This Row],[Resource₀·Tank·Mass]] + tblTankTypes.Base[[#This Row],[Resource₁·Tank·Mass]] + tblTankTypes.Base[[#This Row],[Resource₂·Tank·Mass]]</f>
        <v>6.1711666666666665E-2</v>
      </c>
      <c r="AG7" s="2">
        <f>tblTankTypes.Base[[#This Row],[Tank·Mass·Dry]] + tblTankTypes.Base[[#This Row],[Resources·Mass]]</f>
        <v>0.51289499999999988</v>
      </c>
      <c r="AH7" s="2">
        <f>(tblTankTypes.Base[[#This Row],[Resource₀·Tank·Cost]] + tblTankTypes.Base[[#This Row],[Resource₁·Tank·Cost]] + tblTankTypes.Base[[#This Row],[Resource₂·Tank·Cost]]) * tblTankTypes.Base[[#This Row],[TankCost·Mult]]</f>
        <v>4.9369333333333335E-2</v>
      </c>
      <c r="AI7" s="2">
        <f>tblTankTypes.Base[[#This Row],[Tank·Cost·Dry]] + tblTankTypes.Base[[#This Row],[Resources·Cost]]</f>
        <v>0.10133266666666667</v>
      </c>
      <c r="AJ7" s="13">
        <f>tblTankTypes.Base[[#This Row],[Tank·Mass·Dry]] / tblTankTypes.Base[[#This Row],[Tank·Mass·Wet]]</f>
        <v>0.12032027348027702</v>
      </c>
    </row>
    <row r="8" spans="1:36" ht="15.95" customHeight="1" x14ac:dyDescent="0.35">
      <c r="A8" s="4" t="s">
        <v>102</v>
      </c>
      <c r="B8" s="10" t="s">
        <v>114</v>
      </c>
      <c r="C8" s="7">
        <v>1.5</v>
      </c>
      <c r="D8" s="8">
        <v>0.2</v>
      </c>
      <c r="E8" s="14">
        <v>0</v>
      </c>
      <c r="F8" s="14">
        <v>5</v>
      </c>
      <c r="G8" s="10" t="s">
        <v>3</v>
      </c>
      <c r="H8" s="8">
        <v>0</v>
      </c>
      <c r="I8" s="8">
        <v>0</v>
      </c>
      <c r="J8" s="14">
        <v>0</v>
      </c>
      <c r="K8" s="14">
        <v>1</v>
      </c>
      <c r="L8" s="10" t="s">
        <v>3</v>
      </c>
      <c r="M8" s="8">
        <v>0</v>
      </c>
      <c r="N8" s="8">
        <v>0</v>
      </c>
      <c r="O8" s="14">
        <v>0</v>
      </c>
      <c r="P8" s="14">
        <v>1</v>
      </c>
      <c r="Q8" s="14">
        <v>1</v>
      </c>
      <c r="R8" s="2">
        <f>_xlfn.XLOOKUP(tblTankTypes.Base[[#This Row],[Resource₀]], tblResources[Resource], tblResources[Mass], #N/A, 0, 1) * tblTankTypes.Base[[#This Row],[Resource₀·Volume]]</f>
        <v>0.10627499999999999</v>
      </c>
      <c r="S8" s="2">
        <f>_xlfn.XLOOKUP(tblTankTypes.Base[[#This Row],[Resource₀]], tblResources[Resource], tblResources[Cost], #N/A, 0, 1) * tblTankTypes.Base[[#This Row],[Resource₀·Volume]]</f>
        <v>5.5124999999999993E-2</v>
      </c>
      <c r="T8" s="2">
        <f>tblTankTypes.Base[[#This Row],[Resource₀·Tank]] * tblTankTypes.Base[[#This Row],[Resource₀·Mass]] + tblTankTypes.Base[[#This Row],[Resource₀·Volume]] * tblTankTypes.Base[[#This Row],[Resource₀·TankMass]]</f>
        <v>2.1255E-2</v>
      </c>
      <c r="U8" s="2">
        <f>0.8 * tblTankTypes.Base[[#This Row],[Resource₀·Tank·Mass]] * tblTankTypes.Base[[#This Row],[Resource₀·TankCostMult]]</f>
        <v>8.5020000000000012E-2</v>
      </c>
      <c r="V8" s="2">
        <f>_xlfn.XLOOKUP(tblTankTypes.Base[[#This Row],[Resource₁]], tblResources[Resource], tblResources[Mass], #N/A, 0, 1) * tblTankTypes.Base[[#This Row],[Resource₁·Volume]]</f>
        <v>0</v>
      </c>
      <c r="W8" s="2">
        <f>_xlfn.XLOOKUP(tblTankTypes.Base[[#This Row],[Resource₁]], tblResources[Resource], tblResources[Cost], #N/A, 0, 1) * tblTankTypes.Base[[#This Row],[Resource₁·Volume]]</f>
        <v>0</v>
      </c>
      <c r="X8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8" s="2">
        <f>0.8 * tblTankTypes.Base[[#This Row],[Resource₁·Tank·Mass]] * tblTankTypes.Base[[#This Row],[Resource₁·TankCostMult]]</f>
        <v>0</v>
      </c>
      <c r="Z8" s="2">
        <f>_xlfn.XLOOKUP(tblTankTypes.Base[[#This Row],[Resource₂]], tblResources[Resource], tblResources[Mass], #N/A, 0, 1) * tblTankTypes.Base[[#This Row],[Resource₂·Volume]]</f>
        <v>0</v>
      </c>
      <c r="AA8" s="2">
        <f>_xlfn.XLOOKUP(tblTankTypes.Base[[#This Row],[Resource₂]], tblResources[Resource], tblResources[Cost], #N/A, 0, 1) * tblTankTypes.Base[[#This Row],[Resource₂·Volume]]</f>
        <v>0</v>
      </c>
      <c r="AB8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8" s="2">
        <f>0.8 * tblTankTypes.Base[[#This Row],[Resource₂·Tank·Mass]] * tblTankTypes.Base[[#This Row],[Resource₂·TankCostMult]]</f>
        <v>0</v>
      </c>
      <c r="AD8" s="2">
        <f>tblTankTypes.Base[[#This Row],[Resource₀·Mass]] + tblTankTypes.Base[[#This Row],[Resource₁·Mass]] + tblTankTypes.Base[[#This Row],[Resource₂·Mass]]</f>
        <v>0.10627499999999999</v>
      </c>
      <c r="AE8" s="2">
        <f>tblTankTypes.Base[[#This Row],[Resource₀·Cost]] + tblTankTypes.Base[[#This Row],[Resource₁·Cost]] + tblTankTypes.Base[[#This Row],[Resource₂·Cost]]</f>
        <v>5.5124999999999993E-2</v>
      </c>
      <c r="AF8" s="2">
        <f>tblTankTypes.Base[[#This Row],[Resource₀·Tank·Mass]] + tblTankTypes.Base[[#This Row],[Resource₁·Tank·Mass]] + tblTankTypes.Base[[#This Row],[Resource₂·Tank·Mass]]</f>
        <v>2.1255E-2</v>
      </c>
      <c r="AG8" s="2">
        <f>tblTankTypes.Base[[#This Row],[Tank·Mass·Dry]] + tblTankTypes.Base[[#This Row],[Resources·Mass]]</f>
        <v>0.12753</v>
      </c>
      <c r="AH8" s="2">
        <f>(tblTankTypes.Base[[#This Row],[Resource₀·Tank·Cost]] + tblTankTypes.Base[[#This Row],[Resource₁·Tank·Cost]] + tblTankTypes.Base[[#This Row],[Resource₂·Tank·Cost]]) * tblTankTypes.Base[[#This Row],[TankCost·Mult]]</f>
        <v>8.5020000000000012E-2</v>
      </c>
      <c r="AI8" s="2">
        <f>tblTankTypes.Base[[#This Row],[Tank·Cost·Dry]] + tblTankTypes.Base[[#This Row],[Resources·Cost]]</f>
        <v>0.14014500000000002</v>
      </c>
      <c r="AJ8" s="13">
        <f>tblTankTypes.Base[[#This Row],[Tank·Mass·Dry]] / tblTankTypes.Base[[#This Row],[Tank·Mass·Wet]]</f>
        <v>0.16666666666666666</v>
      </c>
    </row>
    <row r="9" spans="1:36" ht="15.95" customHeight="1" x14ac:dyDescent="0.35">
      <c r="A9" s="4" t="s">
        <v>149</v>
      </c>
      <c r="B9" s="10" t="s">
        <v>114</v>
      </c>
      <c r="C9" s="7">
        <v>1</v>
      </c>
      <c r="D9" s="8">
        <v>0.2</v>
      </c>
      <c r="E9" s="14">
        <v>0</v>
      </c>
      <c r="F9" s="14">
        <v>5</v>
      </c>
      <c r="G9" s="10" t="s">
        <v>112</v>
      </c>
      <c r="H9" s="8">
        <v>0.33333333333333331</v>
      </c>
      <c r="I9" s="8">
        <v>0.125</v>
      </c>
      <c r="J9" s="14">
        <v>0</v>
      </c>
      <c r="K9" s="14">
        <v>1</v>
      </c>
      <c r="L9" s="10" t="s">
        <v>3</v>
      </c>
      <c r="M9" s="8">
        <v>0</v>
      </c>
      <c r="N9" s="8">
        <v>0</v>
      </c>
      <c r="O9" s="14">
        <v>0</v>
      </c>
      <c r="P9" s="14">
        <v>1</v>
      </c>
      <c r="Q9" s="14">
        <v>1</v>
      </c>
      <c r="R9" s="2">
        <f>_xlfn.XLOOKUP(tblTankTypes.Base[[#This Row],[Resource₀]], tblResources[Resource], tblResources[Mass], #N/A, 0, 1) * tblTankTypes.Base[[#This Row],[Resource₀·Volume]]</f>
        <v>7.0849999999999996E-2</v>
      </c>
      <c r="S9" s="2">
        <f>_xlfn.XLOOKUP(tblTankTypes.Base[[#This Row],[Resource₀]], tblResources[Resource], tblResources[Cost], #N/A, 0, 1) * tblTankTypes.Base[[#This Row],[Resource₀·Volume]]</f>
        <v>3.6749999999999998E-2</v>
      </c>
      <c r="T9" s="2">
        <f>tblTankTypes.Base[[#This Row],[Resource₀·Tank]] * tblTankTypes.Base[[#This Row],[Resource₀·Mass]] + tblTankTypes.Base[[#This Row],[Resource₀·Volume]] * tblTankTypes.Base[[#This Row],[Resource₀·TankMass]]</f>
        <v>1.417E-2</v>
      </c>
      <c r="U9" s="2">
        <f>0.8 * tblTankTypes.Base[[#This Row],[Resource₀·Tank·Mass]] * tblTankTypes.Base[[#This Row],[Resource₀·TankCostMult]]</f>
        <v>5.6680000000000001E-2</v>
      </c>
      <c r="V9" s="2">
        <f>_xlfn.XLOOKUP(tblTankTypes.Base[[#This Row],[Resource₁]], tblResources[Resource], tblResources[Mass], #N/A, 0, 1) * tblTankTypes.Base[[#This Row],[Resource₁·Volume]]</f>
        <v>0.3803333333333333</v>
      </c>
      <c r="W9" s="2">
        <f>_xlfn.XLOOKUP(tblTankTypes.Base[[#This Row],[Resource₁]], tblResources[Resource], tblResources[Cost], #N/A, 0, 1) * tblTankTypes.Base[[#This Row],[Resource₁·Volume]]</f>
        <v>1.5213333333333332E-2</v>
      </c>
      <c r="X9" s="2">
        <f>tblTankTypes.Base[[#This Row],[Resource₁·Tank]] * tblTankTypes.Base[[#This Row],[Resource₁·Mass]] + tblTankTypes.Base[[#This Row],[Resource₁·Volume]] * tblTankTypes.Base[[#This Row],[Resource₁·TankMass]]</f>
        <v>4.7541666666666663E-2</v>
      </c>
      <c r="Y9" s="2">
        <f>0.8 * tblTankTypes.Base[[#This Row],[Resource₁·Tank·Mass]] * tblTankTypes.Base[[#This Row],[Resource₁·TankCostMult]]</f>
        <v>3.8033333333333336E-2</v>
      </c>
      <c r="Z9" s="2">
        <f>_xlfn.XLOOKUP(tblTankTypes.Base[[#This Row],[Resource₂]], tblResources[Resource], tblResources[Mass], #N/A, 0, 1) * tblTankTypes.Base[[#This Row],[Resource₂·Volume]]</f>
        <v>0</v>
      </c>
      <c r="AA9" s="2">
        <f>_xlfn.XLOOKUP(tblTankTypes.Base[[#This Row],[Resource₂]], tblResources[Resource], tblResources[Cost], #N/A, 0, 1) * tblTankTypes.Base[[#This Row],[Resource₂·Volume]]</f>
        <v>0</v>
      </c>
      <c r="AB9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9" s="2">
        <f>0.8 * tblTankTypes.Base[[#This Row],[Resource₂·Tank·Mass]] * tblTankTypes.Base[[#This Row],[Resource₂·TankCostMult]]</f>
        <v>0</v>
      </c>
      <c r="AD9" s="2">
        <f>tblTankTypes.Base[[#This Row],[Resource₀·Mass]] + tblTankTypes.Base[[#This Row],[Resource₁·Mass]] + tblTankTypes.Base[[#This Row],[Resource₂·Mass]]</f>
        <v>0.45118333333333327</v>
      </c>
      <c r="AE9" s="2">
        <f>tblTankTypes.Base[[#This Row],[Resource₀·Cost]] + tblTankTypes.Base[[#This Row],[Resource₁·Cost]] + tblTankTypes.Base[[#This Row],[Resource₂·Cost]]</f>
        <v>5.1963333333333334E-2</v>
      </c>
      <c r="AF9" s="2">
        <f>tblTankTypes.Base[[#This Row],[Resource₀·Tank·Mass]] + tblTankTypes.Base[[#This Row],[Resource₁·Tank·Mass]] + tblTankTypes.Base[[#This Row],[Resource₂·Tank·Mass]]</f>
        <v>6.1711666666666665E-2</v>
      </c>
      <c r="AG9" s="2">
        <f>tblTankTypes.Base[[#This Row],[Tank·Mass·Dry]] + tblTankTypes.Base[[#This Row],[Resources·Mass]]</f>
        <v>0.51289499999999988</v>
      </c>
      <c r="AH9" s="2">
        <f>(tblTankTypes.Base[[#This Row],[Resource₀·Tank·Cost]] + tblTankTypes.Base[[#This Row],[Resource₁·Tank·Cost]] + tblTankTypes.Base[[#This Row],[Resource₂·Tank·Cost]]) * tblTankTypes.Base[[#This Row],[TankCost·Mult]]</f>
        <v>9.4713333333333344E-2</v>
      </c>
      <c r="AI9" s="2">
        <f>tblTankTypes.Base[[#This Row],[Tank·Cost·Dry]] + tblTankTypes.Base[[#This Row],[Resources·Cost]]</f>
        <v>0.14667666666666668</v>
      </c>
      <c r="AJ9" s="13">
        <f>tblTankTypes.Base[[#This Row],[Tank·Mass·Dry]] / tblTankTypes.Base[[#This Row],[Tank·Mass·Wet]]</f>
        <v>0.12032027348027702</v>
      </c>
    </row>
    <row r="10" spans="1:36" ht="15.95" customHeight="1" x14ac:dyDescent="0.35">
      <c r="A10" s="4" t="s">
        <v>100</v>
      </c>
      <c r="B10" s="11" t="s">
        <v>115</v>
      </c>
      <c r="C10" s="7">
        <v>1.3333333333333333</v>
      </c>
      <c r="D10" s="8">
        <v>0.2</v>
      </c>
      <c r="E10" s="14">
        <v>0</v>
      </c>
      <c r="F10" s="14">
        <v>1</v>
      </c>
      <c r="G10" s="10" t="s">
        <v>3</v>
      </c>
      <c r="H10" s="8">
        <v>0</v>
      </c>
      <c r="I10" s="8">
        <v>0</v>
      </c>
      <c r="J10" s="14">
        <v>0</v>
      </c>
      <c r="K10" s="14">
        <v>1</v>
      </c>
      <c r="L10" s="10" t="s">
        <v>3</v>
      </c>
      <c r="M10" s="8">
        <v>0</v>
      </c>
      <c r="N10" s="8">
        <v>0</v>
      </c>
      <c r="O10" s="14">
        <v>0</v>
      </c>
      <c r="P10" s="14">
        <v>1</v>
      </c>
      <c r="Q10" s="14">
        <v>1</v>
      </c>
      <c r="R10" s="2">
        <f>_xlfn.XLOOKUP(tblTankTypes.Base[[#This Row],[Resource₀]], tblResources[Resource], tblResources[Mass], #N/A, 0, 1) * tblTankTypes.Base[[#This Row],[Resource₀·Volume]]</f>
        <v>0.56747999999999998</v>
      </c>
      <c r="S10" s="2">
        <f>_xlfn.XLOOKUP(tblTankTypes.Base[[#This Row],[Resource₀]], tblResources[Resource], tblResources[Cost], #N/A, 0, 1) * tblTankTypes.Base[[#This Row],[Resource₀·Volume]]</f>
        <v>0.6</v>
      </c>
      <c r="T10" s="2">
        <f>tblTankTypes.Base[[#This Row],[Resource₀·Tank]] * tblTankTypes.Base[[#This Row],[Resource₀·Mass]] + tblTankTypes.Base[[#This Row],[Resource₀·Volume]] * tblTankTypes.Base[[#This Row],[Resource₀·TankMass]]</f>
        <v>0.113496</v>
      </c>
      <c r="U10" s="2">
        <f>0.8 * tblTankTypes.Base[[#This Row],[Resource₀·Tank·Mass]] * tblTankTypes.Base[[#This Row],[Resource₀·TankCostMult]]</f>
        <v>9.0796800000000011E-2</v>
      </c>
      <c r="V10" s="2">
        <f>_xlfn.XLOOKUP(tblTankTypes.Base[[#This Row],[Resource₁]], tblResources[Resource], tblResources[Mass], #N/A, 0, 1) * tblTankTypes.Base[[#This Row],[Resource₁·Volume]]</f>
        <v>0</v>
      </c>
      <c r="W10" s="2">
        <f>_xlfn.XLOOKUP(tblTankTypes.Base[[#This Row],[Resource₁]], tblResources[Resource], tblResources[Cost], #N/A, 0, 1) * tblTankTypes.Base[[#This Row],[Resource₁·Volume]]</f>
        <v>0</v>
      </c>
      <c r="X10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0" s="2">
        <f>0.8 * tblTankTypes.Base[[#This Row],[Resource₁·Tank·Mass]] * tblTankTypes.Base[[#This Row],[Resource₁·TankCostMult]]</f>
        <v>0</v>
      </c>
      <c r="Z10" s="2">
        <f>_xlfn.XLOOKUP(tblTankTypes.Base[[#This Row],[Resource₂]], tblResources[Resource], tblResources[Mass], #N/A, 0, 1) * tblTankTypes.Base[[#This Row],[Resource₂·Volume]]</f>
        <v>0</v>
      </c>
      <c r="AA10" s="2">
        <f>_xlfn.XLOOKUP(tblTankTypes.Base[[#This Row],[Resource₂]], tblResources[Resource], tblResources[Cost], #N/A, 0, 1) * tblTankTypes.Base[[#This Row],[Resource₂·Volume]]</f>
        <v>0</v>
      </c>
      <c r="AB10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0" s="2">
        <f>0.8 * tblTankTypes.Base[[#This Row],[Resource₂·Tank·Mass]] * tblTankTypes.Base[[#This Row],[Resource₂·TankCostMult]]</f>
        <v>0</v>
      </c>
      <c r="AD10" s="2">
        <f>tblTankTypes.Base[[#This Row],[Resource₀·Mass]] + tblTankTypes.Base[[#This Row],[Resource₁·Mass]] + tblTankTypes.Base[[#This Row],[Resource₂·Mass]]</f>
        <v>0.56747999999999998</v>
      </c>
      <c r="AE10" s="2">
        <f>tblTankTypes.Base[[#This Row],[Resource₀·Cost]] + tblTankTypes.Base[[#This Row],[Resource₁·Cost]] + tblTankTypes.Base[[#This Row],[Resource₂·Cost]]</f>
        <v>0.6</v>
      </c>
      <c r="AF10" s="2">
        <f>tblTankTypes.Base[[#This Row],[Resource₀·Tank·Mass]] + tblTankTypes.Base[[#This Row],[Resource₁·Tank·Mass]] + tblTankTypes.Base[[#This Row],[Resource₂·Tank·Mass]]</f>
        <v>0.113496</v>
      </c>
      <c r="AG10" s="2">
        <f>tblTankTypes.Base[[#This Row],[Tank·Mass·Dry]] + tblTankTypes.Base[[#This Row],[Resources·Mass]]</f>
        <v>0.68097600000000003</v>
      </c>
      <c r="AH10" s="2">
        <f>(tblTankTypes.Base[[#This Row],[Resource₀·Tank·Cost]] + tblTankTypes.Base[[#This Row],[Resource₁·Tank·Cost]] + tblTankTypes.Base[[#This Row],[Resource₂·Tank·Cost]]) * tblTankTypes.Base[[#This Row],[TankCost·Mult]]</f>
        <v>9.0796800000000011E-2</v>
      </c>
      <c r="AI10" s="2">
        <f>tblTankTypes.Base[[#This Row],[Tank·Cost·Dry]] + tblTankTypes.Base[[#This Row],[Resources·Cost]]</f>
        <v>0.69079679999999999</v>
      </c>
      <c r="AJ10" s="13">
        <f>tblTankTypes.Base[[#This Row],[Tank·Mass·Dry]] / tblTankTypes.Base[[#This Row],[Tank·Mass·Wet]]</f>
        <v>0.16666666666666666</v>
      </c>
    </row>
    <row r="11" spans="1:36" ht="15.95" customHeight="1" x14ac:dyDescent="0.35">
      <c r="A11" s="4" t="s">
        <v>50</v>
      </c>
      <c r="B11" s="9" t="s">
        <v>115</v>
      </c>
      <c r="C11" s="7">
        <v>0.44444444444444442</v>
      </c>
      <c r="D11" s="8">
        <v>0.2</v>
      </c>
      <c r="E11" s="14">
        <v>0</v>
      </c>
      <c r="F11" s="14">
        <v>1</v>
      </c>
      <c r="G11" s="9" t="s">
        <v>112</v>
      </c>
      <c r="H11" s="8">
        <v>0.66666666666666663</v>
      </c>
      <c r="I11" s="8">
        <v>0.125</v>
      </c>
      <c r="J11" s="14">
        <v>0</v>
      </c>
      <c r="K11" s="14">
        <v>1</v>
      </c>
      <c r="L11" s="9" t="s">
        <v>3</v>
      </c>
      <c r="M11" s="8">
        <v>0</v>
      </c>
      <c r="N11" s="8">
        <v>0</v>
      </c>
      <c r="O11" s="14">
        <v>0</v>
      </c>
      <c r="P11" s="14">
        <v>1</v>
      </c>
      <c r="Q11" s="14">
        <v>1</v>
      </c>
      <c r="R11" s="2">
        <f>_xlfn.XLOOKUP(tblTankTypes.Base[[#This Row],[Resource₀]], tblResources[Resource], tblResources[Mass], #N/A, 0, 1) * tblTankTypes.Base[[#This Row],[Resource₀·Volume]]</f>
        <v>0.18915999999999999</v>
      </c>
      <c r="S11" s="2">
        <f>_xlfn.XLOOKUP(tblTankTypes.Base[[#This Row],[Resource₀]], tblResources[Resource], tblResources[Cost], #N/A, 0, 1) * tblTankTypes.Base[[#This Row],[Resource₀·Volume]]</f>
        <v>0.19999999999999998</v>
      </c>
      <c r="T11" s="2">
        <f>tblTankTypes.Base[[#This Row],[Resource₀·Tank]] * tblTankTypes.Base[[#This Row],[Resource₀·Mass]] + tblTankTypes.Base[[#This Row],[Resource₀·Volume]] * tblTankTypes.Base[[#This Row],[Resource₀·TankMass]]</f>
        <v>3.7832000000000005E-2</v>
      </c>
      <c r="U11" s="2">
        <f>0.8 * tblTankTypes.Base[[#This Row],[Resource₀·Tank·Mass]] * tblTankTypes.Base[[#This Row],[Resource₀·TankCostMult]]</f>
        <v>3.0265600000000004E-2</v>
      </c>
      <c r="V11" s="2">
        <f>_xlfn.XLOOKUP(tblTankTypes.Base[[#This Row],[Resource₁]], tblResources[Resource], tblResources[Mass], #N/A, 0, 1) * tblTankTypes.Base[[#This Row],[Resource₁·Volume]]</f>
        <v>0.7606666666666666</v>
      </c>
      <c r="W11" s="2">
        <f>_xlfn.XLOOKUP(tblTankTypes.Base[[#This Row],[Resource₁]], tblResources[Resource], tblResources[Cost], #N/A, 0, 1) * tblTankTypes.Base[[#This Row],[Resource₁·Volume]]</f>
        <v>3.0426666666666664E-2</v>
      </c>
      <c r="X11" s="2">
        <f>tblTankTypes.Base[[#This Row],[Resource₁·Tank]] * tblTankTypes.Base[[#This Row],[Resource₁·Mass]] + tblTankTypes.Base[[#This Row],[Resource₁·Volume]] * tblTankTypes.Base[[#This Row],[Resource₁·TankMass]]</f>
        <v>9.5083333333333325E-2</v>
      </c>
      <c r="Y11" s="2">
        <f>0.8 * tblTankTypes.Base[[#This Row],[Resource₁·Tank·Mass]] * tblTankTypes.Base[[#This Row],[Resource₁·TankCostMult]]</f>
        <v>7.6066666666666671E-2</v>
      </c>
      <c r="Z11" s="2">
        <f>_xlfn.XLOOKUP(tblTankTypes.Base[[#This Row],[Resource₂]], tblResources[Resource], tblResources[Mass], #N/A, 0, 1) * tblTankTypes.Base[[#This Row],[Resource₂·Volume]]</f>
        <v>0</v>
      </c>
      <c r="AA11" s="2">
        <f>_xlfn.XLOOKUP(tblTankTypes.Base[[#This Row],[Resource₂]], tblResources[Resource], tblResources[Cost], #N/A, 0, 1) * tblTankTypes.Base[[#This Row],[Resource₂·Volume]]</f>
        <v>0</v>
      </c>
      <c r="AB11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1" s="2">
        <f>0.8 * tblTankTypes.Base[[#This Row],[Resource₂·Tank·Mass]] * tblTankTypes.Base[[#This Row],[Resource₂·TankCostMult]]</f>
        <v>0</v>
      </c>
      <c r="AD11" s="2">
        <f>tblTankTypes.Base[[#This Row],[Resource₀·Mass]] + tblTankTypes.Base[[#This Row],[Resource₁·Mass]] + tblTankTypes.Base[[#This Row],[Resource₂·Mass]]</f>
        <v>0.9498266666666666</v>
      </c>
      <c r="AE11" s="2">
        <f>tblTankTypes.Base[[#This Row],[Resource₀·Cost]] + tblTankTypes.Base[[#This Row],[Resource₁·Cost]] + tblTankTypes.Base[[#This Row],[Resource₂·Cost]]</f>
        <v>0.23042666666666664</v>
      </c>
      <c r="AF11" s="13">
        <f>tblTankTypes.Base[[#This Row],[Resource₀·Tank·Mass]] + tblTankTypes.Base[[#This Row],[Resource₁·Tank·Mass]] + tblTankTypes.Base[[#This Row],[Resource₂·Tank·Mass]]</f>
        <v>0.13291533333333333</v>
      </c>
      <c r="AG11" s="2">
        <f>tblTankTypes.Base[[#This Row],[Tank·Mass·Dry]] + tblTankTypes.Base[[#This Row],[Resources·Mass]]</f>
        <v>1.0827419999999999</v>
      </c>
      <c r="AH11" s="2">
        <f>(tblTankTypes.Base[[#This Row],[Resource₀·Tank·Cost]] + tblTankTypes.Base[[#This Row],[Resource₁·Tank·Cost]] + tblTankTypes.Base[[#This Row],[Resource₂·Tank·Cost]]) * tblTankTypes.Base[[#This Row],[TankCost·Mult]]</f>
        <v>0.10633226666666667</v>
      </c>
      <c r="AI11" s="13">
        <f>tblTankTypes.Base[[#This Row],[Tank·Cost·Dry]] + tblTankTypes.Base[[#This Row],[Resources·Cost]]</f>
        <v>0.33675893333333329</v>
      </c>
      <c r="AJ11" s="13">
        <f>tblTankTypes.Base[[#This Row],[Tank·Mass·Dry]] / tblTankTypes.Base[[#This Row],[Tank·Mass·Wet]]</f>
        <v>0.12275808395105514</v>
      </c>
    </row>
    <row r="12" spans="1:36" ht="15.95" customHeight="1" x14ac:dyDescent="0.35">
      <c r="A12" s="4" t="s">
        <v>104</v>
      </c>
      <c r="B12" s="11" t="s">
        <v>115</v>
      </c>
      <c r="C12" s="7">
        <v>1.3333333333333333</v>
      </c>
      <c r="D12" s="8">
        <v>0.2</v>
      </c>
      <c r="E12" s="14">
        <v>0</v>
      </c>
      <c r="F12" s="14">
        <v>5</v>
      </c>
      <c r="G12" s="10" t="s">
        <v>3</v>
      </c>
      <c r="H12" s="8">
        <v>0</v>
      </c>
      <c r="I12" s="8">
        <v>0</v>
      </c>
      <c r="J12" s="14">
        <v>0</v>
      </c>
      <c r="K12" s="14">
        <v>1</v>
      </c>
      <c r="L12" s="10" t="s">
        <v>3</v>
      </c>
      <c r="M12" s="8">
        <v>0</v>
      </c>
      <c r="N12" s="8">
        <v>0</v>
      </c>
      <c r="O12" s="14">
        <v>0</v>
      </c>
      <c r="P12" s="14">
        <v>1</v>
      </c>
      <c r="Q12" s="14">
        <v>1</v>
      </c>
      <c r="R12" s="2">
        <f>_xlfn.XLOOKUP(tblTankTypes.Base[[#This Row],[Resource₀]], tblResources[Resource], tblResources[Mass], #N/A, 0, 1) * tblTankTypes.Base[[#This Row],[Resource₀·Volume]]</f>
        <v>0.56747999999999998</v>
      </c>
      <c r="S12" s="2">
        <f>_xlfn.XLOOKUP(tblTankTypes.Base[[#This Row],[Resource₀]], tblResources[Resource], tblResources[Cost], #N/A, 0, 1) * tblTankTypes.Base[[#This Row],[Resource₀·Volume]]</f>
        <v>0.6</v>
      </c>
      <c r="T12" s="2">
        <f>tblTankTypes.Base[[#This Row],[Resource₀·Tank]] * tblTankTypes.Base[[#This Row],[Resource₀·Mass]] + tblTankTypes.Base[[#This Row],[Resource₀·Volume]] * tblTankTypes.Base[[#This Row],[Resource₀·TankMass]]</f>
        <v>0.113496</v>
      </c>
      <c r="U12" s="2">
        <f>0.8 * tblTankTypes.Base[[#This Row],[Resource₀·Tank·Mass]] * tblTankTypes.Base[[#This Row],[Resource₀·TankCostMult]]</f>
        <v>0.45398400000000005</v>
      </c>
      <c r="V12" s="2">
        <f>_xlfn.XLOOKUP(tblTankTypes.Base[[#This Row],[Resource₁]], tblResources[Resource], tblResources[Mass], #N/A, 0, 1) * tblTankTypes.Base[[#This Row],[Resource₁·Volume]]</f>
        <v>0</v>
      </c>
      <c r="W12" s="2">
        <f>_xlfn.XLOOKUP(tblTankTypes.Base[[#This Row],[Resource₁]], tblResources[Resource], tblResources[Cost], #N/A, 0, 1) * tblTankTypes.Base[[#This Row],[Resource₁·Volume]]</f>
        <v>0</v>
      </c>
      <c r="X12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2" s="2">
        <f>0.8 * tblTankTypes.Base[[#This Row],[Resource₁·Tank·Mass]] * tblTankTypes.Base[[#This Row],[Resource₁·TankCostMult]]</f>
        <v>0</v>
      </c>
      <c r="Z12" s="2">
        <f>_xlfn.XLOOKUP(tblTankTypes.Base[[#This Row],[Resource₂]], tblResources[Resource], tblResources[Mass], #N/A, 0, 1) * tblTankTypes.Base[[#This Row],[Resource₂·Volume]]</f>
        <v>0</v>
      </c>
      <c r="AA12" s="2">
        <f>_xlfn.XLOOKUP(tblTankTypes.Base[[#This Row],[Resource₂]], tblResources[Resource], tblResources[Cost], #N/A, 0, 1) * tblTankTypes.Base[[#This Row],[Resource₂·Volume]]</f>
        <v>0</v>
      </c>
      <c r="AB12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2" s="2">
        <f>0.8 * tblTankTypes.Base[[#This Row],[Resource₂·Tank·Mass]] * tblTankTypes.Base[[#This Row],[Resource₂·TankCostMult]]</f>
        <v>0</v>
      </c>
      <c r="AD12" s="2">
        <f>tblTankTypes.Base[[#This Row],[Resource₀·Mass]] + tblTankTypes.Base[[#This Row],[Resource₁·Mass]] + tblTankTypes.Base[[#This Row],[Resource₂·Mass]]</f>
        <v>0.56747999999999998</v>
      </c>
      <c r="AE12" s="2">
        <f>tblTankTypes.Base[[#This Row],[Resource₀·Cost]] + tblTankTypes.Base[[#This Row],[Resource₁·Cost]] + tblTankTypes.Base[[#This Row],[Resource₂·Cost]]</f>
        <v>0.6</v>
      </c>
      <c r="AF12" s="2">
        <f>tblTankTypes.Base[[#This Row],[Resource₀·Tank·Mass]] + tblTankTypes.Base[[#This Row],[Resource₁·Tank·Mass]] + tblTankTypes.Base[[#This Row],[Resource₂·Tank·Mass]]</f>
        <v>0.113496</v>
      </c>
      <c r="AG12" s="2">
        <f>tblTankTypes.Base[[#This Row],[Tank·Mass·Dry]] + tblTankTypes.Base[[#This Row],[Resources·Mass]]</f>
        <v>0.68097600000000003</v>
      </c>
      <c r="AH12" s="2">
        <f>(tblTankTypes.Base[[#This Row],[Resource₀·Tank·Cost]] + tblTankTypes.Base[[#This Row],[Resource₁·Tank·Cost]] + tblTankTypes.Base[[#This Row],[Resource₂·Tank·Cost]]) * tblTankTypes.Base[[#This Row],[TankCost·Mult]]</f>
        <v>0.45398400000000005</v>
      </c>
      <c r="AI12" s="2">
        <f>tblTankTypes.Base[[#This Row],[Tank·Cost·Dry]] + tblTankTypes.Base[[#This Row],[Resources·Cost]]</f>
        <v>1.053984</v>
      </c>
      <c r="AJ12" s="13">
        <f>tblTankTypes.Base[[#This Row],[Tank·Mass·Dry]] / tblTankTypes.Base[[#This Row],[Tank·Mass·Wet]]</f>
        <v>0.16666666666666666</v>
      </c>
    </row>
    <row r="13" spans="1:36" ht="15.95" customHeight="1" x14ac:dyDescent="0.35">
      <c r="A13" s="4" t="s">
        <v>150</v>
      </c>
      <c r="B13" s="9" t="s">
        <v>115</v>
      </c>
      <c r="C13" s="7">
        <v>0.44444444444444442</v>
      </c>
      <c r="D13" s="8">
        <v>0.2</v>
      </c>
      <c r="E13" s="14">
        <v>0</v>
      </c>
      <c r="F13" s="14">
        <v>5</v>
      </c>
      <c r="G13" s="9" t="s">
        <v>112</v>
      </c>
      <c r="H13" s="8">
        <v>0.66666666666666663</v>
      </c>
      <c r="I13" s="8">
        <v>0.125</v>
      </c>
      <c r="J13" s="14">
        <v>0</v>
      </c>
      <c r="K13" s="14">
        <v>1</v>
      </c>
      <c r="L13" s="9" t="s">
        <v>3</v>
      </c>
      <c r="M13" s="8">
        <v>0</v>
      </c>
      <c r="N13" s="8">
        <v>0</v>
      </c>
      <c r="O13" s="14">
        <v>0</v>
      </c>
      <c r="P13" s="14">
        <v>1</v>
      </c>
      <c r="Q13" s="14">
        <v>1</v>
      </c>
      <c r="R13" s="2">
        <f>_xlfn.XLOOKUP(tblTankTypes.Base[[#This Row],[Resource₀]], tblResources[Resource], tblResources[Mass], #N/A, 0, 1) * tblTankTypes.Base[[#This Row],[Resource₀·Volume]]</f>
        <v>0.18915999999999999</v>
      </c>
      <c r="S13" s="2">
        <f>_xlfn.XLOOKUP(tblTankTypes.Base[[#This Row],[Resource₀]], tblResources[Resource], tblResources[Cost], #N/A, 0, 1) * tblTankTypes.Base[[#This Row],[Resource₀·Volume]]</f>
        <v>0.19999999999999998</v>
      </c>
      <c r="T13" s="2">
        <f>tblTankTypes.Base[[#This Row],[Resource₀·Tank]] * tblTankTypes.Base[[#This Row],[Resource₀·Mass]] + tblTankTypes.Base[[#This Row],[Resource₀·Volume]] * tblTankTypes.Base[[#This Row],[Resource₀·TankMass]]</f>
        <v>3.7832000000000005E-2</v>
      </c>
      <c r="U13" s="2">
        <f>0.8 * tblTankTypes.Base[[#This Row],[Resource₀·Tank·Mass]] * tblTankTypes.Base[[#This Row],[Resource₀·TankCostMult]]</f>
        <v>0.15132800000000002</v>
      </c>
      <c r="V13" s="2">
        <f>_xlfn.XLOOKUP(tblTankTypes.Base[[#This Row],[Resource₁]], tblResources[Resource], tblResources[Mass], #N/A, 0, 1) * tblTankTypes.Base[[#This Row],[Resource₁·Volume]]</f>
        <v>0.7606666666666666</v>
      </c>
      <c r="W13" s="2">
        <f>_xlfn.XLOOKUP(tblTankTypes.Base[[#This Row],[Resource₁]], tblResources[Resource], tblResources[Cost], #N/A, 0, 1) * tblTankTypes.Base[[#This Row],[Resource₁·Volume]]</f>
        <v>3.0426666666666664E-2</v>
      </c>
      <c r="X13" s="2">
        <f>tblTankTypes.Base[[#This Row],[Resource₁·Tank]] * tblTankTypes.Base[[#This Row],[Resource₁·Mass]] + tblTankTypes.Base[[#This Row],[Resource₁·Volume]] * tblTankTypes.Base[[#This Row],[Resource₁·TankMass]]</f>
        <v>9.5083333333333325E-2</v>
      </c>
      <c r="Y13" s="2">
        <f>0.8 * tblTankTypes.Base[[#This Row],[Resource₁·Tank·Mass]] * tblTankTypes.Base[[#This Row],[Resource₁·TankCostMult]]</f>
        <v>7.6066666666666671E-2</v>
      </c>
      <c r="Z13" s="2">
        <f>_xlfn.XLOOKUP(tblTankTypes.Base[[#This Row],[Resource₂]], tblResources[Resource], tblResources[Mass], #N/A, 0, 1) * tblTankTypes.Base[[#This Row],[Resource₂·Volume]]</f>
        <v>0</v>
      </c>
      <c r="AA13" s="2">
        <f>_xlfn.XLOOKUP(tblTankTypes.Base[[#This Row],[Resource₂]], tblResources[Resource], tblResources[Cost], #N/A, 0, 1) * tblTankTypes.Base[[#This Row],[Resource₂·Volume]]</f>
        <v>0</v>
      </c>
      <c r="AB13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3" s="2">
        <f>0.8 * tblTankTypes.Base[[#This Row],[Resource₂·Tank·Mass]] * tblTankTypes.Base[[#This Row],[Resource₂·TankCostMult]]</f>
        <v>0</v>
      </c>
      <c r="AD13" s="2">
        <f>tblTankTypes.Base[[#This Row],[Resource₀·Mass]] + tblTankTypes.Base[[#This Row],[Resource₁·Mass]] + tblTankTypes.Base[[#This Row],[Resource₂·Mass]]</f>
        <v>0.9498266666666666</v>
      </c>
      <c r="AE13" s="2">
        <f>tblTankTypes.Base[[#This Row],[Resource₀·Cost]] + tblTankTypes.Base[[#This Row],[Resource₁·Cost]] + tblTankTypes.Base[[#This Row],[Resource₂·Cost]]</f>
        <v>0.23042666666666664</v>
      </c>
      <c r="AF13" s="13">
        <f>tblTankTypes.Base[[#This Row],[Resource₀·Tank·Mass]] + tblTankTypes.Base[[#This Row],[Resource₁·Tank·Mass]] + tblTankTypes.Base[[#This Row],[Resource₂·Tank·Mass]]</f>
        <v>0.13291533333333333</v>
      </c>
      <c r="AG13" s="2">
        <f>tblTankTypes.Base[[#This Row],[Tank·Mass·Dry]] + tblTankTypes.Base[[#This Row],[Resources·Mass]]</f>
        <v>1.0827419999999999</v>
      </c>
      <c r="AH13" s="2">
        <f>(tblTankTypes.Base[[#This Row],[Resource₀·Tank·Cost]] + tblTankTypes.Base[[#This Row],[Resource₁·Tank·Cost]] + tblTankTypes.Base[[#This Row],[Resource₂·Tank·Cost]]) * tblTankTypes.Base[[#This Row],[TankCost·Mult]]</f>
        <v>0.22739466666666669</v>
      </c>
      <c r="AI13" s="13">
        <f>tblTankTypes.Base[[#This Row],[Tank·Cost·Dry]] + tblTankTypes.Base[[#This Row],[Resources·Cost]]</f>
        <v>0.4578213333333333</v>
      </c>
      <c r="AJ13" s="13">
        <f>tblTankTypes.Base[[#This Row],[Tank·Mass·Dry]] / tblTankTypes.Base[[#This Row],[Tank·Mass·Wet]]</f>
        <v>0.12275808395105514</v>
      </c>
    </row>
    <row r="14" spans="1:36" ht="15.95" customHeight="1" x14ac:dyDescent="0.35">
      <c r="A14" s="4" t="s">
        <v>16</v>
      </c>
      <c r="B14" s="10" t="s">
        <v>11</v>
      </c>
      <c r="C14" s="7">
        <v>90</v>
      </c>
      <c r="D14" s="8">
        <v>0.33333333333333331</v>
      </c>
      <c r="E14" s="14">
        <v>0</v>
      </c>
      <c r="F14" s="14">
        <v>1</v>
      </c>
      <c r="G14" s="10" t="s">
        <v>3</v>
      </c>
      <c r="H14" s="12">
        <v>0</v>
      </c>
      <c r="I14" s="12">
        <v>0</v>
      </c>
      <c r="J14" s="14">
        <v>0</v>
      </c>
      <c r="K14" s="14">
        <v>1</v>
      </c>
      <c r="L14" s="10" t="s">
        <v>3</v>
      </c>
      <c r="M14" s="12">
        <v>0</v>
      </c>
      <c r="N14" s="12">
        <v>0</v>
      </c>
      <c r="O14" s="14">
        <v>0</v>
      </c>
      <c r="P14" s="14">
        <v>1</v>
      </c>
      <c r="Q14" s="14">
        <v>1</v>
      </c>
      <c r="R14" s="2">
        <f>_xlfn.XLOOKUP(tblTankTypes.Base[[#This Row],[Resource₀]], tblResources[Resource], tblResources[Mass], #N/A, 0, 1) * tblTankTypes.Base[[#This Row],[Resource₀·Volume]]</f>
        <v>0.53046000000000004</v>
      </c>
      <c r="S14" s="2">
        <f>_xlfn.XLOOKUP(tblTankTypes.Base[[#This Row],[Resource₀]], tblResources[Resource], tblResources[Cost], #N/A, 0, 1) * tblTankTypes.Base[[#This Row],[Resource₀·Volume]]</f>
        <v>21.218399999999999</v>
      </c>
      <c r="T14" s="2">
        <f>tblTankTypes.Base[[#This Row],[Resource₀·Tank]] * tblTankTypes.Base[[#This Row],[Resource₀·Mass]] + tblTankTypes.Base[[#This Row],[Resource₀·Volume]] * tblTankTypes.Base[[#This Row],[Resource₀·TankMass]]</f>
        <v>0.17682</v>
      </c>
      <c r="U14" s="2">
        <f>0.8 * tblTankTypes.Base[[#This Row],[Resource₀·Tank·Mass]] * tblTankTypes.Base[[#This Row],[Resource₀·TankCostMult]]</f>
        <v>0.141456</v>
      </c>
      <c r="V14" s="2">
        <f>_xlfn.XLOOKUP(tblTankTypes.Base[[#This Row],[Resource₁]], tblResources[Resource], tblResources[Mass], #N/A, 0, 1) * tblTankTypes.Base[[#This Row],[Resource₁·Volume]]</f>
        <v>0</v>
      </c>
      <c r="W14" s="2">
        <f>_xlfn.XLOOKUP(tblTankTypes.Base[[#This Row],[Resource₁]], tblResources[Resource], tblResources[Cost], #N/A, 0, 1) * tblTankTypes.Base[[#This Row],[Resource₁·Volume]]</f>
        <v>0</v>
      </c>
      <c r="X14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4" s="2">
        <f>0.8 * tblTankTypes.Base[[#This Row],[Resource₁·Tank·Mass]] * tblTankTypes.Base[[#This Row],[Resource₁·TankCostMult]]</f>
        <v>0</v>
      </c>
      <c r="Z14" s="2">
        <f>_xlfn.XLOOKUP(tblTankTypes.Base[[#This Row],[Resource₂]], tblResources[Resource], tblResources[Mass], #N/A, 0, 1) * tblTankTypes.Base[[#This Row],[Resource₂·Volume]]</f>
        <v>0</v>
      </c>
      <c r="AA14" s="2">
        <f>_xlfn.XLOOKUP(tblTankTypes.Base[[#This Row],[Resource₂]], tblResources[Resource], tblResources[Cost], #N/A, 0, 1) * tblTankTypes.Base[[#This Row],[Resource₂·Volume]]</f>
        <v>0</v>
      </c>
      <c r="AB14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4" s="2">
        <f>0.8 * tblTankTypes.Base[[#This Row],[Resource₂·Tank·Mass]] * tblTankTypes.Base[[#This Row],[Resource₂·TankCostMult]]</f>
        <v>0</v>
      </c>
      <c r="AD14" s="2">
        <f>tblTankTypes.Base[[#This Row],[Resource₀·Mass]] + tblTankTypes.Base[[#This Row],[Resource₁·Mass]] + tblTankTypes.Base[[#This Row],[Resource₂·Mass]]</f>
        <v>0.53046000000000004</v>
      </c>
      <c r="AE14" s="2">
        <f>tblTankTypes.Base[[#This Row],[Resource₀·Cost]] + tblTankTypes.Base[[#This Row],[Resource₁·Cost]] + tblTankTypes.Base[[#This Row],[Resource₂·Cost]]</f>
        <v>21.218399999999999</v>
      </c>
      <c r="AF14" s="13">
        <f>tblTankTypes.Base[[#This Row],[Resource₀·Tank·Mass]] + tblTankTypes.Base[[#This Row],[Resource₁·Tank·Mass]] + tblTankTypes.Base[[#This Row],[Resource₂·Tank·Mass]]</f>
        <v>0.17682</v>
      </c>
      <c r="AG14" s="2">
        <f>tblTankTypes.Base[[#This Row],[Tank·Mass·Dry]] + tblTankTypes.Base[[#This Row],[Resources·Mass]]</f>
        <v>0.70728000000000002</v>
      </c>
      <c r="AH14" s="2">
        <f>(tblTankTypes.Base[[#This Row],[Resource₀·Tank·Cost]] + tblTankTypes.Base[[#This Row],[Resource₁·Tank·Cost]] + tblTankTypes.Base[[#This Row],[Resource₂·Tank·Cost]]) * tblTankTypes.Base[[#This Row],[TankCost·Mult]]</f>
        <v>0.141456</v>
      </c>
      <c r="AI14" s="13">
        <f>tblTankTypes.Base[[#This Row],[Tank·Cost·Dry]] + tblTankTypes.Base[[#This Row],[Resources·Cost]]</f>
        <v>21.359856000000001</v>
      </c>
      <c r="AJ14" s="13">
        <f>tblTankTypes.Base[[#This Row],[Tank·Mass·Dry]] / tblTankTypes.Base[[#This Row],[Tank·Mass·Wet]]</f>
        <v>0.25</v>
      </c>
    </row>
    <row r="15" spans="1:36" ht="15.95" customHeight="1" x14ac:dyDescent="0.35">
      <c r="A15" s="4" t="s">
        <v>14</v>
      </c>
      <c r="B15" s="10" t="s">
        <v>12</v>
      </c>
      <c r="C15" s="7">
        <v>360</v>
      </c>
      <c r="D15" s="8">
        <v>0.33333333333333298</v>
      </c>
      <c r="E15" s="14">
        <v>0</v>
      </c>
      <c r="F15" s="14">
        <v>1</v>
      </c>
      <c r="G15" s="10" t="s">
        <v>3</v>
      </c>
      <c r="H15" s="12">
        <v>0</v>
      </c>
      <c r="I15" s="12">
        <v>0</v>
      </c>
      <c r="J15" s="14">
        <v>0</v>
      </c>
      <c r="K15" s="14">
        <v>1</v>
      </c>
      <c r="L15" s="10" t="s">
        <v>3</v>
      </c>
      <c r="M15" s="12">
        <v>0</v>
      </c>
      <c r="N15" s="12">
        <v>0</v>
      </c>
      <c r="O15" s="14">
        <v>0</v>
      </c>
      <c r="P15" s="14">
        <v>1</v>
      </c>
      <c r="Q15" s="14">
        <v>1</v>
      </c>
      <c r="R15" s="2">
        <f>_xlfn.XLOOKUP(tblTankTypes.Base[[#This Row],[Resource₀]], tblResources[Resource], tblResources[Mass], #N/A, 0, 1) * tblTankTypes.Base[[#This Row],[Resource₀·Volume]]</f>
        <v>0.64224000000000003</v>
      </c>
      <c r="S15" s="2">
        <f>_xlfn.XLOOKUP(tblTankTypes.Base[[#This Row],[Resource₀]], tblResources[Resource], tblResources[Cost], #N/A, 0, 1) * tblTankTypes.Base[[#This Row],[Resource₀·Volume]]</f>
        <v>3.7800000000000002</v>
      </c>
      <c r="T15" s="2">
        <f>tblTankTypes.Base[[#This Row],[Resource₀·Tank]] * tblTankTypes.Base[[#This Row],[Resource₀·Mass]] + tblTankTypes.Base[[#This Row],[Resource₀·Volume]] * tblTankTypes.Base[[#This Row],[Resource₀·TankMass]]</f>
        <v>0.2140799999999998</v>
      </c>
      <c r="U15" s="2">
        <f>0.8 * tblTankTypes.Base[[#This Row],[Resource₀·Tank·Mass]] * tblTankTypes.Base[[#This Row],[Resource₀·TankCostMult]]</f>
        <v>0.17126399999999986</v>
      </c>
      <c r="V15" s="2">
        <f>_xlfn.XLOOKUP(tblTankTypes.Base[[#This Row],[Resource₁]], tblResources[Resource], tblResources[Mass], #N/A, 0, 1) * tblTankTypes.Base[[#This Row],[Resource₁·Volume]]</f>
        <v>0</v>
      </c>
      <c r="W15" s="2">
        <f>_xlfn.XLOOKUP(tblTankTypes.Base[[#This Row],[Resource₁]], tblResources[Resource], tblResources[Cost], #N/A, 0, 1) * tblTankTypes.Base[[#This Row],[Resource₁·Volume]]</f>
        <v>0</v>
      </c>
      <c r="X15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5" s="2">
        <f>0.8 * tblTankTypes.Base[[#This Row],[Resource₁·Tank·Mass]] * tblTankTypes.Base[[#This Row],[Resource₁·TankCostMult]]</f>
        <v>0</v>
      </c>
      <c r="Z15" s="2">
        <f>_xlfn.XLOOKUP(tblTankTypes.Base[[#This Row],[Resource₂]], tblResources[Resource], tblResources[Mass], #N/A, 0, 1) * tblTankTypes.Base[[#This Row],[Resource₂·Volume]]</f>
        <v>0</v>
      </c>
      <c r="AA15" s="2">
        <f>_xlfn.XLOOKUP(tblTankTypes.Base[[#This Row],[Resource₂]], tblResources[Resource], tblResources[Cost], #N/A, 0, 1) * tblTankTypes.Base[[#This Row],[Resource₂·Volume]]</f>
        <v>0</v>
      </c>
      <c r="AB15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5" s="2">
        <f>0.8 * tblTankTypes.Base[[#This Row],[Resource₂·Tank·Mass]] * tblTankTypes.Base[[#This Row],[Resource₂·TankCostMult]]</f>
        <v>0</v>
      </c>
      <c r="AD15" s="2">
        <f>tblTankTypes.Base[[#This Row],[Resource₀·Mass]] + tblTankTypes.Base[[#This Row],[Resource₁·Mass]] + tblTankTypes.Base[[#This Row],[Resource₂·Mass]]</f>
        <v>0.64224000000000003</v>
      </c>
      <c r="AE15" s="2">
        <f>tblTankTypes.Base[[#This Row],[Resource₀·Cost]] + tblTankTypes.Base[[#This Row],[Resource₁·Cost]] + tblTankTypes.Base[[#This Row],[Resource₂·Cost]]</f>
        <v>3.7800000000000002</v>
      </c>
      <c r="AF15" s="13">
        <f>tblTankTypes.Base[[#This Row],[Resource₀·Tank·Mass]] + tblTankTypes.Base[[#This Row],[Resource₁·Tank·Mass]] + tblTankTypes.Base[[#This Row],[Resource₂·Tank·Mass]]</f>
        <v>0.2140799999999998</v>
      </c>
      <c r="AG15" s="2">
        <f>tblTankTypes.Base[[#This Row],[Tank·Mass·Dry]] + tblTankTypes.Base[[#This Row],[Resources·Mass]]</f>
        <v>0.85631999999999986</v>
      </c>
      <c r="AH15" s="2">
        <f>(tblTankTypes.Base[[#This Row],[Resource₀·Tank·Cost]] + tblTankTypes.Base[[#This Row],[Resource₁·Tank·Cost]] + tblTankTypes.Base[[#This Row],[Resource₂·Tank·Cost]]) * tblTankTypes.Base[[#This Row],[TankCost·Mult]]</f>
        <v>0.17126399999999986</v>
      </c>
      <c r="AI15" s="13">
        <f>tblTankTypes.Base[[#This Row],[Tank·Cost·Dry]] + tblTankTypes.Base[[#This Row],[Resources·Cost]]</f>
        <v>3.9512640000000001</v>
      </c>
      <c r="AJ15" s="13">
        <f>tblTankTypes.Base[[#This Row],[Tank·Mass·Dry]] / tblTankTypes.Base[[#This Row],[Tank·Mass·Wet]]</f>
        <v>0.24999999999999981</v>
      </c>
    </row>
    <row r="16" spans="1:36" ht="15.95" customHeight="1" x14ac:dyDescent="0.35">
      <c r="A16" s="4" t="s">
        <v>15</v>
      </c>
      <c r="B16" s="10" t="s">
        <v>13</v>
      </c>
      <c r="C16" s="7">
        <v>1</v>
      </c>
      <c r="D16" s="8">
        <v>0.33333333333333298</v>
      </c>
      <c r="E16" s="14">
        <v>0</v>
      </c>
      <c r="F16" s="14">
        <v>1</v>
      </c>
      <c r="G16" s="10" t="s">
        <v>3</v>
      </c>
      <c r="H16" s="12">
        <v>0</v>
      </c>
      <c r="I16" s="12">
        <v>0</v>
      </c>
      <c r="J16" s="14">
        <v>0</v>
      </c>
      <c r="K16" s="14">
        <v>1</v>
      </c>
      <c r="L16" s="10" t="s">
        <v>3</v>
      </c>
      <c r="M16" s="12">
        <v>0</v>
      </c>
      <c r="N16" s="12">
        <v>0</v>
      </c>
      <c r="O16" s="14">
        <v>0</v>
      </c>
      <c r="P16" s="14">
        <v>1</v>
      </c>
      <c r="Q16" s="14">
        <v>1</v>
      </c>
      <c r="R16" s="2">
        <f>_xlfn.XLOOKUP(tblTankTypes.Base[[#This Row],[Resource₀]], tblResources[Resource], tblResources[Mass], #N/A, 0, 1) * tblTankTypes.Base[[#This Row],[Resource₀·Volume]]</f>
        <v>0.53400000000000003</v>
      </c>
      <c r="S16" s="2">
        <f>_xlfn.XLOOKUP(tblTankTypes.Base[[#This Row],[Resource₀]], tblResources[Resource], tblResources[Cost], #N/A, 0, 1) * tblTankTypes.Base[[#This Row],[Resource₀·Volume]]</f>
        <v>0.60750000000000004</v>
      </c>
      <c r="T16" s="2">
        <f>tblTankTypes.Base[[#This Row],[Resource₀·Tank]] * tblTankTypes.Base[[#This Row],[Resource₀·Mass]] + tblTankTypes.Base[[#This Row],[Resource₀·Volume]] * tblTankTypes.Base[[#This Row],[Resource₀·TankMass]]</f>
        <v>0.17799999999999983</v>
      </c>
      <c r="U16" s="2">
        <f>0.8 * tblTankTypes.Base[[#This Row],[Resource₀·Tank·Mass]] * tblTankTypes.Base[[#This Row],[Resource₀·TankCostMult]]</f>
        <v>0.14239999999999986</v>
      </c>
      <c r="V16" s="2">
        <f>_xlfn.XLOOKUP(tblTankTypes.Base[[#This Row],[Resource₁]], tblResources[Resource], tblResources[Mass], #N/A, 0, 1) * tblTankTypes.Base[[#This Row],[Resource₁·Volume]]</f>
        <v>0</v>
      </c>
      <c r="W16" s="2">
        <f>_xlfn.XLOOKUP(tblTankTypes.Base[[#This Row],[Resource₁]], tblResources[Resource], tblResources[Cost], #N/A, 0, 1) * tblTankTypes.Base[[#This Row],[Resource₁·Volume]]</f>
        <v>0</v>
      </c>
      <c r="X16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6" s="2">
        <f>0.8 * tblTankTypes.Base[[#This Row],[Resource₁·Tank·Mass]] * tblTankTypes.Base[[#This Row],[Resource₁·TankCostMult]]</f>
        <v>0</v>
      </c>
      <c r="Z16" s="2">
        <f>_xlfn.XLOOKUP(tblTankTypes.Base[[#This Row],[Resource₂]], tblResources[Resource], tblResources[Mass], #N/A, 0, 1) * tblTankTypes.Base[[#This Row],[Resource₂·Volume]]</f>
        <v>0</v>
      </c>
      <c r="AA16" s="2">
        <f>_xlfn.XLOOKUP(tblTankTypes.Base[[#This Row],[Resource₂]], tblResources[Resource], tblResources[Cost], #N/A, 0, 1) * tblTankTypes.Base[[#This Row],[Resource₂·Volume]]</f>
        <v>0</v>
      </c>
      <c r="AB16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6" s="2">
        <f>0.8 * tblTankTypes.Base[[#This Row],[Resource₂·Tank·Mass]] * tblTankTypes.Base[[#This Row],[Resource₂·TankCostMult]]</f>
        <v>0</v>
      </c>
      <c r="AD16" s="2">
        <f>tblTankTypes.Base[[#This Row],[Resource₀·Mass]] + tblTankTypes.Base[[#This Row],[Resource₁·Mass]] + tblTankTypes.Base[[#This Row],[Resource₂·Mass]]</f>
        <v>0.53400000000000003</v>
      </c>
      <c r="AE16" s="2">
        <f>tblTankTypes.Base[[#This Row],[Resource₀·Cost]] + tblTankTypes.Base[[#This Row],[Resource₁·Cost]] + tblTankTypes.Base[[#This Row],[Resource₂·Cost]]</f>
        <v>0.60750000000000004</v>
      </c>
      <c r="AF16" s="13">
        <f>tblTankTypes.Base[[#This Row],[Resource₀·Tank·Mass]] + tblTankTypes.Base[[#This Row],[Resource₁·Tank·Mass]] + tblTankTypes.Base[[#This Row],[Resource₂·Tank·Mass]]</f>
        <v>0.17799999999999983</v>
      </c>
      <c r="AG16" s="2">
        <f>tblTankTypes.Base[[#This Row],[Tank·Mass·Dry]] + tblTankTypes.Base[[#This Row],[Resources·Mass]]</f>
        <v>0.71199999999999986</v>
      </c>
      <c r="AH16" s="2">
        <f>(tblTankTypes.Base[[#This Row],[Resource₀·Tank·Cost]] + tblTankTypes.Base[[#This Row],[Resource₁·Tank·Cost]] + tblTankTypes.Base[[#This Row],[Resource₂·Tank·Cost]]) * tblTankTypes.Base[[#This Row],[TankCost·Mult]]</f>
        <v>0.14239999999999986</v>
      </c>
      <c r="AI16" s="13">
        <f>tblTankTypes.Base[[#This Row],[Tank·Cost·Dry]] + tblTankTypes.Base[[#This Row],[Resources·Cost]]</f>
        <v>0.7498999999999999</v>
      </c>
      <c r="AJ16" s="13">
        <f>tblTankTypes.Base[[#This Row],[Tank·Mass·Dry]] / tblTankTypes.Base[[#This Row],[Tank·Mass·Wet]]</f>
        <v>0.24999999999999981</v>
      </c>
    </row>
    <row r="17" spans="1:36" ht="15.95" customHeight="1" x14ac:dyDescent="0.35">
      <c r="A17" s="4" t="s">
        <v>74</v>
      </c>
      <c r="B17" s="10" t="s">
        <v>9</v>
      </c>
      <c r="C17" s="7">
        <v>0.5</v>
      </c>
      <c r="D17" s="8">
        <v>0.125</v>
      </c>
      <c r="E17" s="14">
        <v>0</v>
      </c>
      <c r="F17" s="14">
        <v>1</v>
      </c>
      <c r="G17" s="10" t="s">
        <v>116</v>
      </c>
      <c r="H17" s="12">
        <v>2</v>
      </c>
      <c r="I17" s="12">
        <v>0</v>
      </c>
      <c r="J17" s="14">
        <v>0.05</v>
      </c>
      <c r="K17" s="14">
        <v>25</v>
      </c>
      <c r="L17" s="10" t="s">
        <v>3</v>
      </c>
      <c r="M17" s="12">
        <v>0</v>
      </c>
      <c r="N17" s="12">
        <v>0</v>
      </c>
      <c r="O17" s="14">
        <v>0</v>
      </c>
      <c r="P17" s="14">
        <v>1</v>
      </c>
      <c r="Q17" s="14">
        <v>1</v>
      </c>
      <c r="R17" s="2">
        <f>_xlfn.XLOOKUP(tblTankTypes.Base[[#This Row],[Resource₀]], tblResources[Resource], tblResources[Mass], #N/A, 0, 1) * tblTankTypes.Base[[#This Row],[Resource₀·Volume]]</f>
        <v>0.4</v>
      </c>
      <c r="S17" s="2">
        <f>_xlfn.XLOOKUP(tblTankTypes.Base[[#This Row],[Resource₀]], tblResources[Resource], tblResources[Cost], #N/A, 0, 1) * tblTankTypes.Base[[#This Row],[Resource₀·Volume]]</f>
        <v>0.12</v>
      </c>
      <c r="T17" s="2">
        <f>tblTankTypes.Base[[#This Row],[Resource₀·Tank]] * tblTankTypes.Base[[#This Row],[Resource₀·Mass]] + tblTankTypes.Base[[#This Row],[Resource₀·Volume]] * tblTankTypes.Base[[#This Row],[Resource₀·TankMass]]</f>
        <v>0.05</v>
      </c>
      <c r="U17" s="2">
        <f>0.8 * tblTankTypes.Base[[#This Row],[Resource₀·Tank·Mass]] * tblTankTypes.Base[[#This Row],[Resource₀·TankCostMult]]</f>
        <v>4.0000000000000008E-2</v>
      </c>
      <c r="V17" s="2">
        <f>_xlfn.XLOOKUP(tblTankTypes.Base[[#This Row],[Resource₁]], tblResources[Resource], tblResources[Mass], #N/A, 0, 1) * tblTankTypes.Base[[#This Row],[Resource₁·Volume]]</f>
        <v>0</v>
      </c>
      <c r="W17" s="2">
        <f>_xlfn.XLOOKUP(tblTankTypes.Base[[#This Row],[Resource₁]], tblResources[Resource], tblResources[Cost], #N/A, 0, 1) * tblTankTypes.Base[[#This Row],[Resource₁·Volume]]</f>
        <v>0</v>
      </c>
      <c r="X17" s="2">
        <f>tblTankTypes.Base[[#This Row],[Resource₁·Tank]] * tblTankTypes.Base[[#This Row],[Resource₁·Mass]] + tblTankTypes.Base[[#This Row],[Resource₁·Volume]] * tblTankTypes.Base[[#This Row],[Resource₁·TankMass]]</f>
        <v>0.1</v>
      </c>
      <c r="Y17" s="2">
        <f>0.8 * tblTankTypes.Base[[#This Row],[Resource₁·Tank·Mass]] * tblTankTypes.Base[[#This Row],[Resource₁·TankCostMult]]</f>
        <v>2.0000000000000004</v>
      </c>
      <c r="Z17" s="2">
        <f>_xlfn.XLOOKUP(tblTankTypes.Base[[#This Row],[Resource₂]], tblResources[Resource], tblResources[Mass], #N/A, 0, 1) * tblTankTypes.Base[[#This Row],[Resource₂·Volume]]</f>
        <v>0</v>
      </c>
      <c r="AA17" s="2">
        <f>_xlfn.XLOOKUP(tblTankTypes.Base[[#This Row],[Resource₂]], tblResources[Resource], tblResources[Cost], #N/A, 0, 1) * tblTankTypes.Base[[#This Row],[Resource₂·Volume]]</f>
        <v>0</v>
      </c>
      <c r="AB17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7" s="2">
        <f>0.8 * tblTankTypes.Base[[#This Row],[Resource₂·Tank·Mass]] * tblTankTypes.Base[[#This Row],[Resource₂·TankCostMult]]</f>
        <v>0</v>
      </c>
      <c r="AD17" s="2">
        <f>tblTankTypes.Base[[#This Row],[Resource₀·Mass]] + tblTankTypes.Base[[#This Row],[Resource₁·Mass]] + tblTankTypes.Base[[#This Row],[Resource₂·Mass]]</f>
        <v>0.4</v>
      </c>
      <c r="AE17" s="2">
        <f>tblTankTypes.Base[[#This Row],[Resource₀·Cost]] + tblTankTypes.Base[[#This Row],[Resource₁·Cost]] + tblTankTypes.Base[[#This Row],[Resource₂·Cost]]</f>
        <v>0.12</v>
      </c>
      <c r="AF17" s="13">
        <f>tblTankTypes.Base[[#This Row],[Resource₀·Tank·Mass]] + tblTankTypes.Base[[#This Row],[Resource₁·Tank·Mass]] + tblTankTypes.Base[[#This Row],[Resource₂·Tank·Mass]]</f>
        <v>0.15000000000000002</v>
      </c>
      <c r="AG17" s="2">
        <f>tblTankTypes.Base[[#This Row],[Tank·Mass·Dry]] + tblTankTypes.Base[[#This Row],[Resources·Mass]]</f>
        <v>0.55000000000000004</v>
      </c>
      <c r="AH17" s="2">
        <f>(tblTankTypes.Base[[#This Row],[Resource₀·Tank·Cost]] + tblTankTypes.Base[[#This Row],[Resource₁·Tank·Cost]] + tblTankTypes.Base[[#This Row],[Resource₂·Tank·Cost]]) * tblTankTypes.Base[[#This Row],[TankCost·Mult]]</f>
        <v>2.0400000000000005</v>
      </c>
      <c r="AI17" s="13">
        <f>tblTankTypes.Base[[#This Row],[Tank·Cost·Dry]] + tblTankTypes.Base[[#This Row],[Resources·Cost]]</f>
        <v>2.1600000000000006</v>
      </c>
      <c r="AJ17" s="13">
        <f>tblTankTypes.Base[[#This Row],[Tank·Mass·Dry]] / tblTankTypes.Base[[#This Row],[Tank·Mass·Wet]]</f>
        <v>0.27272727272727276</v>
      </c>
    </row>
    <row r="18" spans="1:36" ht="15.95" customHeight="1" x14ac:dyDescent="0.35">
      <c r="A18" s="4" t="s">
        <v>52</v>
      </c>
      <c r="B18" s="10" t="s">
        <v>116</v>
      </c>
      <c r="C18" s="7">
        <v>4</v>
      </c>
      <c r="D18" s="8">
        <v>0</v>
      </c>
      <c r="E18" s="14">
        <v>0.05</v>
      </c>
      <c r="F18" s="14">
        <v>25</v>
      </c>
      <c r="G18" s="10" t="s">
        <v>3</v>
      </c>
      <c r="H18" s="12">
        <v>0</v>
      </c>
      <c r="I18" s="12">
        <v>0</v>
      </c>
      <c r="J18" s="14">
        <v>0</v>
      </c>
      <c r="K18" s="14">
        <v>1</v>
      </c>
      <c r="L18" s="10" t="s">
        <v>3</v>
      </c>
      <c r="M18" s="12">
        <v>0</v>
      </c>
      <c r="N18" s="12">
        <v>0</v>
      </c>
      <c r="O18" s="14">
        <v>0.2</v>
      </c>
      <c r="P18" s="14">
        <v>1</v>
      </c>
      <c r="Q18" s="14">
        <v>1</v>
      </c>
      <c r="R18" s="2">
        <f>_xlfn.XLOOKUP(tblTankTypes.Base[[#This Row],[Resource₀]], tblResources[Resource], tblResources[Mass], #N/A, 0, 1) * tblTankTypes.Base[[#This Row],[Resource₀·Volume]]</f>
        <v>0</v>
      </c>
      <c r="S18" s="2">
        <f>_xlfn.XLOOKUP(tblTankTypes.Base[[#This Row],[Resource₀]], tblResources[Resource], tblResources[Cost], #N/A, 0, 1) * tblTankTypes.Base[[#This Row],[Resource₀·Volume]]</f>
        <v>0</v>
      </c>
      <c r="T18" s="2">
        <f>tblTankTypes.Base[[#This Row],[Resource₀·Tank]] * tblTankTypes.Base[[#This Row],[Resource₀·Mass]] + tblTankTypes.Base[[#This Row],[Resource₀·Volume]] * tblTankTypes.Base[[#This Row],[Resource₀·TankMass]]</f>
        <v>0.2</v>
      </c>
      <c r="U18" s="2">
        <f>0.8 * tblTankTypes.Base[[#This Row],[Resource₀·Tank·Mass]] * tblTankTypes.Base[[#This Row],[Resource₀·TankCostMult]]</f>
        <v>4.0000000000000009</v>
      </c>
      <c r="V18" s="2">
        <f>_xlfn.XLOOKUP(tblTankTypes.Base[[#This Row],[Resource₁]], tblResources[Resource], tblResources[Mass], #N/A, 0, 1) * tblTankTypes.Base[[#This Row],[Resource₁·Volume]]</f>
        <v>0</v>
      </c>
      <c r="W18" s="2">
        <f>_xlfn.XLOOKUP(tblTankTypes.Base[[#This Row],[Resource₁]], tblResources[Resource], tblResources[Cost], #N/A, 0, 1) * tblTankTypes.Base[[#This Row],[Resource₁·Volume]]</f>
        <v>0</v>
      </c>
      <c r="X18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8" s="2">
        <f>0.8 * tblTankTypes.Base[[#This Row],[Resource₁·Tank·Mass]] * tblTankTypes.Base[[#This Row],[Resource₁·TankCostMult]]</f>
        <v>0</v>
      </c>
      <c r="Z18" s="2">
        <f>_xlfn.XLOOKUP(tblTankTypes.Base[[#This Row],[Resource₂]], tblResources[Resource], tblResources[Mass], #N/A, 0, 1) * tblTankTypes.Base[[#This Row],[Resource₂·Volume]]</f>
        <v>0</v>
      </c>
      <c r="AA18" s="2">
        <f>_xlfn.XLOOKUP(tblTankTypes.Base[[#This Row],[Resource₂]], tblResources[Resource], tblResources[Cost], #N/A, 0, 1) * tblTankTypes.Base[[#This Row],[Resource₂·Volume]]</f>
        <v>0</v>
      </c>
      <c r="AB18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8" s="2">
        <f>0.8 * tblTankTypes.Base[[#This Row],[Resource₂·Tank·Mass]] * tblTankTypes.Base[[#This Row],[Resource₂·TankCostMult]]</f>
        <v>0</v>
      </c>
      <c r="AD18" s="2">
        <f>tblTankTypes.Base[[#This Row],[Resource₀·Mass]] + tblTankTypes.Base[[#This Row],[Resource₁·Mass]] + tblTankTypes.Base[[#This Row],[Resource₂·Mass]]</f>
        <v>0</v>
      </c>
      <c r="AE18" s="2">
        <f>tblTankTypes.Base[[#This Row],[Resource₀·Cost]] + tblTankTypes.Base[[#This Row],[Resource₁·Cost]] + tblTankTypes.Base[[#This Row],[Resource₂·Cost]]</f>
        <v>0</v>
      </c>
      <c r="AF18" s="13">
        <f>tblTankTypes.Base[[#This Row],[Resource₀·Tank·Mass]] + tblTankTypes.Base[[#This Row],[Resource₁·Tank·Mass]] + tblTankTypes.Base[[#This Row],[Resource₂·Tank·Mass]]</f>
        <v>0.2</v>
      </c>
      <c r="AG18" s="2">
        <f>tblTankTypes.Base[[#This Row],[Tank·Mass·Dry]] + tblTankTypes.Base[[#This Row],[Resources·Mass]]</f>
        <v>0.2</v>
      </c>
      <c r="AH18" s="2">
        <f>(tblTankTypes.Base[[#This Row],[Resource₀·Tank·Cost]] + tblTankTypes.Base[[#This Row],[Resource₁·Tank·Cost]] + tblTankTypes.Base[[#This Row],[Resource₂·Tank·Cost]]) * tblTankTypes.Base[[#This Row],[TankCost·Mult]]</f>
        <v>4.0000000000000009</v>
      </c>
      <c r="AI18" s="13">
        <f>tblTankTypes.Base[[#This Row],[Tank·Cost·Dry]] + tblTankTypes.Base[[#This Row],[Resources·Cost]]</f>
        <v>4.0000000000000009</v>
      </c>
      <c r="AJ18" s="13">
        <f>tblTankTypes.Base[[#This Row],[Tank·Mass·Dry]] / tblTankTypes.Base[[#This Row],[Tank·Mass·Wet]]</f>
        <v>1</v>
      </c>
    </row>
    <row r="19" spans="1:36" ht="15.95" customHeight="1" x14ac:dyDescent="0.35">
      <c r="A19" s="4" t="s">
        <v>53</v>
      </c>
      <c r="B19" s="10" t="s">
        <v>53</v>
      </c>
      <c r="C19" s="7">
        <v>1</v>
      </c>
      <c r="D19" s="8">
        <v>0.1</v>
      </c>
      <c r="E19" s="14">
        <v>0</v>
      </c>
      <c r="F19" s="14">
        <v>1</v>
      </c>
      <c r="G19" s="10" t="s">
        <v>3</v>
      </c>
      <c r="H19" s="12">
        <v>0</v>
      </c>
      <c r="I19" s="12">
        <v>0</v>
      </c>
      <c r="J19" s="14">
        <v>0</v>
      </c>
      <c r="K19" s="14">
        <v>1</v>
      </c>
      <c r="L19" s="10" t="s">
        <v>3</v>
      </c>
      <c r="M19" s="12">
        <v>0</v>
      </c>
      <c r="N19" s="12">
        <v>0</v>
      </c>
      <c r="O19" s="14">
        <v>0</v>
      </c>
      <c r="P19" s="14">
        <v>1</v>
      </c>
      <c r="Q19" s="14">
        <v>1</v>
      </c>
      <c r="R19" s="2">
        <f>_xlfn.XLOOKUP(tblTankTypes.Base[[#This Row],[Resource₀]], tblResources[Resource], tblResources[Mass], #N/A, 0, 1) * tblTankTypes.Base[[#This Row],[Resource₀·Volume]]</f>
        <v>2</v>
      </c>
      <c r="S19" s="2">
        <f>_xlfn.XLOOKUP(tblTankTypes.Base[[#This Row],[Resource₀]], tblResources[Resource], tblResources[Cost], #N/A, 0, 1) * tblTankTypes.Base[[#This Row],[Resource₀·Volume]]</f>
        <v>4.0000000000000001E-3</v>
      </c>
      <c r="T19" s="2">
        <f>tblTankTypes.Base[[#This Row],[Resource₀·Tank]] * tblTankTypes.Base[[#This Row],[Resource₀·Mass]] + tblTankTypes.Base[[#This Row],[Resource₀·Volume]] * tblTankTypes.Base[[#This Row],[Resource₀·TankMass]]</f>
        <v>0.2</v>
      </c>
      <c r="U19" s="2">
        <f>0.8 * tblTankTypes.Base[[#This Row],[Resource₀·Tank·Mass]] * tblTankTypes.Base[[#This Row],[Resource₀·TankCostMult]]</f>
        <v>0.16000000000000003</v>
      </c>
      <c r="V19" s="2">
        <f>_xlfn.XLOOKUP(tblTankTypes.Base[[#This Row],[Resource₁]], tblResources[Resource], tblResources[Mass], #N/A, 0, 1) * tblTankTypes.Base[[#This Row],[Resource₁·Volume]]</f>
        <v>0</v>
      </c>
      <c r="W19" s="2">
        <f>_xlfn.XLOOKUP(tblTankTypes.Base[[#This Row],[Resource₁]], tblResources[Resource], tblResources[Cost], #N/A, 0, 1) * tblTankTypes.Base[[#This Row],[Resource₁·Volume]]</f>
        <v>0</v>
      </c>
      <c r="X19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19" s="2">
        <f>0.8 * tblTankTypes.Base[[#This Row],[Resource₁·Tank·Mass]] * tblTankTypes.Base[[#This Row],[Resource₁·TankCostMult]]</f>
        <v>0</v>
      </c>
      <c r="Z19" s="2">
        <f>_xlfn.XLOOKUP(tblTankTypes.Base[[#This Row],[Resource₂]], tblResources[Resource], tblResources[Mass], #N/A, 0, 1) * tblTankTypes.Base[[#This Row],[Resource₂·Volume]]</f>
        <v>0</v>
      </c>
      <c r="AA19" s="2">
        <f>_xlfn.XLOOKUP(tblTankTypes.Base[[#This Row],[Resource₂]], tblResources[Resource], tblResources[Cost], #N/A, 0, 1) * tblTankTypes.Base[[#This Row],[Resource₂·Volume]]</f>
        <v>0</v>
      </c>
      <c r="AB19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19" s="2">
        <f>0.8 * tblTankTypes.Base[[#This Row],[Resource₂·Tank·Mass]] * tblTankTypes.Base[[#This Row],[Resource₂·TankCostMult]]</f>
        <v>0</v>
      </c>
      <c r="AD19" s="2">
        <f>tblTankTypes.Base[[#This Row],[Resource₀·Mass]] + tblTankTypes.Base[[#This Row],[Resource₁·Mass]] + tblTankTypes.Base[[#This Row],[Resource₂·Mass]]</f>
        <v>2</v>
      </c>
      <c r="AE19" s="2">
        <f>tblTankTypes.Base[[#This Row],[Resource₀·Cost]] + tblTankTypes.Base[[#This Row],[Resource₁·Cost]] + tblTankTypes.Base[[#This Row],[Resource₂·Cost]]</f>
        <v>4.0000000000000001E-3</v>
      </c>
      <c r="AF19" s="13">
        <f>tblTankTypes.Base[[#This Row],[Resource₀·Tank·Mass]] + tblTankTypes.Base[[#This Row],[Resource₁·Tank·Mass]] + tblTankTypes.Base[[#This Row],[Resource₂·Tank·Mass]]</f>
        <v>0.2</v>
      </c>
      <c r="AG19" s="2">
        <f>tblTankTypes.Base[[#This Row],[Tank·Mass·Dry]] + tblTankTypes.Base[[#This Row],[Resources·Mass]]</f>
        <v>2.2000000000000002</v>
      </c>
      <c r="AH19" s="2">
        <f>(tblTankTypes.Base[[#This Row],[Resource₀·Tank·Cost]] + tblTankTypes.Base[[#This Row],[Resource₁·Tank·Cost]] + tblTankTypes.Base[[#This Row],[Resource₂·Tank·Cost]]) * tblTankTypes.Base[[#This Row],[TankCost·Mult]]</f>
        <v>0.16000000000000003</v>
      </c>
      <c r="AI19" s="13">
        <f>tblTankTypes.Base[[#This Row],[Tank·Cost·Dry]] + tblTankTypes.Base[[#This Row],[Resources·Cost]]</f>
        <v>0.16400000000000003</v>
      </c>
      <c r="AJ19" s="13">
        <f>tblTankTypes.Base[[#This Row],[Tank·Mass·Dry]] / tblTankTypes.Base[[#This Row],[Tank·Mass·Wet]]</f>
        <v>9.0909090909090912E-2</v>
      </c>
    </row>
    <row r="20" spans="1:36" ht="15.95" customHeight="1" x14ac:dyDescent="0.35">
      <c r="A20" s="4" t="s">
        <v>56</v>
      </c>
      <c r="B20" s="9" t="s">
        <v>6</v>
      </c>
      <c r="C20" s="8">
        <v>1</v>
      </c>
      <c r="D20" s="8">
        <v>0.14285714285714285</v>
      </c>
      <c r="E20" s="14">
        <v>0</v>
      </c>
      <c r="F20" s="14">
        <v>1</v>
      </c>
      <c r="G20" s="9" t="s">
        <v>3</v>
      </c>
      <c r="H20" s="8">
        <v>0</v>
      </c>
      <c r="I20" s="8">
        <v>0</v>
      </c>
      <c r="J20" s="14">
        <v>0</v>
      </c>
      <c r="K20" s="14">
        <v>1</v>
      </c>
      <c r="L20" s="9" t="s">
        <v>3</v>
      </c>
      <c r="M20" s="8">
        <v>0</v>
      </c>
      <c r="N20" s="8">
        <v>0</v>
      </c>
      <c r="O20" s="14">
        <v>0</v>
      </c>
      <c r="P20" s="14">
        <v>1</v>
      </c>
      <c r="Q20" s="14">
        <v>1</v>
      </c>
      <c r="R20" s="2">
        <f>_xlfn.XLOOKUP(tblTankTypes.Base[[#This Row],[Resource₀]], tblResources[Resource], tblResources[Mass], #N/A, 0, 1) * tblTankTypes.Base[[#This Row],[Resource₀·Volume]]</f>
        <v>0.8</v>
      </c>
      <c r="S20" s="2">
        <f>_xlfn.XLOOKUP(tblTankTypes.Base[[#This Row],[Resource₀]], tblResources[Resource], tblResources[Cost], #N/A, 0, 1) * tblTankTypes.Base[[#This Row],[Resource₀·Volume]]</f>
        <v>0.08</v>
      </c>
      <c r="T20" s="2">
        <f>tblTankTypes.Base[[#This Row],[Resource₀·Tank]] * tblTankTypes.Base[[#This Row],[Resource₀·Mass]] + tblTankTypes.Base[[#This Row],[Resource₀·Volume]] * tblTankTypes.Base[[#This Row],[Resource₀·TankMass]]</f>
        <v>0.11428571428571428</v>
      </c>
      <c r="U20" s="2">
        <f>0.8 * tblTankTypes.Base[[#This Row],[Resource₀·Tank·Mass]] * tblTankTypes.Base[[#This Row],[Resource₀·TankCostMult]]</f>
        <v>9.1428571428571428E-2</v>
      </c>
      <c r="V20" s="2">
        <f>_xlfn.XLOOKUP(tblTankTypes.Base[[#This Row],[Resource₁]], tblResources[Resource], tblResources[Mass], #N/A, 0, 1) * tblTankTypes.Base[[#This Row],[Resource₁·Volume]]</f>
        <v>0</v>
      </c>
      <c r="W20" s="2">
        <f>_xlfn.XLOOKUP(tblTankTypes.Base[[#This Row],[Resource₁]], tblResources[Resource], tblResources[Cost], #N/A, 0, 1) * tblTankTypes.Base[[#This Row],[Resource₁·Volume]]</f>
        <v>0</v>
      </c>
      <c r="X20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20" s="2">
        <f>0.8 * tblTankTypes.Base[[#This Row],[Resource₁·Tank·Mass]] * tblTankTypes.Base[[#This Row],[Resource₁·TankCostMult]]</f>
        <v>0</v>
      </c>
      <c r="Z20" s="2">
        <f>_xlfn.XLOOKUP(tblTankTypes.Base[[#This Row],[Resource₂]], tblResources[Resource], tblResources[Mass], #N/A, 0, 1) * tblTankTypes.Base[[#This Row],[Resource₂·Volume]]</f>
        <v>0</v>
      </c>
      <c r="AA20" s="2">
        <f>_xlfn.XLOOKUP(tblTankTypes.Base[[#This Row],[Resource₂]], tblResources[Resource], tblResources[Cost], #N/A, 0, 1) * tblTankTypes.Base[[#This Row],[Resource₂·Volume]]</f>
        <v>0</v>
      </c>
      <c r="AB20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0" s="2">
        <f>0.8 * tblTankTypes.Base[[#This Row],[Resource₂·Tank·Mass]] * tblTankTypes.Base[[#This Row],[Resource₂·TankCostMult]]</f>
        <v>0</v>
      </c>
      <c r="AD20" s="2">
        <f>tblTankTypes.Base[[#This Row],[Resource₀·Mass]] + tblTankTypes.Base[[#This Row],[Resource₁·Mass]] + tblTankTypes.Base[[#This Row],[Resource₂·Mass]]</f>
        <v>0.8</v>
      </c>
      <c r="AE20" s="2">
        <f>tblTankTypes.Base[[#This Row],[Resource₀·Cost]] + tblTankTypes.Base[[#This Row],[Resource₁·Cost]] + tblTankTypes.Base[[#This Row],[Resource₂·Cost]]</f>
        <v>0.08</v>
      </c>
      <c r="AF20" s="2">
        <f>tblTankTypes.Base[[#This Row],[Resource₀·Tank·Mass]] + tblTankTypes.Base[[#This Row],[Resource₁·Tank·Mass]] + tblTankTypes.Base[[#This Row],[Resource₂·Tank·Mass]]</f>
        <v>0.11428571428571428</v>
      </c>
      <c r="AG20" s="2">
        <f>tblTankTypes.Base[[#This Row],[Tank·Mass·Dry]] + tblTankTypes.Base[[#This Row],[Resources·Mass]]</f>
        <v>0.91428571428571437</v>
      </c>
      <c r="AH20" s="2">
        <f>(tblTankTypes.Base[[#This Row],[Resource₀·Tank·Cost]] + tblTankTypes.Base[[#This Row],[Resource₁·Tank·Cost]] + tblTankTypes.Base[[#This Row],[Resource₂·Tank·Cost]]) * tblTankTypes.Base[[#This Row],[TankCost·Mult]]</f>
        <v>9.1428571428571428E-2</v>
      </c>
      <c r="AI20" s="2">
        <f>tblTankTypes.Base[[#This Row],[Tank·Cost·Dry]] + tblTankTypes.Base[[#This Row],[Resources·Cost]]</f>
        <v>0.17142857142857143</v>
      </c>
      <c r="AJ20" s="13">
        <f>tblTankTypes.Base[[#This Row],[Tank·Mass·Dry]] / tblTankTypes.Base[[#This Row],[Tank·Mass·Wet]]</f>
        <v>0.12499999999999999</v>
      </c>
    </row>
    <row r="21" spans="1:36" ht="15.95" customHeight="1" x14ac:dyDescent="0.35">
      <c r="A21" s="4" t="s">
        <v>57</v>
      </c>
      <c r="B21" s="9" t="s">
        <v>6</v>
      </c>
      <c r="C21" s="7">
        <v>0.375</v>
      </c>
      <c r="D21" s="8">
        <v>0.14285714285714285</v>
      </c>
      <c r="E21" s="14">
        <v>0</v>
      </c>
      <c r="F21" s="14">
        <v>1</v>
      </c>
      <c r="G21" s="9" t="s">
        <v>112</v>
      </c>
      <c r="H21" s="8">
        <v>0.625</v>
      </c>
      <c r="I21" s="8">
        <v>0.14285714285714285</v>
      </c>
      <c r="J21" s="14">
        <v>0</v>
      </c>
      <c r="K21" s="14">
        <v>1</v>
      </c>
      <c r="L21" s="9" t="s">
        <v>3</v>
      </c>
      <c r="M21" s="8">
        <v>0</v>
      </c>
      <c r="N21" s="8">
        <v>0</v>
      </c>
      <c r="O21" s="14">
        <v>0</v>
      </c>
      <c r="P21" s="14">
        <v>1</v>
      </c>
      <c r="Q21" s="14">
        <v>1</v>
      </c>
      <c r="R21" s="2">
        <f>_xlfn.XLOOKUP(tblTankTypes.Base[[#This Row],[Resource₀]], tblResources[Resource], tblResources[Mass], #N/A, 0, 1) * tblTankTypes.Base[[#This Row],[Resource₀·Volume]]</f>
        <v>0.30000000000000004</v>
      </c>
      <c r="S21" s="2">
        <f>_xlfn.XLOOKUP(tblTankTypes.Base[[#This Row],[Resource₀]], tblResources[Resource], tblResources[Cost], #N/A, 0, 1) * tblTankTypes.Base[[#This Row],[Resource₀·Volume]]</f>
        <v>0.03</v>
      </c>
      <c r="T21" s="2">
        <f>tblTankTypes.Base[[#This Row],[Resource₀·Tank]] * tblTankTypes.Base[[#This Row],[Resource₀·Mass]] + tblTankTypes.Base[[#This Row],[Resource₀·Volume]] * tblTankTypes.Base[[#This Row],[Resource₀·TankMass]]</f>
        <v>4.2857142857142864E-2</v>
      </c>
      <c r="U21" s="2">
        <f>0.8 * tblTankTypes.Base[[#This Row],[Resource₀·Tank·Mass]] * tblTankTypes.Base[[#This Row],[Resource₀·TankCostMult]]</f>
        <v>3.4285714285714294E-2</v>
      </c>
      <c r="V21" s="2">
        <f>_xlfn.XLOOKUP(tblTankTypes.Base[[#This Row],[Resource₁]], tblResources[Resource], tblResources[Mass], #N/A, 0, 1) * tblTankTypes.Base[[#This Row],[Resource₁·Volume]]</f>
        <v>0.71312500000000001</v>
      </c>
      <c r="W21" s="2">
        <f>_xlfn.XLOOKUP(tblTankTypes.Base[[#This Row],[Resource₁]], tblResources[Resource], tblResources[Cost], #N/A, 0, 1) * tblTankTypes.Base[[#This Row],[Resource₁·Volume]]</f>
        <v>2.8525000000000002E-2</v>
      </c>
      <c r="X21" s="2">
        <f>tblTankTypes.Base[[#This Row],[Resource₁·Tank]] * tblTankTypes.Base[[#This Row],[Resource₁·Mass]] + tblTankTypes.Base[[#This Row],[Resource₁·Volume]] * tblTankTypes.Base[[#This Row],[Resource₁·TankMass]]</f>
        <v>0.10187499999999999</v>
      </c>
      <c r="Y21" s="2">
        <f>0.8 * tblTankTypes.Base[[#This Row],[Resource₁·Tank·Mass]] * tblTankTypes.Base[[#This Row],[Resource₁·TankCostMult]]</f>
        <v>8.1500000000000003E-2</v>
      </c>
      <c r="Z21" s="2">
        <f>_xlfn.XLOOKUP(tblTankTypes.Base[[#This Row],[Resource₂]], tblResources[Resource], tblResources[Mass], #N/A, 0, 1) * tblTankTypes.Base[[#This Row],[Resource₂·Volume]]</f>
        <v>0</v>
      </c>
      <c r="AA21" s="2">
        <f>_xlfn.XLOOKUP(tblTankTypes.Base[[#This Row],[Resource₂]], tblResources[Resource], tblResources[Cost], #N/A, 0, 1) * tblTankTypes.Base[[#This Row],[Resource₂·Volume]]</f>
        <v>0</v>
      </c>
      <c r="AB21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1" s="2">
        <f>0.8 * tblTankTypes.Base[[#This Row],[Resource₂·Tank·Mass]] * tblTankTypes.Base[[#This Row],[Resource₂·TankCostMult]]</f>
        <v>0</v>
      </c>
      <c r="AD21" s="2">
        <f>tblTankTypes.Base[[#This Row],[Resource₀·Mass]] + tblTankTypes.Base[[#This Row],[Resource₁·Mass]] + tblTankTypes.Base[[#This Row],[Resource₂·Mass]]</f>
        <v>1.0131250000000001</v>
      </c>
      <c r="AE21" s="2">
        <f>tblTankTypes.Base[[#This Row],[Resource₀·Cost]] + tblTankTypes.Base[[#This Row],[Resource₁·Cost]] + tblTankTypes.Base[[#This Row],[Resource₂·Cost]]</f>
        <v>5.8525000000000001E-2</v>
      </c>
      <c r="AF21" s="2">
        <f>tblTankTypes.Base[[#This Row],[Resource₀·Tank·Mass]] + tblTankTypes.Base[[#This Row],[Resource₁·Tank·Mass]] + tblTankTypes.Base[[#This Row],[Resource₂·Tank·Mass]]</f>
        <v>0.14473214285714286</v>
      </c>
      <c r="AG21" s="2">
        <f>tblTankTypes.Base[[#This Row],[Tank·Mass·Dry]] + tblTankTypes.Base[[#This Row],[Resources·Mass]]</f>
        <v>1.1578571428571429</v>
      </c>
      <c r="AH21" s="2">
        <f>(tblTankTypes.Base[[#This Row],[Resource₀·Tank·Cost]] + tblTankTypes.Base[[#This Row],[Resource₁·Tank·Cost]] + tblTankTypes.Base[[#This Row],[Resource₂·Tank·Cost]]) * tblTankTypes.Base[[#This Row],[TankCost·Mult]]</f>
        <v>0.1157857142857143</v>
      </c>
      <c r="AI21" s="2">
        <f>tblTankTypes.Base[[#This Row],[Tank·Cost·Dry]] + tblTankTypes.Base[[#This Row],[Resources·Cost]]</f>
        <v>0.17431071428571429</v>
      </c>
      <c r="AJ21" s="13">
        <f>tblTankTypes.Base[[#This Row],[Tank·Mass·Dry]] / tblTankTypes.Base[[#This Row],[Tank·Mass·Wet]]</f>
        <v>0.125</v>
      </c>
    </row>
    <row r="22" spans="1:36" ht="15.95" customHeight="1" x14ac:dyDescent="0.35">
      <c r="A22" s="4" t="s">
        <v>59</v>
      </c>
      <c r="B22" s="10" t="s">
        <v>6</v>
      </c>
      <c r="C22" s="7">
        <v>0.8</v>
      </c>
      <c r="D22" s="8">
        <v>0.14285714285714299</v>
      </c>
      <c r="E22" s="14">
        <v>0</v>
      </c>
      <c r="F22" s="14">
        <v>1</v>
      </c>
      <c r="G22" s="10" t="s">
        <v>9</v>
      </c>
      <c r="H22" s="12">
        <v>0.2</v>
      </c>
      <c r="I22" s="12">
        <v>0.14285714285714299</v>
      </c>
      <c r="J22" s="14">
        <v>0</v>
      </c>
      <c r="K22" s="14">
        <v>1</v>
      </c>
      <c r="L22" s="10" t="s">
        <v>3</v>
      </c>
      <c r="M22" s="12">
        <v>0</v>
      </c>
      <c r="N22" s="12">
        <v>0</v>
      </c>
      <c r="O22" s="14">
        <v>0</v>
      </c>
      <c r="P22" s="14">
        <v>1</v>
      </c>
      <c r="Q22" s="14">
        <v>1</v>
      </c>
      <c r="R22" s="2">
        <f>_xlfn.XLOOKUP(tblTankTypes.Base[[#This Row],[Resource₀]], tblResources[Resource], tblResources[Mass], #N/A, 0, 1) * tblTankTypes.Base[[#This Row],[Resource₀·Volume]]</f>
        <v>0.64000000000000012</v>
      </c>
      <c r="S22" s="2">
        <f>_xlfn.XLOOKUP(tblTankTypes.Base[[#This Row],[Resource₀]], tblResources[Resource], tblResources[Cost], #N/A, 0, 1) * tblTankTypes.Base[[#This Row],[Resource₀·Volume]]</f>
        <v>6.4000000000000001E-2</v>
      </c>
      <c r="T22" s="2">
        <f>tblTankTypes.Base[[#This Row],[Resource₀·Tank]] * tblTankTypes.Base[[#This Row],[Resource₀·Mass]] + tblTankTypes.Base[[#This Row],[Resource₀·Volume]] * tblTankTypes.Base[[#This Row],[Resource₀·TankMass]]</f>
        <v>9.1428571428571526E-2</v>
      </c>
      <c r="U22" s="2">
        <f>0.8 * tblTankTypes.Base[[#This Row],[Resource₀·Tank·Mass]] * tblTankTypes.Base[[#This Row],[Resource₀·TankCostMult]]</f>
        <v>7.3142857142857218E-2</v>
      </c>
      <c r="V22" s="2">
        <f>_xlfn.XLOOKUP(tblTankTypes.Base[[#This Row],[Resource₁]], tblResources[Resource], tblResources[Mass], #N/A, 0, 1) * tblTankTypes.Base[[#This Row],[Resource₁·Volume]]</f>
        <v>0.16000000000000003</v>
      </c>
      <c r="W22" s="2">
        <f>_xlfn.XLOOKUP(tblTankTypes.Base[[#This Row],[Resource₁]], tblResources[Resource], tblResources[Cost], #N/A, 0, 1) * tblTankTypes.Base[[#This Row],[Resource₁·Volume]]</f>
        <v>4.8000000000000001E-2</v>
      </c>
      <c r="X22" s="2">
        <f>tblTankTypes.Base[[#This Row],[Resource₁·Tank]] * tblTankTypes.Base[[#This Row],[Resource₁·Mass]] + tblTankTypes.Base[[#This Row],[Resource₁·Volume]] * tblTankTypes.Base[[#This Row],[Resource₁·TankMass]]</f>
        <v>2.2857142857142881E-2</v>
      </c>
      <c r="Y22" s="2">
        <f>0.8 * tblTankTypes.Base[[#This Row],[Resource₁·Tank·Mass]] * tblTankTypes.Base[[#This Row],[Resource₁·TankCostMult]]</f>
        <v>1.8285714285714304E-2</v>
      </c>
      <c r="Z22" s="2">
        <f>_xlfn.XLOOKUP(tblTankTypes.Base[[#This Row],[Resource₂]], tblResources[Resource], tblResources[Mass], #N/A, 0, 1) * tblTankTypes.Base[[#This Row],[Resource₂·Volume]]</f>
        <v>0</v>
      </c>
      <c r="AA22" s="2">
        <f>_xlfn.XLOOKUP(tblTankTypes.Base[[#This Row],[Resource₂]], tblResources[Resource], tblResources[Cost], #N/A, 0, 1) * tblTankTypes.Base[[#This Row],[Resource₂·Volume]]</f>
        <v>0</v>
      </c>
      <c r="AB22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2" s="2">
        <f>0.8 * tblTankTypes.Base[[#This Row],[Resource₂·Tank·Mass]] * tblTankTypes.Base[[#This Row],[Resource₂·TankCostMult]]</f>
        <v>0</v>
      </c>
      <c r="AD22" s="2">
        <f>tblTankTypes.Base[[#This Row],[Resource₀·Mass]] + tblTankTypes.Base[[#This Row],[Resource₁·Mass]] + tblTankTypes.Base[[#This Row],[Resource₂·Mass]]</f>
        <v>0.80000000000000016</v>
      </c>
      <c r="AE22" s="2">
        <f>tblTankTypes.Base[[#This Row],[Resource₀·Cost]] + tblTankTypes.Base[[#This Row],[Resource₁·Cost]] + tblTankTypes.Base[[#This Row],[Resource₂·Cost]]</f>
        <v>0.112</v>
      </c>
      <c r="AF22" s="13">
        <f>tblTankTypes.Base[[#This Row],[Resource₀·Tank·Mass]] + tblTankTypes.Base[[#This Row],[Resource₁·Tank·Mass]] + tblTankTypes.Base[[#This Row],[Resource₂·Tank·Mass]]</f>
        <v>0.11428571428571441</v>
      </c>
      <c r="AG22" s="2">
        <f>tblTankTypes.Base[[#This Row],[Tank·Mass·Dry]] + tblTankTypes.Base[[#This Row],[Resources·Mass]]</f>
        <v>0.91428571428571459</v>
      </c>
      <c r="AH22" s="2">
        <f>(tblTankTypes.Base[[#This Row],[Resource₀·Tank·Cost]] + tblTankTypes.Base[[#This Row],[Resource₁·Tank·Cost]] + tblTankTypes.Base[[#This Row],[Resource₂·Tank·Cost]]) * tblTankTypes.Base[[#This Row],[TankCost·Mult]]</f>
        <v>9.1428571428571526E-2</v>
      </c>
      <c r="AI22" s="13">
        <f>tblTankTypes.Base[[#This Row],[Tank·Cost·Dry]] + tblTankTypes.Base[[#This Row],[Resources·Cost]]</f>
        <v>0.20342857142857151</v>
      </c>
      <c r="AJ22" s="13">
        <f>tblTankTypes.Base[[#This Row],[Tank·Mass·Dry]] / tblTankTypes.Base[[#This Row],[Tank·Mass·Wet]]</f>
        <v>0.12500000000000008</v>
      </c>
    </row>
    <row r="23" spans="1:36" ht="15.95" customHeight="1" x14ac:dyDescent="0.35">
      <c r="A23" s="4" t="s">
        <v>58</v>
      </c>
      <c r="B23" s="10" t="s">
        <v>6</v>
      </c>
      <c r="C23" s="7">
        <f>0.8 * C21</f>
        <v>0.30000000000000004</v>
      </c>
      <c r="D23" s="8">
        <v>0.14285714285714299</v>
      </c>
      <c r="E23" s="14">
        <v>0</v>
      </c>
      <c r="F23" s="14">
        <v>1</v>
      </c>
      <c r="G23" s="10" t="s">
        <v>112</v>
      </c>
      <c r="H23" s="12">
        <v>0.5</v>
      </c>
      <c r="I23" s="12">
        <v>0.14285714285714299</v>
      </c>
      <c r="J23" s="14">
        <v>0</v>
      </c>
      <c r="K23" s="14">
        <v>1</v>
      </c>
      <c r="L23" s="10" t="s">
        <v>9</v>
      </c>
      <c r="M23" s="12">
        <v>0.2</v>
      </c>
      <c r="N23" s="12">
        <v>0.14285714285714285</v>
      </c>
      <c r="O23" s="14">
        <v>0</v>
      </c>
      <c r="P23" s="14">
        <v>1</v>
      </c>
      <c r="Q23" s="14">
        <v>1</v>
      </c>
      <c r="R23" s="2">
        <f>_xlfn.XLOOKUP(tblTankTypes.Base[[#This Row],[Resource₀]], tblResources[Resource], tblResources[Mass], #N/A, 0, 1) * tblTankTypes.Base[[#This Row],[Resource₀·Volume]]</f>
        <v>0.24000000000000005</v>
      </c>
      <c r="S23" s="2">
        <f>_xlfn.XLOOKUP(tblTankTypes.Base[[#This Row],[Resource₀]], tblResources[Resource], tblResources[Cost], #N/A, 0, 1) * tblTankTypes.Base[[#This Row],[Resource₀·Volume]]</f>
        <v>2.4000000000000004E-2</v>
      </c>
      <c r="T23" s="2">
        <f>tblTankTypes.Base[[#This Row],[Resource₀·Tank]] * tblTankTypes.Base[[#This Row],[Resource₀·Mass]] + tblTankTypes.Base[[#This Row],[Resource₀·Volume]] * tblTankTypes.Base[[#This Row],[Resource₀·TankMass]]</f>
        <v>3.4285714285714322E-2</v>
      </c>
      <c r="U23" s="2">
        <f>0.8 * tblTankTypes.Base[[#This Row],[Resource₀·Tank·Mass]] * tblTankTypes.Base[[#This Row],[Resource₀·TankCostMult]]</f>
        <v>2.7428571428571458E-2</v>
      </c>
      <c r="V23" s="2">
        <f>_xlfn.XLOOKUP(tblTankTypes.Base[[#This Row],[Resource₁]], tblResources[Resource], tblResources[Mass], #N/A, 0, 1) * tblTankTypes.Base[[#This Row],[Resource₁·Volume]]</f>
        <v>0.57050000000000001</v>
      </c>
      <c r="W23" s="2">
        <f>_xlfn.XLOOKUP(tblTankTypes.Base[[#This Row],[Resource₁]], tblResources[Resource], tblResources[Cost], #N/A, 0, 1) * tblTankTypes.Base[[#This Row],[Resource₁·Volume]]</f>
        <v>2.282E-2</v>
      </c>
      <c r="X23" s="2">
        <f>tblTankTypes.Base[[#This Row],[Resource₁·Tank]] * tblTankTypes.Base[[#This Row],[Resource₁·Mass]] + tblTankTypes.Base[[#This Row],[Resource₁·Volume]] * tblTankTypes.Base[[#This Row],[Resource₁·TankMass]]</f>
        <v>8.1500000000000072E-2</v>
      </c>
      <c r="Y23" s="2">
        <f>0.8 * tblTankTypes.Base[[#This Row],[Resource₁·Tank·Mass]] * tblTankTypes.Base[[#This Row],[Resource₁·TankCostMult]]</f>
        <v>6.5200000000000063E-2</v>
      </c>
      <c r="Z23" s="2">
        <f>_xlfn.XLOOKUP(tblTankTypes.Base[[#This Row],[Resource₂]], tblResources[Resource], tblResources[Mass], #N/A, 0, 1) * tblTankTypes.Base[[#This Row],[Resource₂·Volume]]</f>
        <v>0.16000000000000003</v>
      </c>
      <c r="AA23" s="2">
        <f>_xlfn.XLOOKUP(tblTankTypes.Base[[#This Row],[Resource₂]], tblResources[Resource], tblResources[Cost], #N/A, 0, 1) * tblTankTypes.Base[[#This Row],[Resource₂·Volume]]</f>
        <v>4.8000000000000001E-2</v>
      </c>
      <c r="AB23" s="2">
        <f>tblTankTypes.Base[[#This Row],[Resource₂·Tank]] * tblTankTypes.Base[[#This Row],[Resource₂·Mass]] + tblTankTypes.Base[[#This Row],[Resource₂·Volume]] * tblTankTypes.Base[[#This Row],[Resource₂·TankMass]]</f>
        <v>2.2857142857142861E-2</v>
      </c>
      <c r="AC23" s="2">
        <f>0.8 * tblTankTypes.Base[[#This Row],[Resource₂·Tank·Mass]] * tblTankTypes.Base[[#This Row],[Resource₂·TankCostMult]]</f>
        <v>1.8285714285714291E-2</v>
      </c>
      <c r="AD23" s="2">
        <f>tblTankTypes.Base[[#This Row],[Resource₀·Mass]] + tblTankTypes.Base[[#This Row],[Resource₁·Mass]] + tblTankTypes.Base[[#This Row],[Resource₂·Mass]]</f>
        <v>0.97050000000000003</v>
      </c>
      <c r="AE23" s="2">
        <f>tblTankTypes.Base[[#This Row],[Resource₀·Cost]] + tblTankTypes.Base[[#This Row],[Resource₁·Cost]] + tblTankTypes.Base[[#This Row],[Resource₂·Cost]]</f>
        <v>9.4820000000000002E-2</v>
      </c>
      <c r="AF23" s="13">
        <f>tblTankTypes.Base[[#This Row],[Resource₀·Tank·Mass]] + tblTankTypes.Base[[#This Row],[Resource₁·Tank·Mass]] + tblTankTypes.Base[[#This Row],[Resource₂·Tank·Mass]]</f>
        <v>0.13864285714285726</v>
      </c>
      <c r="AG23" s="2">
        <f>tblTankTypes.Base[[#This Row],[Tank·Mass·Dry]] + tblTankTypes.Base[[#This Row],[Resources·Mass]]</f>
        <v>1.1091428571428572</v>
      </c>
      <c r="AH23" s="2">
        <f>(tblTankTypes.Base[[#This Row],[Resource₀·Tank·Cost]] + tblTankTypes.Base[[#This Row],[Resource₁·Tank·Cost]] + tblTankTypes.Base[[#This Row],[Resource₂·Tank·Cost]]) * tblTankTypes.Base[[#This Row],[TankCost·Mult]]</f>
        <v>0.11091428571428581</v>
      </c>
      <c r="AI23" s="13">
        <f>tblTankTypes.Base[[#This Row],[Tank·Cost·Dry]] + tblTankTypes.Base[[#This Row],[Resources·Cost]]</f>
        <v>0.20573428571428581</v>
      </c>
      <c r="AJ23" s="13">
        <f>tblTankTypes.Base[[#This Row],[Tank·Mass·Dry]] / tblTankTypes.Base[[#This Row],[Tank·Mass·Wet]]</f>
        <v>0.12500000000000011</v>
      </c>
    </row>
    <row r="24" spans="1:36" ht="15.95" customHeight="1" x14ac:dyDescent="0.35">
      <c r="A24" s="4" t="s">
        <v>60</v>
      </c>
      <c r="B24" s="10" t="s">
        <v>9</v>
      </c>
      <c r="C24" s="7">
        <v>1</v>
      </c>
      <c r="D24" s="8">
        <v>0.14285714285714285</v>
      </c>
      <c r="E24" s="14">
        <v>0</v>
      </c>
      <c r="F24" s="14">
        <v>1</v>
      </c>
      <c r="G24" s="10" t="s">
        <v>3</v>
      </c>
      <c r="H24" s="12">
        <v>0</v>
      </c>
      <c r="I24" s="12">
        <v>0</v>
      </c>
      <c r="J24" s="14">
        <v>0</v>
      </c>
      <c r="K24" s="14">
        <v>1</v>
      </c>
      <c r="L24" s="10" t="s">
        <v>3</v>
      </c>
      <c r="M24" s="12">
        <v>0</v>
      </c>
      <c r="N24" s="12">
        <v>0</v>
      </c>
      <c r="O24" s="14">
        <v>0</v>
      </c>
      <c r="P24" s="14">
        <v>1</v>
      </c>
      <c r="Q24" s="14">
        <v>1</v>
      </c>
      <c r="R24" s="2">
        <f>_xlfn.XLOOKUP(tblTankTypes.Base[[#This Row],[Resource₀]], tblResources[Resource], tblResources[Mass], #N/A, 0, 1) * tblTankTypes.Base[[#This Row],[Resource₀·Volume]]</f>
        <v>0.8</v>
      </c>
      <c r="S24" s="2">
        <f>_xlfn.XLOOKUP(tblTankTypes.Base[[#This Row],[Resource₀]], tblResources[Resource], tblResources[Cost], #N/A, 0, 1) * tblTankTypes.Base[[#This Row],[Resource₀·Volume]]</f>
        <v>0.24</v>
      </c>
      <c r="T24" s="2">
        <f>tblTankTypes.Base[[#This Row],[Resource₀·Tank]] * tblTankTypes.Base[[#This Row],[Resource₀·Mass]] + tblTankTypes.Base[[#This Row],[Resource₀·Volume]] * tblTankTypes.Base[[#This Row],[Resource₀·TankMass]]</f>
        <v>0.11428571428571428</v>
      </c>
      <c r="U24" s="2">
        <f>0.8 * tblTankTypes.Base[[#This Row],[Resource₀·Tank·Mass]] * tblTankTypes.Base[[#This Row],[Resource₀·TankCostMult]]</f>
        <v>9.1428571428571428E-2</v>
      </c>
      <c r="V24" s="2">
        <f>_xlfn.XLOOKUP(tblTankTypes.Base[[#This Row],[Resource₁]], tblResources[Resource], tblResources[Mass], #N/A, 0, 1) * tblTankTypes.Base[[#This Row],[Resource₁·Volume]]</f>
        <v>0</v>
      </c>
      <c r="W24" s="2">
        <f>_xlfn.XLOOKUP(tblTankTypes.Base[[#This Row],[Resource₁]], tblResources[Resource], tblResources[Cost], #N/A, 0, 1) * tblTankTypes.Base[[#This Row],[Resource₁·Volume]]</f>
        <v>0</v>
      </c>
      <c r="X24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24" s="2">
        <f>0.8 * tblTankTypes.Base[[#This Row],[Resource₁·Tank·Mass]] * tblTankTypes.Base[[#This Row],[Resource₁·TankCostMult]]</f>
        <v>0</v>
      </c>
      <c r="Z24" s="2">
        <f>_xlfn.XLOOKUP(tblTankTypes.Base[[#This Row],[Resource₂]], tblResources[Resource], tblResources[Mass], #N/A, 0, 1) * tblTankTypes.Base[[#This Row],[Resource₂·Volume]]</f>
        <v>0</v>
      </c>
      <c r="AA24" s="2">
        <f>_xlfn.XLOOKUP(tblTankTypes.Base[[#This Row],[Resource₂]], tblResources[Resource], tblResources[Cost], #N/A, 0, 1) * tblTankTypes.Base[[#This Row],[Resource₂·Volume]]</f>
        <v>0</v>
      </c>
      <c r="AB24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4" s="2">
        <f>0.8 * tblTankTypes.Base[[#This Row],[Resource₂·Tank·Mass]] * tblTankTypes.Base[[#This Row],[Resource₂·TankCostMult]]</f>
        <v>0</v>
      </c>
      <c r="AD24" s="2">
        <f>tblTankTypes.Base[[#This Row],[Resource₀·Mass]] + tblTankTypes.Base[[#This Row],[Resource₁·Mass]] + tblTankTypes.Base[[#This Row],[Resource₂·Mass]]</f>
        <v>0.8</v>
      </c>
      <c r="AE24" s="2">
        <f>tblTankTypes.Base[[#This Row],[Resource₀·Cost]] + tblTankTypes.Base[[#This Row],[Resource₁·Cost]] + tblTankTypes.Base[[#This Row],[Resource₂·Cost]]</f>
        <v>0.24</v>
      </c>
      <c r="AF24" s="13">
        <f>tblTankTypes.Base[[#This Row],[Resource₀·Tank·Mass]] + tblTankTypes.Base[[#This Row],[Resource₁·Tank·Mass]] + tblTankTypes.Base[[#This Row],[Resource₂·Tank·Mass]]</f>
        <v>0.11428571428571428</v>
      </c>
      <c r="AG24" s="2">
        <f>tblTankTypes.Base[[#This Row],[Tank·Mass·Dry]] + tblTankTypes.Base[[#This Row],[Resources·Mass]]</f>
        <v>0.91428571428571437</v>
      </c>
      <c r="AH24" s="2">
        <f>(tblTankTypes.Base[[#This Row],[Resource₀·Tank·Cost]] + tblTankTypes.Base[[#This Row],[Resource₁·Tank·Cost]] + tblTankTypes.Base[[#This Row],[Resource₂·Tank·Cost]]) * tblTankTypes.Base[[#This Row],[TankCost·Mult]]</f>
        <v>9.1428571428571428E-2</v>
      </c>
      <c r="AI24" s="13">
        <f>tblTankTypes.Base[[#This Row],[Tank·Cost·Dry]] + tblTankTypes.Base[[#This Row],[Resources·Cost]]</f>
        <v>0.33142857142857141</v>
      </c>
      <c r="AJ24" s="13">
        <f>tblTankTypes.Base[[#This Row],[Tank·Mass·Dry]] / tblTankTypes.Base[[#This Row],[Tank·Mass·Wet]]</f>
        <v>0.12499999999999999</v>
      </c>
    </row>
    <row r="25" spans="1:36" ht="15.95" customHeight="1" x14ac:dyDescent="0.35">
      <c r="A25" s="4" t="s">
        <v>61</v>
      </c>
      <c r="B25" s="9" t="s">
        <v>6</v>
      </c>
      <c r="C25" s="8">
        <v>0.96</v>
      </c>
      <c r="D25" s="8">
        <v>0.14285714285714285</v>
      </c>
      <c r="E25" s="14">
        <v>0</v>
      </c>
      <c r="F25" s="14">
        <v>1</v>
      </c>
      <c r="G25" s="9" t="s">
        <v>9</v>
      </c>
      <c r="H25" s="8">
        <v>0.04</v>
      </c>
      <c r="I25" s="8">
        <v>0.14285714285714285</v>
      </c>
      <c r="J25" s="14">
        <v>0</v>
      </c>
      <c r="K25" s="14">
        <v>1</v>
      </c>
      <c r="L25" s="9" t="s">
        <v>3</v>
      </c>
      <c r="M25" s="8">
        <v>0</v>
      </c>
      <c r="N25" s="8">
        <v>0</v>
      </c>
      <c r="O25" s="14">
        <v>0</v>
      </c>
      <c r="P25" s="14">
        <v>1</v>
      </c>
      <c r="Q25" s="14">
        <v>1</v>
      </c>
      <c r="R25" s="2">
        <f>_xlfn.XLOOKUP(tblTankTypes.Base[[#This Row],[Resource₀]], tblResources[Resource], tblResources[Mass], #N/A, 0, 1) * tblTankTypes.Base[[#This Row],[Resource₀·Volume]]</f>
        <v>0.76800000000000002</v>
      </c>
      <c r="S25" s="2">
        <f>_xlfn.XLOOKUP(tblTankTypes.Base[[#This Row],[Resource₀]], tblResources[Resource], tblResources[Cost], #N/A, 0, 1) * tblTankTypes.Base[[#This Row],[Resource₀·Volume]]</f>
        <v>7.6799999999999993E-2</v>
      </c>
      <c r="T25" s="2">
        <f>tblTankTypes.Base[[#This Row],[Resource₀·Tank]] * tblTankTypes.Base[[#This Row],[Resource₀·Mass]] + tblTankTypes.Base[[#This Row],[Resource₀·Volume]] * tblTankTypes.Base[[#This Row],[Resource₀·TankMass]]</f>
        <v>0.10971428571428571</v>
      </c>
      <c r="U25" s="2">
        <f>0.8 * tblTankTypes.Base[[#This Row],[Resource₀·Tank·Mass]] * tblTankTypes.Base[[#This Row],[Resource₀·TankCostMult]]</f>
        <v>8.777142857142857E-2</v>
      </c>
      <c r="V25" s="2">
        <f>_xlfn.XLOOKUP(tblTankTypes.Base[[#This Row],[Resource₁]], tblResources[Resource], tblResources[Mass], #N/A, 0, 1) * tblTankTypes.Base[[#This Row],[Resource₁·Volume]]</f>
        <v>3.2000000000000001E-2</v>
      </c>
      <c r="W25" s="2">
        <f>_xlfn.XLOOKUP(tblTankTypes.Base[[#This Row],[Resource₁]], tblResources[Resource], tblResources[Cost], #N/A, 0, 1) * tblTankTypes.Base[[#This Row],[Resource₁·Volume]]</f>
        <v>9.5999999999999992E-3</v>
      </c>
      <c r="X25" s="2">
        <f>tblTankTypes.Base[[#This Row],[Resource₁·Tank]] * tblTankTypes.Base[[#This Row],[Resource₁·Mass]] + tblTankTypes.Base[[#This Row],[Resource₁·Volume]] * tblTankTypes.Base[[#This Row],[Resource₁·TankMass]]</f>
        <v>4.5714285714285709E-3</v>
      </c>
      <c r="Y25" s="2">
        <f>0.8 * tblTankTypes.Base[[#This Row],[Resource₁·Tank·Mass]] * tblTankTypes.Base[[#This Row],[Resource₁·TankCostMult]]</f>
        <v>3.6571428571428571E-3</v>
      </c>
      <c r="Z25" s="2">
        <f>_xlfn.XLOOKUP(tblTankTypes.Base[[#This Row],[Resource₂]], tblResources[Resource], tblResources[Mass], #N/A, 0, 1) * tblTankTypes.Base[[#This Row],[Resource₂·Volume]]</f>
        <v>0</v>
      </c>
      <c r="AA25" s="2">
        <f>_xlfn.XLOOKUP(tblTankTypes.Base[[#This Row],[Resource₂]], tblResources[Resource], tblResources[Cost], #N/A, 0, 1) * tblTankTypes.Base[[#This Row],[Resource₂·Volume]]</f>
        <v>0</v>
      </c>
      <c r="AB25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5" s="2">
        <f>0.8 * tblTankTypes.Base[[#This Row],[Resource₂·Tank·Mass]] * tblTankTypes.Base[[#This Row],[Resource₂·TankCostMult]]</f>
        <v>0</v>
      </c>
      <c r="AD25" s="2">
        <f>tblTankTypes.Base[[#This Row],[Resource₀·Mass]] + tblTankTypes.Base[[#This Row],[Resource₁·Mass]] + tblTankTypes.Base[[#This Row],[Resource₂·Mass]]</f>
        <v>0.8</v>
      </c>
      <c r="AE25" s="2">
        <f>tblTankTypes.Base[[#This Row],[Resource₀·Cost]] + tblTankTypes.Base[[#This Row],[Resource₁·Cost]] + tblTankTypes.Base[[#This Row],[Resource₂·Cost]]</f>
        <v>8.6399999999999991E-2</v>
      </c>
      <c r="AF25" s="2">
        <f>tblTankTypes.Base[[#This Row],[Resource₀·Tank·Mass]] + tblTankTypes.Base[[#This Row],[Resource₁·Tank·Mass]] + tblTankTypes.Base[[#This Row],[Resource₂·Tank·Mass]]</f>
        <v>0.11428571428571428</v>
      </c>
      <c r="AG25" s="2">
        <f>tblTankTypes.Base[[#This Row],[Tank·Mass·Dry]] + tblTankTypes.Base[[#This Row],[Resources·Mass]]</f>
        <v>0.91428571428571437</v>
      </c>
      <c r="AH25" s="2">
        <f>(tblTankTypes.Base[[#This Row],[Resource₀·Tank·Cost]] + tblTankTypes.Base[[#This Row],[Resource₁·Tank·Cost]] + tblTankTypes.Base[[#This Row],[Resource₂·Tank·Cost]]) * tblTankTypes.Base[[#This Row],[TankCost·Mult]]</f>
        <v>9.1428571428571428E-2</v>
      </c>
      <c r="AI25" s="2">
        <f>tblTankTypes.Base[[#This Row],[Tank·Cost·Dry]] + tblTankTypes.Base[[#This Row],[Resources·Cost]]</f>
        <v>0.17782857142857142</v>
      </c>
      <c r="AJ25" s="13">
        <f>tblTankTypes.Base[[#This Row],[Tank·Mass·Dry]] / tblTankTypes.Base[[#This Row],[Tank·Mass·Wet]]</f>
        <v>0.12499999999999999</v>
      </c>
    </row>
    <row r="26" spans="1:36" ht="15.95" customHeight="1" x14ac:dyDescent="0.35">
      <c r="A26" s="4" t="s">
        <v>62</v>
      </c>
      <c r="B26" s="9" t="s">
        <v>6</v>
      </c>
      <c r="C26" s="7">
        <f>0.96*0.375</f>
        <v>0.36</v>
      </c>
      <c r="D26" s="8">
        <v>0.14285714285714285</v>
      </c>
      <c r="E26" s="14">
        <v>0</v>
      </c>
      <c r="F26" s="14">
        <v>1</v>
      </c>
      <c r="G26" s="9" t="s">
        <v>112</v>
      </c>
      <c r="H26" s="8">
        <f>0.96*0.625</f>
        <v>0.6</v>
      </c>
      <c r="I26" s="8">
        <v>0.14285714285714285</v>
      </c>
      <c r="J26" s="14">
        <v>0</v>
      </c>
      <c r="K26" s="14">
        <v>1</v>
      </c>
      <c r="L26" s="10" t="s">
        <v>9</v>
      </c>
      <c r="M26" s="12">
        <v>0.2</v>
      </c>
      <c r="N26" s="12">
        <v>0.14285714285714285</v>
      </c>
      <c r="O26" s="14">
        <v>0</v>
      </c>
      <c r="P26" s="14">
        <v>1</v>
      </c>
      <c r="Q26" s="14">
        <v>1</v>
      </c>
      <c r="R26" s="2">
        <f>_xlfn.XLOOKUP(tblTankTypes.Base[[#This Row],[Resource₀]], tblResources[Resource], tblResources[Mass], #N/A, 0, 1) * tblTankTypes.Base[[#This Row],[Resource₀·Volume]]</f>
        <v>0.28799999999999998</v>
      </c>
      <c r="S26" s="2">
        <f>_xlfn.XLOOKUP(tblTankTypes.Base[[#This Row],[Resource₀]], tblResources[Resource], tblResources[Cost], #N/A, 0, 1) * tblTankTypes.Base[[#This Row],[Resource₀·Volume]]</f>
        <v>2.8799999999999999E-2</v>
      </c>
      <c r="T26" s="2">
        <f>tblTankTypes.Base[[#This Row],[Resource₀·Tank]] * tblTankTypes.Base[[#This Row],[Resource₀·Mass]] + tblTankTypes.Base[[#This Row],[Resource₀·Volume]] * tblTankTypes.Base[[#This Row],[Resource₀·TankMass]]</f>
        <v>4.1142857142857141E-2</v>
      </c>
      <c r="U26" s="2">
        <f>0.8 * tblTankTypes.Base[[#This Row],[Resource₀·Tank·Mass]] * tblTankTypes.Base[[#This Row],[Resource₀·TankCostMult]]</f>
        <v>3.2914285714285715E-2</v>
      </c>
      <c r="V26" s="2">
        <f>_xlfn.XLOOKUP(tblTankTypes.Base[[#This Row],[Resource₁]], tblResources[Resource], tblResources[Mass], #N/A, 0, 1) * tblTankTypes.Base[[#This Row],[Resource₁·Volume]]</f>
        <v>0.68459999999999999</v>
      </c>
      <c r="W26" s="2">
        <f>_xlfn.XLOOKUP(tblTankTypes.Base[[#This Row],[Resource₁]], tblResources[Resource], tblResources[Cost], #N/A, 0, 1) * tblTankTypes.Base[[#This Row],[Resource₁·Volume]]</f>
        <v>2.7383999999999999E-2</v>
      </c>
      <c r="X26" s="2">
        <f>tblTankTypes.Base[[#This Row],[Resource₁·Tank]] * tblTankTypes.Base[[#This Row],[Resource₁·Mass]] + tblTankTypes.Base[[#This Row],[Resource₁·Volume]] * tblTankTypes.Base[[#This Row],[Resource₁·TankMass]]</f>
        <v>9.7799999999999998E-2</v>
      </c>
      <c r="Y26" s="2">
        <f>0.8 * tblTankTypes.Base[[#This Row],[Resource₁·Tank·Mass]] * tblTankTypes.Base[[#This Row],[Resource₁·TankCostMult]]</f>
        <v>7.8240000000000004E-2</v>
      </c>
      <c r="Z26" s="2">
        <f>_xlfn.XLOOKUP(tblTankTypes.Base[[#This Row],[Resource₂]], tblResources[Resource], tblResources[Mass], #N/A, 0, 1) * tblTankTypes.Base[[#This Row],[Resource₂·Volume]]</f>
        <v>0.16000000000000003</v>
      </c>
      <c r="AA26" s="2">
        <f>_xlfn.XLOOKUP(tblTankTypes.Base[[#This Row],[Resource₂]], tblResources[Resource], tblResources[Cost], #N/A, 0, 1) * tblTankTypes.Base[[#This Row],[Resource₂·Volume]]</f>
        <v>4.8000000000000001E-2</v>
      </c>
      <c r="AB26" s="2">
        <f>tblTankTypes.Base[[#This Row],[Resource₂·Tank]] * tblTankTypes.Base[[#This Row],[Resource₂·Mass]] + tblTankTypes.Base[[#This Row],[Resource₂·Volume]] * tblTankTypes.Base[[#This Row],[Resource₂·TankMass]]</f>
        <v>2.2857142857142861E-2</v>
      </c>
      <c r="AC26" s="2">
        <f>0.8 * tblTankTypes.Base[[#This Row],[Resource₂·Tank·Mass]] * tblTankTypes.Base[[#This Row],[Resource₂·TankCostMult]]</f>
        <v>1.8285714285714291E-2</v>
      </c>
      <c r="AD26" s="2">
        <f>tblTankTypes.Base[[#This Row],[Resource₀·Mass]] + tblTankTypes.Base[[#This Row],[Resource₁·Mass]] + tblTankTypes.Base[[#This Row],[Resource₂·Mass]]</f>
        <v>1.1326000000000001</v>
      </c>
      <c r="AE26" s="2">
        <f>tblTankTypes.Base[[#This Row],[Resource₀·Cost]] + tblTankTypes.Base[[#This Row],[Resource₁·Cost]] + tblTankTypes.Base[[#This Row],[Resource₂·Cost]]</f>
        <v>0.104184</v>
      </c>
      <c r="AF26" s="2">
        <f>tblTankTypes.Base[[#This Row],[Resource₀·Tank·Mass]] + tblTankTypes.Base[[#This Row],[Resource₁·Tank·Mass]] + tblTankTypes.Base[[#This Row],[Resource₂·Tank·Mass]]</f>
        <v>0.1618</v>
      </c>
      <c r="AG26" s="2">
        <f>tblTankTypes.Base[[#This Row],[Tank·Mass·Dry]] + tblTankTypes.Base[[#This Row],[Resources·Mass]]</f>
        <v>1.2944</v>
      </c>
      <c r="AH26" s="2">
        <f>(tblTankTypes.Base[[#This Row],[Resource₀·Tank·Cost]] + tblTankTypes.Base[[#This Row],[Resource₁·Tank·Cost]] + tblTankTypes.Base[[#This Row],[Resource₂·Tank·Cost]]) * tblTankTypes.Base[[#This Row],[TankCost·Mult]]</f>
        <v>0.12944</v>
      </c>
      <c r="AI26" s="2">
        <f>tblTankTypes.Base[[#This Row],[Tank·Cost·Dry]] + tblTankTypes.Base[[#This Row],[Resources·Cost]]</f>
        <v>0.233624</v>
      </c>
      <c r="AJ26" s="13">
        <f>tblTankTypes.Base[[#This Row],[Tank·Mass·Dry]] / tblTankTypes.Base[[#This Row],[Tank·Mass·Wet]]</f>
        <v>0.125</v>
      </c>
    </row>
    <row r="27" spans="1:36" ht="15.95" customHeight="1" x14ac:dyDescent="0.35">
      <c r="A27" s="4" t="s">
        <v>146</v>
      </c>
      <c r="B27" s="9" t="s">
        <v>114</v>
      </c>
      <c r="C27" s="8">
        <v>1.5</v>
      </c>
      <c r="D27" s="8">
        <v>0.25</v>
      </c>
      <c r="E27" s="14">
        <v>0</v>
      </c>
      <c r="F27" s="14">
        <v>5</v>
      </c>
      <c r="G27" s="9" t="s">
        <v>3</v>
      </c>
      <c r="H27" s="8">
        <v>0</v>
      </c>
      <c r="I27" s="8">
        <v>0</v>
      </c>
      <c r="J27" s="14">
        <v>0</v>
      </c>
      <c r="K27" s="14">
        <v>1</v>
      </c>
      <c r="L27" s="9" t="s">
        <v>3</v>
      </c>
      <c r="M27" s="8">
        <v>0</v>
      </c>
      <c r="N27" s="8">
        <v>0</v>
      </c>
      <c r="O27" s="14">
        <v>0</v>
      </c>
      <c r="P27" s="14">
        <v>1</v>
      </c>
      <c r="Q27" s="14">
        <v>1</v>
      </c>
      <c r="R27" s="2">
        <f>_xlfn.XLOOKUP(tblTankTypes.Base[[#This Row],[Resource₀]], tblResources[Resource], tblResources[Mass], #N/A, 0, 1) * tblTankTypes.Base[[#This Row],[Resource₀·Volume]]</f>
        <v>0.10627499999999999</v>
      </c>
      <c r="S27" s="2">
        <f>_xlfn.XLOOKUP(tblTankTypes.Base[[#This Row],[Resource₀]], tblResources[Resource], tblResources[Cost], #N/A, 0, 1) * tblTankTypes.Base[[#This Row],[Resource₀·Volume]]</f>
        <v>5.5124999999999993E-2</v>
      </c>
      <c r="T27" s="2">
        <f>tblTankTypes.Base[[#This Row],[Resource₀·Tank]] * tblTankTypes.Base[[#This Row],[Resource₀·Mass]] + tblTankTypes.Base[[#This Row],[Resource₀·Volume]] * tblTankTypes.Base[[#This Row],[Resource₀·TankMass]]</f>
        <v>2.6568749999999999E-2</v>
      </c>
      <c r="U27" s="2">
        <f>0.8 * tblTankTypes.Base[[#This Row],[Resource₀·Tank·Mass]] * tblTankTypes.Base[[#This Row],[Resource₀·TankCostMult]]</f>
        <v>0.10627499999999999</v>
      </c>
      <c r="V27" s="2">
        <f>_xlfn.XLOOKUP(tblTankTypes.Base[[#This Row],[Resource₁]], tblResources[Resource], tblResources[Mass], #N/A, 0, 1) * tblTankTypes.Base[[#This Row],[Resource₁·Volume]]</f>
        <v>0</v>
      </c>
      <c r="W27" s="2">
        <f>_xlfn.XLOOKUP(tblTankTypes.Base[[#This Row],[Resource₁]], tblResources[Resource], tblResources[Cost], #N/A, 0, 1) * tblTankTypes.Base[[#This Row],[Resource₁·Volume]]</f>
        <v>0</v>
      </c>
      <c r="X27" s="2">
        <f>tblTankTypes.Base[[#This Row],[Resource₁·Tank]] * tblTankTypes.Base[[#This Row],[Resource₁·Mass]] + tblTankTypes.Base[[#This Row],[Resource₁·Volume]] * tblTankTypes.Base[[#This Row],[Resource₁·TankMass]]</f>
        <v>0</v>
      </c>
      <c r="Y27" s="2">
        <f>0.8 * tblTankTypes.Base[[#This Row],[Resource₁·Tank·Mass]] * tblTankTypes.Base[[#This Row],[Resource₁·TankCostMult]]</f>
        <v>0</v>
      </c>
      <c r="Z27" s="2">
        <f>_xlfn.XLOOKUP(tblTankTypes.Base[[#This Row],[Resource₂]], tblResources[Resource], tblResources[Mass], #N/A, 0, 1) * tblTankTypes.Base[[#This Row],[Resource₂·Volume]]</f>
        <v>0</v>
      </c>
      <c r="AA27" s="2">
        <f>_xlfn.XLOOKUP(tblTankTypes.Base[[#This Row],[Resource₂]], tblResources[Resource], tblResources[Cost], #N/A, 0, 1) * tblTankTypes.Base[[#This Row],[Resource₂·Volume]]</f>
        <v>0</v>
      </c>
      <c r="AB27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7" s="2">
        <f>0.8 * tblTankTypes.Base[[#This Row],[Resource₂·Tank·Mass]] * tblTankTypes.Base[[#This Row],[Resource₂·TankCostMult]]</f>
        <v>0</v>
      </c>
      <c r="AD27" s="2">
        <f>tblTankTypes.Base[[#This Row],[Resource₀·Mass]] + tblTankTypes.Base[[#This Row],[Resource₁·Mass]] + tblTankTypes.Base[[#This Row],[Resource₂·Mass]]</f>
        <v>0.10627499999999999</v>
      </c>
      <c r="AE27" s="2">
        <f>tblTankTypes.Base[[#This Row],[Resource₀·Cost]] + tblTankTypes.Base[[#This Row],[Resource₁·Cost]] + tblTankTypes.Base[[#This Row],[Resource₂·Cost]]</f>
        <v>5.5124999999999993E-2</v>
      </c>
      <c r="AF27" s="2">
        <f>tblTankTypes.Base[[#This Row],[Resource₀·Tank·Mass]] + tblTankTypes.Base[[#This Row],[Resource₁·Tank·Mass]] + tblTankTypes.Base[[#This Row],[Resource₂·Tank·Mass]]</f>
        <v>2.6568749999999999E-2</v>
      </c>
      <c r="AG27" s="2">
        <f>tblTankTypes.Base[[#This Row],[Tank·Mass·Dry]] + tblTankTypes.Base[[#This Row],[Resources·Mass]]</f>
        <v>0.13284374999999998</v>
      </c>
      <c r="AH27" s="2">
        <f>(tblTankTypes.Base[[#This Row],[Resource₀·Tank·Cost]] + tblTankTypes.Base[[#This Row],[Resource₁·Tank·Cost]] + tblTankTypes.Base[[#This Row],[Resource₂·Tank·Cost]]) * tblTankTypes.Base[[#This Row],[TankCost·Mult]]</f>
        <v>0.10627499999999999</v>
      </c>
      <c r="AI27" s="2">
        <f>tblTankTypes.Base[[#This Row],[Tank·Cost·Dry]] + tblTankTypes.Base[[#This Row],[Resources·Cost]]</f>
        <v>0.16139999999999999</v>
      </c>
      <c r="AJ27" s="13">
        <f>tblTankTypes.Base[[#This Row],[Tank·Mass·Dry]] / tblTankTypes.Base[[#This Row],[Tank·Mass·Wet]]</f>
        <v>0.2</v>
      </c>
    </row>
    <row r="28" spans="1:36" ht="15.95" customHeight="1" x14ac:dyDescent="0.35">
      <c r="A28" s="4" t="s">
        <v>63</v>
      </c>
      <c r="B28" s="9" t="s">
        <v>114</v>
      </c>
      <c r="C28" s="7">
        <v>1</v>
      </c>
      <c r="D28" s="8">
        <v>0.25</v>
      </c>
      <c r="E28" s="14">
        <v>0</v>
      </c>
      <c r="F28" s="14">
        <v>5</v>
      </c>
      <c r="G28" s="9" t="s">
        <v>112</v>
      </c>
      <c r="H28" s="8">
        <v>0.25</v>
      </c>
      <c r="I28" s="8">
        <v>0.14285714285714285</v>
      </c>
      <c r="J28" s="14">
        <v>0</v>
      </c>
      <c r="K28" s="14">
        <v>1</v>
      </c>
      <c r="L28" s="9" t="s">
        <v>3</v>
      </c>
      <c r="M28" s="8">
        <v>0</v>
      </c>
      <c r="N28" s="8">
        <v>0</v>
      </c>
      <c r="O28" s="14">
        <v>0</v>
      </c>
      <c r="P28" s="14">
        <v>1</v>
      </c>
      <c r="Q28" s="14">
        <v>1</v>
      </c>
      <c r="R28" s="2">
        <f>_xlfn.XLOOKUP(tblTankTypes.Base[[#This Row],[Resource₀]], tblResources[Resource], tblResources[Mass], #N/A, 0, 1) * tblTankTypes.Base[[#This Row],[Resource₀·Volume]]</f>
        <v>7.0849999999999996E-2</v>
      </c>
      <c r="S28" s="2">
        <f>_xlfn.XLOOKUP(tblTankTypes.Base[[#This Row],[Resource₀]], tblResources[Resource], tblResources[Cost], #N/A, 0, 1) * tblTankTypes.Base[[#This Row],[Resource₀·Volume]]</f>
        <v>3.6749999999999998E-2</v>
      </c>
      <c r="T28" s="2">
        <f>tblTankTypes.Base[[#This Row],[Resource₀·Tank]] * tblTankTypes.Base[[#This Row],[Resource₀·Mass]] + tblTankTypes.Base[[#This Row],[Resource₀·Volume]] * tblTankTypes.Base[[#This Row],[Resource₀·TankMass]]</f>
        <v>1.7712499999999999E-2</v>
      </c>
      <c r="U28" s="2">
        <f>0.8 * tblTankTypes.Base[[#This Row],[Resource₀·Tank·Mass]] * tblTankTypes.Base[[#This Row],[Resource₀·TankCostMult]]</f>
        <v>7.0849999999999996E-2</v>
      </c>
      <c r="V28" s="2">
        <f>_xlfn.XLOOKUP(tblTankTypes.Base[[#This Row],[Resource₁]], tblResources[Resource], tblResources[Mass], #N/A, 0, 1) * tblTankTypes.Base[[#This Row],[Resource₁·Volume]]</f>
        <v>0.28525</v>
      </c>
      <c r="W28" s="2">
        <f>_xlfn.XLOOKUP(tblTankTypes.Base[[#This Row],[Resource₁]], tblResources[Resource], tblResources[Cost], #N/A, 0, 1) * tblTankTypes.Base[[#This Row],[Resource₁·Volume]]</f>
        <v>1.141E-2</v>
      </c>
      <c r="X28" s="2">
        <f>tblTankTypes.Base[[#This Row],[Resource₁·Tank]] * tblTankTypes.Base[[#This Row],[Resource₁·Mass]] + tblTankTypes.Base[[#This Row],[Resource₁·Volume]] * tblTankTypes.Base[[#This Row],[Resource₁·TankMass]]</f>
        <v>4.0750000000000001E-2</v>
      </c>
      <c r="Y28" s="2">
        <f>0.8 * tblTankTypes.Base[[#This Row],[Resource₁·Tank·Mass]] * tblTankTypes.Base[[#This Row],[Resource₁·TankCostMult]]</f>
        <v>3.2600000000000004E-2</v>
      </c>
      <c r="Z28" s="2">
        <f>_xlfn.XLOOKUP(tblTankTypes.Base[[#This Row],[Resource₂]], tblResources[Resource], tblResources[Mass], #N/A, 0, 1) * tblTankTypes.Base[[#This Row],[Resource₂·Volume]]</f>
        <v>0</v>
      </c>
      <c r="AA28" s="2">
        <f>_xlfn.XLOOKUP(tblTankTypes.Base[[#This Row],[Resource₂]], tblResources[Resource], tblResources[Cost], #N/A, 0, 1) * tblTankTypes.Base[[#This Row],[Resource₂·Volume]]</f>
        <v>0</v>
      </c>
      <c r="AB28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8" s="2">
        <f>0.8 * tblTankTypes.Base[[#This Row],[Resource₂·Tank·Mass]] * tblTankTypes.Base[[#This Row],[Resource₂·TankCostMult]]</f>
        <v>0</v>
      </c>
      <c r="AD28" s="2">
        <f>tblTankTypes.Base[[#This Row],[Resource₀·Mass]] + tblTankTypes.Base[[#This Row],[Resource₁·Mass]] + tblTankTypes.Base[[#This Row],[Resource₂·Mass]]</f>
        <v>0.35609999999999997</v>
      </c>
      <c r="AE28" s="2">
        <f>tblTankTypes.Base[[#This Row],[Resource₀·Cost]] + tblTankTypes.Base[[#This Row],[Resource₁·Cost]] + tblTankTypes.Base[[#This Row],[Resource₂·Cost]]</f>
        <v>4.8159999999999994E-2</v>
      </c>
      <c r="AF28" s="2">
        <f>tblTankTypes.Base[[#This Row],[Resource₀·Tank·Mass]] + tblTankTypes.Base[[#This Row],[Resource₁·Tank·Mass]] + tblTankTypes.Base[[#This Row],[Resource₂·Tank·Mass]]</f>
        <v>5.8462500000000001E-2</v>
      </c>
      <c r="AG28" s="2">
        <f>tblTankTypes.Base[[#This Row],[Tank·Mass·Dry]] + tblTankTypes.Base[[#This Row],[Resources·Mass]]</f>
        <v>0.41456249999999994</v>
      </c>
      <c r="AH28" s="2">
        <f>(tblTankTypes.Base[[#This Row],[Resource₀·Tank·Cost]] + tblTankTypes.Base[[#This Row],[Resource₁·Tank·Cost]] + tblTankTypes.Base[[#This Row],[Resource₂·Tank·Cost]]) * tblTankTypes.Base[[#This Row],[TankCost·Mult]]</f>
        <v>0.10345</v>
      </c>
      <c r="AI28" s="2">
        <f>tblTankTypes.Base[[#This Row],[Tank·Cost·Dry]] + tblTankTypes.Base[[#This Row],[Resources·Cost]]</f>
        <v>0.15160999999999999</v>
      </c>
      <c r="AJ28" s="13">
        <f>tblTankTypes.Base[[#This Row],[Tank·Mass·Dry]] / tblTankTypes.Base[[#This Row],[Tank·Mass·Wet]]</f>
        <v>0.14102216191768432</v>
      </c>
    </row>
    <row r="29" spans="1:36" ht="15.95" customHeight="1" x14ac:dyDescent="0.35">
      <c r="A29" s="4" t="s">
        <v>147</v>
      </c>
      <c r="B29" s="9" t="s">
        <v>114</v>
      </c>
      <c r="C29" s="7">
        <v>1.2</v>
      </c>
      <c r="D29" s="8">
        <v>0.25</v>
      </c>
      <c r="E29" s="14">
        <v>0</v>
      </c>
      <c r="F29" s="14">
        <v>5</v>
      </c>
      <c r="G29" s="10" t="s">
        <v>9</v>
      </c>
      <c r="H29" s="12">
        <v>0.2</v>
      </c>
      <c r="I29" s="12">
        <v>0.14285714285714299</v>
      </c>
      <c r="J29" s="14">
        <v>0</v>
      </c>
      <c r="K29" s="14">
        <v>1</v>
      </c>
      <c r="L29" s="10" t="s">
        <v>3</v>
      </c>
      <c r="M29" s="12">
        <v>0</v>
      </c>
      <c r="N29" s="12">
        <v>0</v>
      </c>
      <c r="O29" s="14">
        <v>0</v>
      </c>
      <c r="P29" s="14">
        <v>1</v>
      </c>
      <c r="Q29" s="14">
        <v>1</v>
      </c>
      <c r="R29" s="2">
        <f>_xlfn.XLOOKUP(tblTankTypes.Base[[#This Row],[Resource₀]], tblResources[Resource], tblResources[Mass], #N/A, 0, 1) * tblTankTypes.Base[[#This Row],[Resource₀·Volume]]</f>
        <v>8.5019999999999998E-2</v>
      </c>
      <c r="S29" s="2">
        <f>_xlfn.XLOOKUP(tblTankTypes.Base[[#This Row],[Resource₀]], tblResources[Resource], tblResources[Cost], #N/A, 0, 1) * tblTankTypes.Base[[#This Row],[Resource₀·Volume]]</f>
        <v>4.4099999999999993E-2</v>
      </c>
      <c r="T29" s="2">
        <f>tblTankTypes.Base[[#This Row],[Resource₀·Tank]] * tblTankTypes.Base[[#This Row],[Resource₀·Mass]] + tblTankTypes.Base[[#This Row],[Resource₀·Volume]] * tblTankTypes.Base[[#This Row],[Resource₀·TankMass]]</f>
        <v>2.1255E-2</v>
      </c>
      <c r="U29" s="2">
        <f>0.8 * tblTankTypes.Base[[#This Row],[Resource₀·Tank·Mass]] * tblTankTypes.Base[[#This Row],[Resource₀·TankCostMult]]</f>
        <v>8.5020000000000012E-2</v>
      </c>
      <c r="V29" s="2">
        <f>_xlfn.XLOOKUP(tblTankTypes.Base[[#This Row],[Resource₁]], tblResources[Resource], tblResources[Mass], #N/A, 0, 1) * tblTankTypes.Base[[#This Row],[Resource₁·Volume]]</f>
        <v>0.16000000000000003</v>
      </c>
      <c r="W29" s="2">
        <f>_xlfn.XLOOKUP(tblTankTypes.Base[[#This Row],[Resource₁]], tblResources[Resource], tblResources[Cost], #N/A, 0, 1) * tblTankTypes.Base[[#This Row],[Resource₁·Volume]]</f>
        <v>4.8000000000000001E-2</v>
      </c>
      <c r="X29" s="2">
        <f>tblTankTypes.Base[[#This Row],[Resource₁·Tank]] * tblTankTypes.Base[[#This Row],[Resource₁·Mass]] + tblTankTypes.Base[[#This Row],[Resource₁·Volume]] * tblTankTypes.Base[[#This Row],[Resource₁·TankMass]]</f>
        <v>2.2857142857142881E-2</v>
      </c>
      <c r="Y29" s="2">
        <f>0.8 * tblTankTypes.Base[[#This Row],[Resource₁·Tank·Mass]] * tblTankTypes.Base[[#This Row],[Resource₁·TankCostMult]]</f>
        <v>1.8285714285714304E-2</v>
      </c>
      <c r="Z29" s="2">
        <f>_xlfn.XLOOKUP(tblTankTypes.Base[[#This Row],[Resource₂]], tblResources[Resource], tblResources[Mass], #N/A, 0, 1) * tblTankTypes.Base[[#This Row],[Resource₂·Volume]]</f>
        <v>0</v>
      </c>
      <c r="AA29" s="2">
        <f>_xlfn.XLOOKUP(tblTankTypes.Base[[#This Row],[Resource₂]], tblResources[Resource], tblResources[Cost], #N/A, 0, 1) * tblTankTypes.Base[[#This Row],[Resource₂·Volume]]</f>
        <v>0</v>
      </c>
      <c r="AB29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29" s="2">
        <f>0.8 * tblTankTypes.Base[[#This Row],[Resource₂·Tank·Mass]] * tblTankTypes.Base[[#This Row],[Resource₂·TankCostMult]]</f>
        <v>0</v>
      </c>
      <c r="AD29" s="2">
        <f>tblTankTypes.Base[[#This Row],[Resource₀·Mass]] + tblTankTypes.Base[[#This Row],[Resource₁·Mass]] + tblTankTypes.Base[[#This Row],[Resource₂·Mass]]</f>
        <v>0.24502000000000002</v>
      </c>
      <c r="AE29" s="2">
        <f>tblTankTypes.Base[[#This Row],[Resource₀·Cost]] + tblTankTypes.Base[[#This Row],[Resource₁·Cost]] + tblTankTypes.Base[[#This Row],[Resource₂·Cost]]</f>
        <v>9.2099999999999987E-2</v>
      </c>
      <c r="AF29" s="13">
        <f>tblTankTypes.Base[[#This Row],[Resource₀·Tank·Mass]] + tblTankTypes.Base[[#This Row],[Resource₁·Tank·Mass]] + tblTankTypes.Base[[#This Row],[Resource₂·Tank·Mass]]</f>
        <v>4.4112142857142878E-2</v>
      </c>
      <c r="AG29" s="2">
        <f>tblTankTypes.Base[[#This Row],[Tank·Mass·Dry]] + tblTankTypes.Base[[#This Row],[Resources·Mass]]</f>
        <v>0.28913214285714289</v>
      </c>
      <c r="AH29" s="2">
        <f>(tblTankTypes.Base[[#This Row],[Resource₀·Tank·Cost]] + tblTankTypes.Base[[#This Row],[Resource₁·Tank·Cost]] + tblTankTypes.Base[[#This Row],[Resource₂·Tank·Cost]]) * tblTankTypes.Base[[#This Row],[TankCost·Mult]]</f>
        <v>0.10330571428571432</v>
      </c>
      <c r="AI29" s="13">
        <f>tblTankTypes.Base[[#This Row],[Tank·Cost·Dry]] + tblTankTypes.Base[[#This Row],[Resources·Cost]]</f>
        <v>0.19540571428571429</v>
      </c>
      <c r="AJ29" s="13">
        <f>tblTankTypes.Base[[#This Row],[Tank·Mass·Dry]] / tblTankTypes.Base[[#This Row],[Tank·Mass·Wet]]</f>
        <v>0.1525674123300024</v>
      </c>
    </row>
    <row r="30" spans="1:36" ht="15.95" customHeight="1" x14ac:dyDescent="0.35">
      <c r="A30" s="4" t="s">
        <v>64</v>
      </c>
      <c r="B30" s="9" t="s">
        <v>114</v>
      </c>
      <c r="C30" s="7">
        <f>0.8 * C28</f>
        <v>0.8</v>
      </c>
      <c r="D30" s="8">
        <v>0.25</v>
      </c>
      <c r="E30" s="14">
        <v>0</v>
      </c>
      <c r="F30" s="14">
        <v>5</v>
      </c>
      <c r="G30" s="10" t="s">
        <v>112</v>
      </c>
      <c r="H30" s="12">
        <f>0.8 * H28</f>
        <v>0.2</v>
      </c>
      <c r="I30" s="12">
        <v>0.14285714285714299</v>
      </c>
      <c r="J30" s="14">
        <v>0</v>
      </c>
      <c r="K30" s="14">
        <v>1</v>
      </c>
      <c r="L30" s="10" t="s">
        <v>9</v>
      </c>
      <c r="M30" s="12">
        <v>0.2</v>
      </c>
      <c r="N30" s="12">
        <v>0.14285714285714285</v>
      </c>
      <c r="O30" s="14">
        <v>0</v>
      </c>
      <c r="P30" s="14">
        <v>1</v>
      </c>
      <c r="Q30" s="14">
        <v>1</v>
      </c>
      <c r="R30" s="2">
        <f>_xlfn.XLOOKUP(tblTankTypes.Base[[#This Row],[Resource₀]], tblResources[Resource], tblResources[Mass], #N/A, 0, 1) * tblTankTypes.Base[[#This Row],[Resource₀·Volume]]</f>
        <v>5.6680000000000001E-2</v>
      </c>
      <c r="S30" s="2">
        <f>_xlfn.XLOOKUP(tblTankTypes.Base[[#This Row],[Resource₀]], tblResources[Resource], tblResources[Cost], #N/A, 0, 1) * tblTankTypes.Base[[#This Row],[Resource₀·Volume]]</f>
        <v>2.9399999999999999E-2</v>
      </c>
      <c r="T30" s="2">
        <f>tblTankTypes.Base[[#This Row],[Resource₀·Tank]] * tblTankTypes.Base[[#This Row],[Resource₀·Mass]] + tblTankTypes.Base[[#This Row],[Resource₀·Volume]] * tblTankTypes.Base[[#This Row],[Resource₀·TankMass]]</f>
        <v>1.417E-2</v>
      </c>
      <c r="U30" s="2">
        <f>0.8 * tblTankTypes.Base[[#This Row],[Resource₀·Tank·Mass]] * tblTankTypes.Base[[#This Row],[Resource₀·TankCostMult]]</f>
        <v>5.6680000000000001E-2</v>
      </c>
      <c r="V30" s="2">
        <f>_xlfn.XLOOKUP(tblTankTypes.Base[[#This Row],[Resource₁]], tblResources[Resource], tblResources[Mass], #N/A, 0, 1) * tblTankTypes.Base[[#This Row],[Resource₁·Volume]]</f>
        <v>0.22820000000000001</v>
      </c>
      <c r="W30" s="2">
        <f>_xlfn.XLOOKUP(tblTankTypes.Base[[#This Row],[Resource₁]], tblResources[Resource], tblResources[Cost], #N/A, 0, 1) * tblTankTypes.Base[[#This Row],[Resource₁·Volume]]</f>
        <v>9.1280000000000007E-3</v>
      </c>
      <c r="X30" s="2">
        <f>tblTankTypes.Base[[#This Row],[Resource₁·Tank]] * tblTankTypes.Base[[#This Row],[Resource₁·Mass]] + tblTankTypes.Base[[#This Row],[Resource₁·Volume]] * tblTankTypes.Base[[#This Row],[Resource₁·TankMass]]</f>
        <v>3.2600000000000032E-2</v>
      </c>
      <c r="Y30" s="2">
        <f>0.8 * tblTankTypes.Base[[#This Row],[Resource₁·Tank·Mass]] * tblTankTypes.Base[[#This Row],[Resource₁·TankCostMult]]</f>
        <v>2.6080000000000027E-2</v>
      </c>
      <c r="Z30" s="2">
        <f>_xlfn.XLOOKUP(tblTankTypes.Base[[#This Row],[Resource₂]], tblResources[Resource], tblResources[Mass], #N/A, 0, 1) * tblTankTypes.Base[[#This Row],[Resource₂·Volume]]</f>
        <v>0.16000000000000003</v>
      </c>
      <c r="AA30" s="2">
        <f>_xlfn.XLOOKUP(tblTankTypes.Base[[#This Row],[Resource₂]], tblResources[Resource], tblResources[Cost], #N/A, 0, 1) * tblTankTypes.Base[[#This Row],[Resource₂·Volume]]</f>
        <v>4.8000000000000001E-2</v>
      </c>
      <c r="AB30" s="2">
        <f>tblTankTypes.Base[[#This Row],[Resource₂·Tank]] * tblTankTypes.Base[[#This Row],[Resource₂·Mass]] + tblTankTypes.Base[[#This Row],[Resource₂·Volume]] * tblTankTypes.Base[[#This Row],[Resource₂·TankMass]]</f>
        <v>2.2857142857142861E-2</v>
      </c>
      <c r="AC30" s="2">
        <f>0.8 * tblTankTypes.Base[[#This Row],[Resource₂·Tank·Mass]] * tblTankTypes.Base[[#This Row],[Resource₂·TankCostMult]]</f>
        <v>1.8285714285714291E-2</v>
      </c>
      <c r="AD30" s="2">
        <f>tblTankTypes.Base[[#This Row],[Resource₀·Mass]] + tblTankTypes.Base[[#This Row],[Resource₁·Mass]] + tblTankTypes.Base[[#This Row],[Resource₂·Mass]]</f>
        <v>0.44488000000000005</v>
      </c>
      <c r="AE30" s="2">
        <f>tblTankTypes.Base[[#This Row],[Resource₀·Cost]] + tblTankTypes.Base[[#This Row],[Resource₁·Cost]] + tblTankTypes.Base[[#This Row],[Resource₂·Cost]]</f>
        <v>8.6527999999999994E-2</v>
      </c>
      <c r="AF30" s="13">
        <f>tblTankTypes.Base[[#This Row],[Resource₀·Tank·Mass]] + tblTankTypes.Base[[#This Row],[Resource₁·Tank·Mass]] + tblTankTypes.Base[[#This Row],[Resource₂·Tank·Mass]]</f>
        <v>6.9627142857142887E-2</v>
      </c>
      <c r="AG30" s="2">
        <f>tblTankTypes.Base[[#This Row],[Tank·Mass·Dry]] + tblTankTypes.Base[[#This Row],[Resources·Mass]]</f>
        <v>0.51450714285714294</v>
      </c>
      <c r="AH30" s="2">
        <f>(tblTankTypes.Base[[#This Row],[Resource₀·Tank·Cost]] + tblTankTypes.Base[[#This Row],[Resource₁·Tank·Cost]] + tblTankTypes.Base[[#This Row],[Resource₂·Tank·Cost]]) * tblTankTypes.Base[[#This Row],[TankCost·Mult]]</f>
        <v>0.10104571428571432</v>
      </c>
      <c r="AI30" s="13">
        <f>tblTankTypes.Base[[#This Row],[Tank·Cost·Dry]] + tblTankTypes.Base[[#This Row],[Resources·Cost]]</f>
        <v>0.18757371428571432</v>
      </c>
      <c r="AJ30" s="13">
        <f>tblTankTypes.Base[[#This Row],[Tank·Mass·Dry]] / tblTankTypes.Base[[#This Row],[Tank·Mass·Wet]]</f>
        <v>0.13532784495564412</v>
      </c>
    </row>
    <row r="31" spans="1:36" ht="15.95" customHeight="1" x14ac:dyDescent="0.35">
      <c r="A31" s="4" t="s">
        <v>148</v>
      </c>
      <c r="B31" s="9" t="s">
        <v>114</v>
      </c>
      <c r="C31" s="8">
        <f>0.96 * C27</f>
        <v>1.44</v>
      </c>
      <c r="D31" s="8">
        <v>0.25</v>
      </c>
      <c r="E31" s="14">
        <v>0</v>
      </c>
      <c r="F31" s="14">
        <v>5</v>
      </c>
      <c r="G31" s="9" t="s">
        <v>9</v>
      </c>
      <c r="H31" s="8">
        <v>0.04</v>
      </c>
      <c r="I31" s="8">
        <v>0.14285714285714285</v>
      </c>
      <c r="J31" s="14">
        <v>0</v>
      </c>
      <c r="K31" s="14">
        <v>1</v>
      </c>
      <c r="L31" s="9" t="s">
        <v>3</v>
      </c>
      <c r="M31" s="8">
        <v>0</v>
      </c>
      <c r="N31" s="8">
        <v>0</v>
      </c>
      <c r="O31" s="14">
        <v>0</v>
      </c>
      <c r="P31" s="14">
        <v>1</v>
      </c>
      <c r="Q31" s="14">
        <v>1</v>
      </c>
      <c r="R31" s="2">
        <f>_xlfn.XLOOKUP(tblTankTypes.Base[[#This Row],[Resource₀]], tblResources[Resource], tblResources[Mass], #N/A, 0, 1) * tblTankTypes.Base[[#This Row],[Resource₀·Volume]]</f>
        <v>0.10202399999999999</v>
      </c>
      <c r="S31" s="2">
        <f>_xlfn.XLOOKUP(tblTankTypes.Base[[#This Row],[Resource₀]], tblResources[Resource], tblResources[Cost], #N/A, 0, 1) * tblTankTypes.Base[[#This Row],[Resource₀·Volume]]</f>
        <v>5.2919999999999995E-2</v>
      </c>
      <c r="T31" s="2">
        <f>tblTankTypes.Base[[#This Row],[Resource₀·Tank]] * tblTankTypes.Base[[#This Row],[Resource₀·Mass]] + tblTankTypes.Base[[#This Row],[Resource₀·Volume]] * tblTankTypes.Base[[#This Row],[Resource₀·TankMass]]</f>
        <v>2.5505999999999997E-2</v>
      </c>
      <c r="U31" s="2">
        <f>0.8 * tblTankTypes.Base[[#This Row],[Resource₀·Tank·Mass]] * tblTankTypes.Base[[#This Row],[Resource₀·TankCostMult]]</f>
        <v>0.102024</v>
      </c>
      <c r="V31" s="2">
        <f>_xlfn.XLOOKUP(tblTankTypes.Base[[#This Row],[Resource₁]], tblResources[Resource], tblResources[Mass], #N/A, 0, 1) * tblTankTypes.Base[[#This Row],[Resource₁·Volume]]</f>
        <v>3.2000000000000001E-2</v>
      </c>
      <c r="W31" s="2">
        <f>_xlfn.XLOOKUP(tblTankTypes.Base[[#This Row],[Resource₁]], tblResources[Resource], tblResources[Cost], #N/A, 0, 1) * tblTankTypes.Base[[#This Row],[Resource₁·Volume]]</f>
        <v>9.5999999999999992E-3</v>
      </c>
      <c r="X31" s="2">
        <f>tblTankTypes.Base[[#This Row],[Resource₁·Tank]] * tblTankTypes.Base[[#This Row],[Resource₁·Mass]] + tblTankTypes.Base[[#This Row],[Resource₁·Volume]] * tblTankTypes.Base[[#This Row],[Resource₁·TankMass]]</f>
        <v>4.5714285714285709E-3</v>
      </c>
      <c r="Y31" s="2">
        <f>0.8 * tblTankTypes.Base[[#This Row],[Resource₁·Tank·Mass]] * tblTankTypes.Base[[#This Row],[Resource₁·TankCostMult]]</f>
        <v>3.6571428571428571E-3</v>
      </c>
      <c r="Z31" s="2">
        <f>_xlfn.XLOOKUP(tblTankTypes.Base[[#This Row],[Resource₂]], tblResources[Resource], tblResources[Mass], #N/A, 0, 1) * tblTankTypes.Base[[#This Row],[Resource₂·Volume]]</f>
        <v>0</v>
      </c>
      <c r="AA31" s="2">
        <f>_xlfn.XLOOKUP(tblTankTypes.Base[[#This Row],[Resource₂]], tblResources[Resource], tblResources[Cost], #N/A, 0, 1) * tblTankTypes.Base[[#This Row],[Resource₂·Volume]]</f>
        <v>0</v>
      </c>
      <c r="AB31" s="2">
        <f>tblTankTypes.Base[[#This Row],[Resource₂·Tank]] * tblTankTypes.Base[[#This Row],[Resource₂·Mass]] + tblTankTypes.Base[[#This Row],[Resource₂·Volume]] * tblTankTypes.Base[[#This Row],[Resource₂·TankMass]]</f>
        <v>0</v>
      </c>
      <c r="AC31" s="2">
        <f>0.8 * tblTankTypes.Base[[#This Row],[Resource₂·Tank·Mass]] * tblTankTypes.Base[[#This Row],[Resource₂·TankCostMult]]</f>
        <v>0</v>
      </c>
      <c r="AD31" s="2">
        <f>tblTankTypes.Base[[#This Row],[Resource₀·Mass]] + tblTankTypes.Base[[#This Row],[Resource₁·Mass]] + tblTankTypes.Base[[#This Row],[Resource₂·Mass]]</f>
        <v>0.13402399999999998</v>
      </c>
      <c r="AE31" s="2">
        <f>tblTankTypes.Base[[#This Row],[Resource₀·Cost]] + tblTankTypes.Base[[#This Row],[Resource₁·Cost]] + tblTankTypes.Base[[#This Row],[Resource₂·Cost]]</f>
        <v>6.2519999999999992E-2</v>
      </c>
      <c r="AF31" s="2">
        <f>tblTankTypes.Base[[#This Row],[Resource₀·Tank·Mass]] + tblTankTypes.Base[[#This Row],[Resource₁·Tank·Mass]] + tblTankTypes.Base[[#This Row],[Resource₂·Tank·Mass]]</f>
        <v>3.0077428571428567E-2</v>
      </c>
      <c r="AG31" s="2">
        <f>tblTankTypes.Base[[#This Row],[Tank·Mass·Dry]] + tblTankTypes.Base[[#This Row],[Resources·Mass]]</f>
        <v>0.16410142857142854</v>
      </c>
      <c r="AH31" s="2">
        <f>(tblTankTypes.Base[[#This Row],[Resource₀·Tank·Cost]] + tblTankTypes.Base[[#This Row],[Resource₁·Tank·Cost]] + tblTankTypes.Base[[#This Row],[Resource₂·Tank·Cost]]) * tblTankTypes.Base[[#This Row],[TankCost·Mult]]</f>
        <v>0.10568114285714286</v>
      </c>
      <c r="AI31" s="2">
        <f>tblTankTypes.Base[[#This Row],[Tank·Cost·Dry]] + tblTankTypes.Base[[#This Row],[Resources·Cost]]</f>
        <v>0.16820114285714285</v>
      </c>
      <c r="AJ31" s="13">
        <f>tblTankTypes.Base[[#This Row],[Tank·Mass·Dry]] / tblTankTypes.Base[[#This Row],[Tank·Mass·Wet]]</f>
        <v>0.18328559862802624</v>
      </c>
    </row>
    <row r="32" spans="1:36" ht="15.95" customHeight="1" x14ac:dyDescent="0.35">
      <c r="A32" s="4" t="s">
        <v>65</v>
      </c>
      <c r="B32" s="9" t="s">
        <v>114</v>
      </c>
      <c r="C32" s="8">
        <f>0.96 * C28</f>
        <v>0.96</v>
      </c>
      <c r="D32" s="8">
        <v>0.25</v>
      </c>
      <c r="E32" s="14">
        <v>0</v>
      </c>
      <c r="F32" s="14">
        <v>5</v>
      </c>
      <c r="G32" s="9" t="s">
        <v>112</v>
      </c>
      <c r="H32" s="8">
        <f>0.96 * H28</f>
        <v>0.24</v>
      </c>
      <c r="I32" s="8">
        <v>0.14285714285714285</v>
      </c>
      <c r="J32" s="14">
        <v>0</v>
      </c>
      <c r="K32" s="14">
        <v>1</v>
      </c>
      <c r="L32" s="10" t="s">
        <v>9</v>
      </c>
      <c r="M32" s="12">
        <v>0.2</v>
      </c>
      <c r="N32" s="12">
        <v>0.14285714285714285</v>
      </c>
      <c r="O32" s="14">
        <v>0</v>
      </c>
      <c r="P32" s="14">
        <v>1</v>
      </c>
      <c r="Q32" s="14">
        <v>1</v>
      </c>
      <c r="R32" s="2">
        <f>_xlfn.XLOOKUP(tblTankTypes.Base[[#This Row],[Resource₀]], tblResources[Resource], tblResources[Mass], #N/A, 0, 1) * tblTankTypes.Base[[#This Row],[Resource₀·Volume]]</f>
        <v>6.8015999999999993E-2</v>
      </c>
      <c r="S32" s="2">
        <f>_xlfn.XLOOKUP(tblTankTypes.Base[[#This Row],[Resource₀]], tblResources[Resource], tblResources[Cost], #N/A, 0, 1) * tblTankTypes.Base[[#This Row],[Resource₀·Volume]]</f>
        <v>3.5279999999999999E-2</v>
      </c>
      <c r="T32" s="2">
        <f>tblTankTypes.Base[[#This Row],[Resource₀·Tank]] * tblTankTypes.Base[[#This Row],[Resource₀·Mass]] + tblTankTypes.Base[[#This Row],[Resource₀·Volume]] * tblTankTypes.Base[[#This Row],[Resource₀·TankMass]]</f>
        <v>1.7003999999999998E-2</v>
      </c>
      <c r="U32" s="2">
        <f>0.8 * tblTankTypes.Base[[#This Row],[Resource₀·Tank·Mass]] * tblTankTypes.Base[[#This Row],[Resource₀·TankCostMult]]</f>
        <v>6.8015999999999993E-2</v>
      </c>
      <c r="V32" s="2">
        <f>_xlfn.XLOOKUP(tblTankTypes.Base[[#This Row],[Resource₁]], tblResources[Resource], tblResources[Mass], #N/A, 0, 1) * tblTankTypes.Base[[#This Row],[Resource₁·Volume]]</f>
        <v>0.27383999999999997</v>
      </c>
      <c r="W32" s="2">
        <f>_xlfn.XLOOKUP(tblTankTypes.Base[[#This Row],[Resource₁]], tblResources[Resource], tblResources[Cost], #N/A, 0, 1) * tblTankTypes.Base[[#This Row],[Resource₁·Volume]]</f>
        <v>1.0953599999999999E-2</v>
      </c>
      <c r="X32" s="2">
        <f>tblTankTypes.Base[[#This Row],[Resource₁·Tank]] * tblTankTypes.Base[[#This Row],[Resource₁·Mass]] + tblTankTypes.Base[[#This Row],[Resource₁·Volume]] * tblTankTypes.Base[[#This Row],[Resource₁·TankMass]]</f>
        <v>3.9119999999999995E-2</v>
      </c>
      <c r="Y32" s="2">
        <f>0.8 * tblTankTypes.Base[[#This Row],[Resource₁·Tank·Mass]] * tblTankTypes.Base[[#This Row],[Resource₁·TankCostMult]]</f>
        <v>3.1295999999999997E-2</v>
      </c>
      <c r="Z32" s="2">
        <f>_xlfn.XLOOKUP(tblTankTypes.Base[[#This Row],[Resource₂]], tblResources[Resource], tblResources[Mass], #N/A, 0, 1) * tblTankTypes.Base[[#This Row],[Resource₂·Volume]]</f>
        <v>0.16000000000000003</v>
      </c>
      <c r="AA32" s="2">
        <f>_xlfn.XLOOKUP(tblTankTypes.Base[[#This Row],[Resource₂]], tblResources[Resource], tblResources[Cost], #N/A, 0, 1) * tblTankTypes.Base[[#This Row],[Resource₂·Volume]]</f>
        <v>4.8000000000000001E-2</v>
      </c>
      <c r="AB32" s="2">
        <f>tblTankTypes.Base[[#This Row],[Resource₂·Tank]] * tblTankTypes.Base[[#This Row],[Resource₂·Mass]] + tblTankTypes.Base[[#This Row],[Resource₂·Volume]] * tblTankTypes.Base[[#This Row],[Resource₂·TankMass]]</f>
        <v>2.2857142857142861E-2</v>
      </c>
      <c r="AC32" s="2">
        <f>0.8 * tblTankTypes.Base[[#This Row],[Resource₂·Tank·Mass]] * tblTankTypes.Base[[#This Row],[Resource₂·TankCostMult]]</f>
        <v>1.8285714285714291E-2</v>
      </c>
      <c r="AD32" s="2">
        <f>tblTankTypes.Base[[#This Row],[Resource₀·Mass]] + tblTankTypes.Base[[#This Row],[Resource₁·Mass]] + tblTankTypes.Base[[#This Row],[Resource₂·Mass]]</f>
        <v>0.50185599999999997</v>
      </c>
      <c r="AE32" s="2">
        <f>tblTankTypes.Base[[#This Row],[Resource₀·Cost]] + tblTankTypes.Base[[#This Row],[Resource₁·Cost]] + tblTankTypes.Base[[#This Row],[Resource₂·Cost]]</f>
        <v>9.4233600000000001E-2</v>
      </c>
      <c r="AF32" s="2">
        <f>tblTankTypes.Base[[#This Row],[Resource₀·Tank·Mass]] + tblTankTypes.Base[[#This Row],[Resource₁·Tank·Mass]] + tblTankTypes.Base[[#This Row],[Resource₂·Tank·Mass]]</f>
        <v>7.8981142857142861E-2</v>
      </c>
      <c r="AG32" s="2">
        <f>tblTankTypes.Base[[#This Row],[Tank·Mass·Dry]] + tblTankTypes.Base[[#This Row],[Resources·Mass]]</f>
        <v>0.58083714285714283</v>
      </c>
      <c r="AH32" s="2">
        <f>(tblTankTypes.Base[[#This Row],[Resource₀·Tank·Cost]] + tblTankTypes.Base[[#This Row],[Resource₁·Tank·Cost]] + tblTankTypes.Base[[#This Row],[Resource₂·Tank·Cost]]) * tblTankTypes.Base[[#This Row],[TankCost·Mult]]</f>
        <v>0.11759771428571428</v>
      </c>
      <c r="AI32" s="2">
        <f>tblTankTypes.Base[[#This Row],[Tank·Cost·Dry]] + tblTankTypes.Base[[#This Row],[Resources·Cost]]</f>
        <v>0.21183131428571428</v>
      </c>
      <c r="AJ32" s="13">
        <f>tblTankTypes.Base[[#This Row],[Tank·Mass·Dry]] / tblTankTypes.Base[[#This Row],[Tank·Mass·Wet]]</f>
        <v>0.13597812025008241</v>
      </c>
    </row>
    <row r="33" spans="1:38" ht="15.95" customHeight="1" x14ac:dyDescent="0.35">
      <c r="A33" s="22" t="s">
        <v>78</v>
      </c>
      <c r="B33" s="21" t="s">
        <v>78</v>
      </c>
      <c r="C33" s="23">
        <v>1</v>
      </c>
      <c r="D33" s="8">
        <f>0.4/3.78</f>
        <v>0.10582010582010583</v>
      </c>
      <c r="E33" s="23">
        <v>0</v>
      </c>
      <c r="F33" s="23">
        <v>1</v>
      </c>
      <c r="G33" s="21" t="s">
        <v>3</v>
      </c>
      <c r="H33" s="16">
        <v>0</v>
      </c>
      <c r="I33" s="16">
        <v>0</v>
      </c>
      <c r="J33" s="23">
        <v>0</v>
      </c>
      <c r="K33" s="23">
        <v>1</v>
      </c>
      <c r="L33" s="21" t="s">
        <v>3</v>
      </c>
      <c r="M33" s="16">
        <v>0</v>
      </c>
      <c r="N33" s="16">
        <v>0</v>
      </c>
      <c r="O33" s="23">
        <v>0</v>
      </c>
      <c r="P33" s="23">
        <v>1</v>
      </c>
      <c r="Q33" s="23">
        <v>1</v>
      </c>
      <c r="R33" s="2">
        <f>_xlfn.XLOOKUP(tblTankTypes.Base[[#This Row],[Resource₀]], tblResources[Resource], tblResources[Mass], #N/A, 0, 1) * tblTankTypes.Base[[#This Row],[Resource₀·Volume]]</f>
        <v>3.78</v>
      </c>
      <c r="S33" s="2">
        <f>_xlfn.XLOOKUP(tblTankTypes.Base[[#This Row],[Resource₀]], tblResources[Resource], tblResources[Cost], #N/A, 0, 1) * tblTankTypes.Base[[#This Row],[Resource₀·Volume]]</f>
        <v>15.8</v>
      </c>
      <c r="T33" s="2">
        <f>tblTankTypes.Base[[#This Row],[Resource₀·Tank]] * tblTankTypes.Base[[#This Row],[Resource₀·Mass]] + tblTankTypes.Base[[#This Row],[Resource₀·Volume]] * tblTankTypes.Base[[#This Row],[Resource₀·TankMass]]</f>
        <v>0.4</v>
      </c>
      <c r="U33" s="2">
        <f>0.8 * tblTankTypes.Base[[#This Row],[Resource₀·Tank·Mass]] * tblTankTypes.Base[[#This Row],[Resource₀·TankCostMult]]</f>
        <v>0.32000000000000006</v>
      </c>
      <c r="V33" s="2">
        <f>_xlfn.XLOOKUP(tblTankTypes.Base[[#This Row],[Resource₁]], tblResources[Resource], tblResources[Mass], #N/A, 0, 1) * tblTankTypes.Base[[#This Row],[Resource₁·Volume]]</f>
        <v>0</v>
      </c>
      <c r="W33" s="24">
        <f>_xlfn.XLOOKUP(tblTankTypes.Base[[#This Row],[Resource₁]], tblResources[Resource], tblResources[Cost], #N/A, 0, 1) * tblTankTypes.Base[[#This Row],[Resource₁·Volume]]</f>
        <v>0</v>
      </c>
      <c r="X33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33" s="24">
        <f>0.8 * tblTankTypes.Base[[#This Row],[Resource₁·Tank·Mass]] * tblTankTypes.Base[[#This Row],[Resource₁·TankCostMult]]</f>
        <v>0</v>
      </c>
      <c r="Z33" s="24">
        <f>_xlfn.XLOOKUP(tblTankTypes.Base[[#This Row],[Resource₂]], tblResources[Resource], tblResources[Mass], #N/A, 0, 1) * tblTankTypes.Base[[#This Row],[Resource₂·Volume]]</f>
        <v>0</v>
      </c>
      <c r="AA33" s="24">
        <f>_xlfn.XLOOKUP(tblTankTypes.Base[[#This Row],[Resource₂]], tblResources[Resource], tblResources[Cost], #N/A, 0, 1) * tblTankTypes.Base[[#This Row],[Resource₂·Volume]]</f>
        <v>0</v>
      </c>
      <c r="AB33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3" s="24">
        <f>0.8 * tblTankTypes.Base[[#This Row],[Resource₂·Tank·Mass]] * tblTankTypes.Base[[#This Row],[Resource₂·TankCostMult]]</f>
        <v>0</v>
      </c>
      <c r="AD33" s="24">
        <f>tblTankTypes.Base[[#This Row],[Resource₀·Mass]] + tblTankTypes.Base[[#This Row],[Resource₁·Mass]] + tblTankTypes.Base[[#This Row],[Resource₂·Mass]]</f>
        <v>3.78</v>
      </c>
      <c r="AE33" s="24">
        <f>tblTankTypes.Base[[#This Row],[Resource₀·Cost]] + tblTankTypes.Base[[#This Row],[Resource₁·Cost]] + tblTankTypes.Base[[#This Row],[Resource₂·Cost]]</f>
        <v>15.8</v>
      </c>
      <c r="AF33" s="25">
        <f>tblTankTypes.Base[[#This Row],[Resource₀·Tank·Mass]] + tblTankTypes.Base[[#This Row],[Resource₁·Tank·Mass]] + tblTankTypes.Base[[#This Row],[Resource₂·Tank·Mass]]</f>
        <v>0.4</v>
      </c>
      <c r="AG33" s="2">
        <f>tblTankTypes.Base[[#This Row],[Tank·Mass·Dry]] + tblTankTypes.Base[[#This Row],[Resources·Mass]]</f>
        <v>4.18</v>
      </c>
      <c r="AH33" s="25">
        <f>(tblTankTypes.Base[[#This Row],[Resource₀·Tank·Cost]] + tblTankTypes.Base[[#This Row],[Resource₁·Tank·Cost]] + tblTankTypes.Base[[#This Row],[Resource₂·Tank·Cost]]) * tblTankTypes.Base[[#This Row],[TankCost·Mult]]</f>
        <v>0.32000000000000006</v>
      </c>
      <c r="AI33" s="25">
        <f>tblTankTypes.Base[[#This Row],[Tank·Cost·Dry]] + tblTankTypes.Base[[#This Row],[Resources·Cost]]</f>
        <v>16.12</v>
      </c>
      <c r="AJ33" s="25">
        <f>tblTankTypes.Base[[#This Row],[Tank·Mass·Dry]] / tblTankTypes.Base[[#This Row],[Tank·Mass·Wet]]</f>
        <v>9.5693779904306234E-2</v>
      </c>
    </row>
    <row r="34" spans="1:38" ht="15.95" customHeight="1" x14ac:dyDescent="0.35">
      <c r="A34" s="22" t="s">
        <v>75</v>
      </c>
      <c r="B34" s="21" t="s">
        <v>75</v>
      </c>
      <c r="C34" s="7">
        <v>1</v>
      </c>
      <c r="D34" s="8">
        <v>0.125</v>
      </c>
      <c r="E34" s="7">
        <v>0</v>
      </c>
      <c r="F34" s="7">
        <v>1</v>
      </c>
      <c r="G34" s="9" t="s">
        <v>3</v>
      </c>
      <c r="H34" s="8">
        <v>0</v>
      </c>
      <c r="I34" s="8">
        <v>0</v>
      </c>
      <c r="J34" s="7">
        <v>0</v>
      </c>
      <c r="K34" s="7">
        <v>1</v>
      </c>
      <c r="L34" s="9" t="s">
        <v>3</v>
      </c>
      <c r="M34" s="8">
        <v>0</v>
      </c>
      <c r="N34" s="8">
        <v>0</v>
      </c>
      <c r="O34" s="7">
        <v>0</v>
      </c>
      <c r="P34" s="7">
        <v>1</v>
      </c>
      <c r="Q34" s="7">
        <v>1</v>
      </c>
      <c r="R34" s="2">
        <f>_xlfn.XLOOKUP(tblTankTypes.Base[[#This Row],[Resource₀]], tblResources[Resource], tblResources[Mass], #N/A, 0, 1) * tblTankTypes.Base[[#This Row],[Resource₀·Volume]]</f>
        <v>1</v>
      </c>
      <c r="S34" s="2">
        <f>_xlfn.XLOOKUP(tblTankTypes.Base[[#This Row],[Resource₀]], tblResources[Resource], tblResources[Cost], #N/A, 0, 1) * tblTankTypes.Base[[#This Row],[Resource₀·Volume]]</f>
        <v>8.0000000000000004E-4</v>
      </c>
      <c r="T34" s="2">
        <f>tblTankTypes.Base[[#This Row],[Resource₀·Tank]] * tblTankTypes.Base[[#This Row],[Resource₀·Mass]] + tblTankTypes.Base[[#This Row],[Resource₀·Volume]] * tblTankTypes.Base[[#This Row],[Resource₀·TankMass]]</f>
        <v>0.125</v>
      </c>
      <c r="U34" s="2">
        <f>0.8 * tblTankTypes.Base[[#This Row],[Resource₀·Tank·Mass]] * tblTankTypes.Base[[#This Row],[Resource₀·TankCostMult]]</f>
        <v>0.1</v>
      </c>
      <c r="V34" s="2">
        <f>_xlfn.XLOOKUP(tblTankTypes.Base[[#This Row],[Resource₁]], tblResources[Resource], tblResources[Mass], #N/A, 0, 1) * tblTankTypes.Base[[#This Row],[Resource₁·Volume]]</f>
        <v>0</v>
      </c>
      <c r="W34" s="24">
        <f>_xlfn.XLOOKUP(tblTankTypes.Base[[#This Row],[Resource₁]], tblResources[Resource], tblResources[Cost], #N/A, 0, 1) * tblTankTypes.Base[[#This Row],[Resource₁·Volume]]</f>
        <v>0</v>
      </c>
      <c r="X34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34" s="24">
        <f>0.8 * tblTankTypes.Base[[#This Row],[Resource₁·Tank·Mass]] * tblTankTypes.Base[[#This Row],[Resource₁·TankCostMult]]</f>
        <v>0</v>
      </c>
      <c r="Z34" s="24">
        <f>_xlfn.XLOOKUP(tblTankTypes.Base[[#This Row],[Resource₂]], tblResources[Resource], tblResources[Mass], #N/A, 0, 1) * tblTankTypes.Base[[#This Row],[Resource₂·Volume]]</f>
        <v>0</v>
      </c>
      <c r="AA34" s="24">
        <f>_xlfn.XLOOKUP(tblTankTypes.Base[[#This Row],[Resource₂]], tblResources[Resource], tblResources[Cost], #N/A, 0, 1) * tblTankTypes.Base[[#This Row],[Resource₂·Volume]]</f>
        <v>0</v>
      </c>
      <c r="AB34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4" s="24">
        <f>0.8 * tblTankTypes.Base[[#This Row],[Resource₂·Tank·Mass]] * tblTankTypes.Base[[#This Row],[Resource₂·TankCostMult]]</f>
        <v>0</v>
      </c>
      <c r="AD34" s="24">
        <f>tblTankTypes.Base[[#This Row],[Resource₀·Mass]] + tblTankTypes.Base[[#This Row],[Resource₁·Mass]] + tblTankTypes.Base[[#This Row],[Resource₂·Mass]]</f>
        <v>1</v>
      </c>
      <c r="AE34" s="24">
        <f>tblTankTypes.Base[[#This Row],[Resource₀·Cost]] + tblTankTypes.Base[[#This Row],[Resource₁·Cost]] + tblTankTypes.Base[[#This Row],[Resource₂·Cost]]</f>
        <v>8.0000000000000004E-4</v>
      </c>
      <c r="AF34" s="25">
        <f>tblTankTypes.Base[[#This Row],[Resource₀·Tank·Mass]] + tblTankTypes.Base[[#This Row],[Resource₁·Tank·Mass]] + tblTankTypes.Base[[#This Row],[Resource₂·Tank·Mass]]</f>
        <v>0.125</v>
      </c>
      <c r="AG34" s="2">
        <f>tblTankTypes.Base[[#This Row],[Tank·Mass·Dry]] + tblTankTypes.Base[[#This Row],[Resources·Mass]]</f>
        <v>1.125</v>
      </c>
      <c r="AH34" s="25">
        <f>(tblTankTypes.Base[[#This Row],[Resource₀·Tank·Cost]] + tblTankTypes.Base[[#This Row],[Resource₁·Tank·Cost]] + tblTankTypes.Base[[#This Row],[Resource₂·Tank·Cost]]) * tblTankTypes.Base[[#This Row],[TankCost·Mult]]</f>
        <v>0.1</v>
      </c>
      <c r="AI34" s="25">
        <f>tblTankTypes.Base[[#This Row],[Tank·Cost·Dry]] + tblTankTypes.Base[[#This Row],[Resources·Cost]]</f>
        <v>0.1008</v>
      </c>
      <c r="AJ34" s="25">
        <f>tblTankTypes.Base[[#This Row],[Tank·Mass·Dry]] / tblTankTypes.Base[[#This Row],[Tank·Mass·Wet]]</f>
        <v>0.1111111111111111</v>
      </c>
    </row>
    <row r="35" spans="1:38" ht="15.95" customHeight="1" x14ac:dyDescent="0.35">
      <c r="A35" s="22" t="s">
        <v>76</v>
      </c>
      <c r="B35" s="21" t="s">
        <v>76</v>
      </c>
      <c r="C35" s="7">
        <v>1</v>
      </c>
      <c r="D35" s="8">
        <v>0.125</v>
      </c>
      <c r="E35" s="7">
        <v>0</v>
      </c>
      <c r="F35" s="7">
        <v>1</v>
      </c>
      <c r="G35" s="10" t="s">
        <v>3</v>
      </c>
      <c r="H35" s="12">
        <v>0</v>
      </c>
      <c r="I35" s="12">
        <v>0</v>
      </c>
      <c r="J35" s="7">
        <v>0</v>
      </c>
      <c r="K35" s="7">
        <v>1</v>
      </c>
      <c r="L35" s="10" t="s">
        <v>3</v>
      </c>
      <c r="M35" s="12">
        <v>0</v>
      </c>
      <c r="N35" s="12">
        <v>0</v>
      </c>
      <c r="O35" s="7">
        <v>0</v>
      </c>
      <c r="P35" s="7">
        <v>1</v>
      </c>
      <c r="Q35" s="7">
        <v>1</v>
      </c>
      <c r="R35" s="2">
        <f>_xlfn.XLOOKUP(tblTankTypes.Base[[#This Row],[Resource₀]], tblResources[Resource], tblResources[Mass], #N/A, 0, 1) * tblTankTypes.Base[[#This Row],[Resource₀·Volume]]</f>
        <v>2.5</v>
      </c>
      <c r="S35" s="2">
        <f>_xlfn.XLOOKUP(tblTankTypes.Base[[#This Row],[Resource₀]], tblResources[Resource], tblResources[Cost], #N/A, 0, 1) * tblTankTypes.Base[[#This Row],[Resource₀·Volume]]</f>
        <v>16</v>
      </c>
      <c r="T35" s="2">
        <f>tblTankTypes.Base[[#This Row],[Resource₀·Tank]] * tblTankTypes.Base[[#This Row],[Resource₀·Mass]] + tblTankTypes.Base[[#This Row],[Resource₀·Volume]] * tblTankTypes.Base[[#This Row],[Resource₀·TankMass]]</f>
        <v>0.3125</v>
      </c>
      <c r="U35" s="2">
        <f>0.8 * tblTankTypes.Base[[#This Row],[Resource₀·Tank·Mass]] * tblTankTypes.Base[[#This Row],[Resource₀·TankCostMult]]</f>
        <v>0.25</v>
      </c>
      <c r="V35" s="2">
        <f>_xlfn.XLOOKUP(tblTankTypes.Base[[#This Row],[Resource₁]], tblResources[Resource], tblResources[Mass], #N/A, 0, 1) * tblTankTypes.Base[[#This Row],[Resource₁·Volume]]</f>
        <v>0</v>
      </c>
      <c r="W35" s="24">
        <f>_xlfn.XLOOKUP(tblTankTypes.Base[[#This Row],[Resource₁]], tblResources[Resource], tblResources[Cost], #N/A, 0, 1) * tblTankTypes.Base[[#This Row],[Resource₁·Volume]]</f>
        <v>0</v>
      </c>
      <c r="X35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35" s="24">
        <f>0.8 * tblTankTypes.Base[[#This Row],[Resource₁·Tank·Mass]] * tblTankTypes.Base[[#This Row],[Resource₁·TankCostMult]]</f>
        <v>0</v>
      </c>
      <c r="Z35" s="24">
        <f>_xlfn.XLOOKUP(tblTankTypes.Base[[#This Row],[Resource₂]], tblResources[Resource], tblResources[Mass], #N/A, 0, 1) * tblTankTypes.Base[[#This Row],[Resource₂·Volume]]</f>
        <v>0</v>
      </c>
      <c r="AA35" s="24">
        <f>_xlfn.XLOOKUP(tblTankTypes.Base[[#This Row],[Resource₂]], tblResources[Resource], tblResources[Cost], #N/A, 0, 1) * tblTankTypes.Base[[#This Row],[Resource₂·Volume]]</f>
        <v>0</v>
      </c>
      <c r="AB35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5" s="24">
        <f>0.8 * tblTankTypes.Base[[#This Row],[Resource₂·Tank·Mass]] * tblTankTypes.Base[[#This Row],[Resource₂·TankCostMult]]</f>
        <v>0</v>
      </c>
      <c r="AD35" s="24">
        <f>tblTankTypes.Base[[#This Row],[Resource₀·Mass]] + tblTankTypes.Base[[#This Row],[Resource₁·Mass]] + tblTankTypes.Base[[#This Row],[Resource₂·Mass]]</f>
        <v>2.5</v>
      </c>
      <c r="AE35" s="24">
        <f>tblTankTypes.Base[[#This Row],[Resource₀·Cost]] + tblTankTypes.Base[[#This Row],[Resource₁·Cost]] + tblTankTypes.Base[[#This Row],[Resource₂·Cost]]</f>
        <v>16</v>
      </c>
      <c r="AF35" s="25">
        <f>tblTankTypes.Base[[#This Row],[Resource₀·Tank·Mass]] + tblTankTypes.Base[[#This Row],[Resource₁·Tank·Mass]] + tblTankTypes.Base[[#This Row],[Resource₂·Tank·Mass]]</f>
        <v>0.3125</v>
      </c>
      <c r="AG35" s="2">
        <f>tblTankTypes.Base[[#This Row],[Tank·Mass·Dry]] + tblTankTypes.Base[[#This Row],[Resources·Mass]]</f>
        <v>2.8125</v>
      </c>
      <c r="AH35" s="25">
        <f>(tblTankTypes.Base[[#This Row],[Resource₀·Tank·Cost]] + tblTankTypes.Base[[#This Row],[Resource₁·Tank·Cost]] + tblTankTypes.Base[[#This Row],[Resource₂·Tank·Cost]]) * tblTankTypes.Base[[#This Row],[TankCost·Mult]]</f>
        <v>0.25</v>
      </c>
      <c r="AI35" s="25">
        <f>tblTankTypes.Base[[#This Row],[Tank·Cost·Dry]] + tblTankTypes.Base[[#This Row],[Resources·Cost]]</f>
        <v>16.25</v>
      </c>
      <c r="AJ35" s="25">
        <f>tblTankTypes.Base[[#This Row],[Tank·Mass·Dry]] / tblTankTypes.Base[[#This Row],[Tank·Mass·Wet]]</f>
        <v>0.1111111111111111</v>
      </c>
    </row>
    <row r="36" spans="1:38" ht="15.95" customHeight="1" x14ac:dyDescent="0.35">
      <c r="A36" s="22" t="s">
        <v>110</v>
      </c>
      <c r="B36" s="21" t="s">
        <v>47</v>
      </c>
      <c r="C36" s="7">
        <v>120</v>
      </c>
      <c r="D36" s="8">
        <v>0.33333333333333331</v>
      </c>
      <c r="E36" s="7">
        <v>0</v>
      </c>
      <c r="F36" s="7">
        <v>1</v>
      </c>
      <c r="G36" s="10" t="s">
        <v>117</v>
      </c>
      <c r="H36" s="12">
        <f>0.5 * tblTankTypes.Base[[#This Row],[Resource₀·Volume]]</f>
        <v>60</v>
      </c>
      <c r="I36" s="12">
        <v>0.33333333333333331</v>
      </c>
      <c r="J36" s="7">
        <v>0</v>
      </c>
      <c r="K36" s="7">
        <v>1</v>
      </c>
      <c r="L36" s="10" t="s">
        <v>3</v>
      </c>
      <c r="M36" s="12">
        <v>0</v>
      </c>
      <c r="N36" s="12">
        <v>0</v>
      </c>
      <c r="O36" s="7">
        <v>0</v>
      </c>
      <c r="P36" s="7">
        <v>1</v>
      </c>
      <c r="Q36" s="7">
        <v>1</v>
      </c>
      <c r="R36" s="2">
        <f>_xlfn.XLOOKUP(tblTankTypes.Base[[#This Row],[Resource₀]], tblResources[Resource], tblResources[Mass], #N/A, 0, 1) * tblTankTypes.Base[[#This Row],[Resource₀·Volume]]</f>
        <v>1.0788000000000001E-2</v>
      </c>
      <c r="S36" s="2">
        <f>_xlfn.XLOOKUP(tblTankTypes.Base[[#This Row],[Resource₀]], tblResources[Resource], tblResources[Cost], #N/A, 0, 1) * tblTankTypes.Base[[#This Row],[Resource₀·Volume]]</f>
        <v>6.7003200000000001E-3</v>
      </c>
      <c r="T36" s="2">
        <f>tblTankTypes.Base[[#This Row],[Resource₀·Tank]] * tblTankTypes.Base[[#This Row],[Resource₀·Mass]] + tblTankTypes.Base[[#This Row],[Resource₀·Volume]] * tblTankTypes.Base[[#This Row],[Resource₀·TankMass]]</f>
        <v>3.5960000000000002E-3</v>
      </c>
      <c r="U36" s="2">
        <f>0.8 * tblTankTypes.Base[[#This Row],[Resource₀·Tank·Mass]] * tblTankTypes.Base[[#This Row],[Resource₀·TankCostMult]]</f>
        <v>2.8768000000000005E-3</v>
      </c>
      <c r="V36" s="2">
        <f>_xlfn.XLOOKUP(tblTankTypes.Base[[#This Row],[Resource₁]], tblResources[Resource], tblResources[Mass], #N/A, 0, 1) * tblTankTypes.Base[[#This Row],[Resource₁·Volume]]</f>
        <v>8.5800000000000001E-2</v>
      </c>
      <c r="W36" s="24">
        <f>_xlfn.XLOOKUP(tblTankTypes.Base[[#This Row],[Resource₁]], tblResources[Resource], tblResources[Cost], #N/A, 0, 1) * tblTankTypes.Base[[#This Row],[Resource₁·Volume]]</f>
        <v>3.35016E-3</v>
      </c>
      <c r="X36" s="24">
        <f>tblTankTypes.Base[[#This Row],[Resource₁·Tank]] * tblTankTypes.Base[[#This Row],[Resource₁·Mass]] + tblTankTypes.Base[[#This Row],[Resource₁·Volume]] * tblTankTypes.Base[[#This Row],[Resource₁·TankMass]]</f>
        <v>2.86E-2</v>
      </c>
      <c r="Y36" s="24">
        <f>0.8 * tblTankTypes.Base[[#This Row],[Resource₁·Tank·Mass]] * tblTankTypes.Base[[#This Row],[Resource₁·TankCostMult]]</f>
        <v>2.2880000000000001E-2</v>
      </c>
      <c r="Z36" s="24">
        <f>_xlfn.XLOOKUP(tblTankTypes.Base[[#This Row],[Resource₂]], tblResources[Resource], tblResources[Mass], #N/A, 0, 1) * tblTankTypes.Base[[#This Row],[Resource₂·Volume]]</f>
        <v>0</v>
      </c>
      <c r="AA36" s="24">
        <f>_xlfn.XLOOKUP(tblTankTypes.Base[[#This Row],[Resource₂]], tblResources[Resource], tblResources[Cost], #N/A, 0, 1) * tblTankTypes.Base[[#This Row],[Resource₂·Volume]]</f>
        <v>0</v>
      </c>
      <c r="AB36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6" s="24">
        <f>0.8 * tblTankTypes.Base[[#This Row],[Resource₂·Tank·Mass]] * tblTankTypes.Base[[#This Row],[Resource₂·TankCostMult]]</f>
        <v>0</v>
      </c>
      <c r="AD36" s="24">
        <f>tblTankTypes.Base[[#This Row],[Resource₀·Mass]] + tblTankTypes.Base[[#This Row],[Resource₁·Mass]] + tblTankTypes.Base[[#This Row],[Resource₂·Mass]]</f>
        <v>9.6588000000000007E-2</v>
      </c>
      <c r="AE36" s="24">
        <f>tblTankTypes.Base[[#This Row],[Resource₀·Cost]] + tblTankTypes.Base[[#This Row],[Resource₁·Cost]] + tblTankTypes.Base[[#This Row],[Resource₂·Cost]]</f>
        <v>1.0050480000000001E-2</v>
      </c>
      <c r="AF36" s="25">
        <f>tblTankTypes.Base[[#This Row],[Resource₀·Tank·Mass]] + tblTankTypes.Base[[#This Row],[Resource₁·Tank·Mass]] + tblTankTypes.Base[[#This Row],[Resource₂·Tank·Mass]]</f>
        <v>3.2196000000000002E-2</v>
      </c>
      <c r="AG36" s="2">
        <f>tblTankTypes.Base[[#This Row],[Tank·Mass·Dry]] + tblTankTypes.Base[[#This Row],[Resources·Mass]]</f>
        <v>0.12878400000000001</v>
      </c>
      <c r="AH36" s="25">
        <f>(tblTankTypes.Base[[#This Row],[Resource₀·Tank·Cost]] + tblTankTypes.Base[[#This Row],[Resource₁·Tank·Cost]] + tblTankTypes.Base[[#This Row],[Resource₂·Tank·Cost]]) * tblTankTypes.Base[[#This Row],[TankCost·Mult]]</f>
        <v>2.5756800000000003E-2</v>
      </c>
      <c r="AI36" s="25">
        <f>tblTankTypes.Base[[#This Row],[Tank·Cost·Dry]] + tblTankTypes.Base[[#This Row],[Resources·Cost]]</f>
        <v>3.5807280000000004E-2</v>
      </c>
      <c r="AJ36" s="25">
        <f>tblTankTypes.Base[[#This Row],[Tank·Mass·Dry]] / tblTankTypes.Base[[#This Row],[Tank·Mass·Wet]]</f>
        <v>0.25</v>
      </c>
    </row>
    <row r="37" spans="1:38" ht="15.95" customHeight="1" x14ac:dyDescent="0.35">
      <c r="A37" s="22" t="s">
        <v>140</v>
      </c>
      <c r="B37" s="21" t="s">
        <v>47</v>
      </c>
      <c r="C37" s="7">
        <v>180</v>
      </c>
      <c r="D37" s="8">
        <v>0.33333333333333331</v>
      </c>
      <c r="E37" s="7">
        <v>0</v>
      </c>
      <c r="F37" s="7">
        <v>1</v>
      </c>
      <c r="G37" s="10" t="s">
        <v>3</v>
      </c>
      <c r="H37" s="12">
        <v>0</v>
      </c>
      <c r="I37" s="12">
        <v>0</v>
      </c>
      <c r="J37" s="7">
        <v>0</v>
      </c>
      <c r="K37" s="7">
        <v>1</v>
      </c>
      <c r="L37" s="10" t="s">
        <v>3</v>
      </c>
      <c r="M37" s="12">
        <v>0</v>
      </c>
      <c r="N37" s="12">
        <v>0</v>
      </c>
      <c r="O37" s="7">
        <v>0</v>
      </c>
      <c r="P37" s="7">
        <v>1</v>
      </c>
      <c r="Q37" s="7">
        <v>1</v>
      </c>
      <c r="R37" s="2">
        <f>_xlfn.XLOOKUP(tblTankTypes.Base[[#This Row],[Resource₀]], tblResources[Resource], tblResources[Mass], #N/A, 0, 1) * tblTankTypes.Base[[#This Row],[Resource₀·Volume]]</f>
        <v>1.6182000000000002E-2</v>
      </c>
      <c r="S37" s="2">
        <f>_xlfn.XLOOKUP(tblTankTypes.Base[[#This Row],[Resource₀]], tblResources[Resource], tblResources[Cost], #N/A, 0, 1) * tblTankTypes.Base[[#This Row],[Resource₀·Volume]]</f>
        <v>1.0050480000000001E-2</v>
      </c>
      <c r="T37" s="2">
        <f>tblTankTypes.Base[[#This Row],[Resource₀·Tank]] * tblTankTypes.Base[[#This Row],[Resource₀·Mass]] + tblTankTypes.Base[[#This Row],[Resource₀·Volume]] * tblTankTypes.Base[[#This Row],[Resource₀·TankMass]]</f>
        <v>5.3940000000000004E-3</v>
      </c>
      <c r="U37" s="2">
        <f>0.8 * tblTankTypes.Base[[#This Row],[Resource₀·Tank·Mass]] * tblTankTypes.Base[[#This Row],[Resource₀·TankCostMult]]</f>
        <v>4.3152000000000008E-3</v>
      </c>
      <c r="V37" s="2">
        <f>_xlfn.XLOOKUP(tblTankTypes.Base[[#This Row],[Resource₁]], tblResources[Resource], tblResources[Mass], #N/A, 0, 1) * tblTankTypes.Base[[#This Row],[Resource₁·Volume]]</f>
        <v>0</v>
      </c>
      <c r="W37" s="24">
        <f>_xlfn.XLOOKUP(tblTankTypes.Base[[#This Row],[Resource₁]], tblResources[Resource], tblResources[Cost], #N/A, 0, 1) * tblTankTypes.Base[[#This Row],[Resource₁·Volume]]</f>
        <v>0</v>
      </c>
      <c r="X37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37" s="24">
        <f>0.8 * tblTankTypes.Base[[#This Row],[Resource₁·Tank·Mass]] * tblTankTypes.Base[[#This Row],[Resource₁·TankCostMult]]</f>
        <v>0</v>
      </c>
      <c r="Z37" s="24">
        <f>_xlfn.XLOOKUP(tblTankTypes.Base[[#This Row],[Resource₂]], tblResources[Resource], tblResources[Mass], #N/A, 0, 1) * tblTankTypes.Base[[#This Row],[Resource₂·Volume]]</f>
        <v>0</v>
      </c>
      <c r="AA37" s="24">
        <f>_xlfn.XLOOKUP(tblTankTypes.Base[[#This Row],[Resource₂]], tblResources[Resource], tblResources[Cost], #N/A, 0, 1) * tblTankTypes.Base[[#This Row],[Resource₂·Volume]]</f>
        <v>0</v>
      </c>
      <c r="AB37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7" s="24">
        <f>0.8 * tblTankTypes.Base[[#This Row],[Resource₂·Tank·Mass]] * tblTankTypes.Base[[#This Row],[Resource₂·TankCostMult]]</f>
        <v>0</v>
      </c>
      <c r="AD37" s="24">
        <f>tblTankTypes.Base[[#This Row],[Resource₀·Mass]] + tblTankTypes.Base[[#This Row],[Resource₁·Mass]] + tblTankTypes.Base[[#This Row],[Resource₂·Mass]]</f>
        <v>1.6182000000000002E-2</v>
      </c>
      <c r="AE37" s="24">
        <f>tblTankTypes.Base[[#This Row],[Resource₀·Cost]] + tblTankTypes.Base[[#This Row],[Resource₁·Cost]] + tblTankTypes.Base[[#This Row],[Resource₂·Cost]]</f>
        <v>1.0050480000000001E-2</v>
      </c>
      <c r="AF37" s="25">
        <f>tblTankTypes.Base[[#This Row],[Resource₀·Tank·Mass]] + tblTankTypes.Base[[#This Row],[Resource₁·Tank·Mass]] + tblTankTypes.Base[[#This Row],[Resource₂·Tank·Mass]]</f>
        <v>5.3940000000000004E-3</v>
      </c>
      <c r="AG37" s="2">
        <f>tblTankTypes.Base[[#This Row],[Tank·Mass·Dry]] + tblTankTypes.Base[[#This Row],[Resources·Mass]]</f>
        <v>2.1576000000000001E-2</v>
      </c>
      <c r="AH37" s="25">
        <f>(tblTankTypes.Base[[#This Row],[Resource₀·Tank·Cost]] + tblTankTypes.Base[[#This Row],[Resource₁·Tank·Cost]] + tblTankTypes.Base[[#This Row],[Resource₂·Tank·Cost]]) * tblTankTypes.Base[[#This Row],[TankCost·Mult]]</f>
        <v>4.3152000000000008E-3</v>
      </c>
      <c r="AI37" s="25">
        <f>tblTankTypes.Base[[#This Row],[Tank·Cost·Dry]] + tblTankTypes.Base[[#This Row],[Resources·Cost]]</f>
        <v>1.4365680000000002E-2</v>
      </c>
      <c r="AJ37" s="25">
        <f>tblTankTypes.Base[[#This Row],[Tank·Mass·Dry]] / tblTankTypes.Base[[#This Row],[Tank·Mass·Wet]]</f>
        <v>0.25</v>
      </c>
    </row>
    <row r="38" spans="1:38" ht="15.95" customHeight="1" x14ac:dyDescent="0.35">
      <c r="A38" s="22" t="s">
        <v>141</v>
      </c>
      <c r="B38" s="21" t="s">
        <v>117</v>
      </c>
      <c r="C38" s="7">
        <v>180</v>
      </c>
      <c r="D38" s="8">
        <v>0.33333333333333331</v>
      </c>
      <c r="E38" s="7">
        <v>0</v>
      </c>
      <c r="F38" s="7">
        <v>1</v>
      </c>
      <c r="G38" s="10" t="s">
        <v>3</v>
      </c>
      <c r="H38" s="12">
        <v>0</v>
      </c>
      <c r="I38" s="12">
        <v>0</v>
      </c>
      <c r="J38" s="7">
        <v>0</v>
      </c>
      <c r="K38" s="7">
        <v>1</v>
      </c>
      <c r="L38" s="10" t="s">
        <v>3</v>
      </c>
      <c r="M38" s="12">
        <v>0</v>
      </c>
      <c r="N38" s="12">
        <v>0</v>
      </c>
      <c r="O38" s="7">
        <v>0</v>
      </c>
      <c r="P38" s="7">
        <v>1</v>
      </c>
      <c r="Q38" s="7">
        <v>1</v>
      </c>
      <c r="R38" s="2">
        <f>_xlfn.XLOOKUP(tblTankTypes.Base[[#This Row],[Resource₀]], tblResources[Resource], tblResources[Mass], #N/A, 0, 1) * tblTankTypes.Base[[#This Row],[Resource₀·Volume]]</f>
        <v>0.25740000000000002</v>
      </c>
      <c r="S38" s="2">
        <f>_xlfn.XLOOKUP(tblTankTypes.Base[[#This Row],[Resource₀]], tblResources[Resource], tblResources[Cost], #N/A, 0, 1) * tblTankTypes.Base[[#This Row],[Resource₀·Volume]]</f>
        <v>1.0050480000000001E-2</v>
      </c>
      <c r="T38" s="2">
        <f>tblTankTypes.Base[[#This Row],[Resource₀·Tank]] * tblTankTypes.Base[[#This Row],[Resource₀·Mass]] + tblTankTypes.Base[[#This Row],[Resource₀·Volume]] * tblTankTypes.Base[[#This Row],[Resource₀·TankMass]]</f>
        <v>8.5800000000000001E-2</v>
      </c>
      <c r="U38" s="2">
        <f>0.8 * tblTankTypes.Base[[#This Row],[Resource₀·Tank·Mass]] * tblTankTypes.Base[[#This Row],[Resource₀·TankCostMult]]</f>
        <v>6.8640000000000007E-2</v>
      </c>
      <c r="V38" s="2">
        <f>_xlfn.XLOOKUP(tblTankTypes.Base[[#This Row],[Resource₁]], tblResources[Resource], tblResources[Mass], #N/A, 0, 1) * tblTankTypes.Base[[#This Row],[Resource₁·Volume]]</f>
        <v>0</v>
      </c>
      <c r="W38" s="24">
        <f>_xlfn.XLOOKUP(tblTankTypes.Base[[#This Row],[Resource₁]], tblResources[Resource], tblResources[Cost], #N/A, 0, 1) * tblTankTypes.Base[[#This Row],[Resource₁·Volume]]</f>
        <v>0</v>
      </c>
      <c r="X38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38" s="24">
        <f>0.8 * tblTankTypes.Base[[#This Row],[Resource₁·Tank·Mass]] * tblTankTypes.Base[[#This Row],[Resource₁·TankCostMult]]</f>
        <v>0</v>
      </c>
      <c r="Z38" s="24">
        <f>_xlfn.XLOOKUP(tblTankTypes.Base[[#This Row],[Resource₂]], tblResources[Resource], tblResources[Mass], #N/A, 0, 1) * tblTankTypes.Base[[#This Row],[Resource₂·Volume]]</f>
        <v>0</v>
      </c>
      <c r="AA38" s="24">
        <f>_xlfn.XLOOKUP(tblTankTypes.Base[[#This Row],[Resource₂]], tblResources[Resource], tblResources[Cost], #N/A, 0, 1) * tblTankTypes.Base[[#This Row],[Resource₂·Volume]]</f>
        <v>0</v>
      </c>
      <c r="AB38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8" s="24">
        <f>0.8 * tblTankTypes.Base[[#This Row],[Resource₂·Tank·Mass]] * tblTankTypes.Base[[#This Row],[Resource₂·TankCostMult]]</f>
        <v>0</v>
      </c>
      <c r="AD38" s="24">
        <f>tblTankTypes.Base[[#This Row],[Resource₀·Mass]] + tblTankTypes.Base[[#This Row],[Resource₁·Mass]] + tblTankTypes.Base[[#This Row],[Resource₂·Mass]]</f>
        <v>0.25740000000000002</v>
      </c>
      <c r="AE38" s="24">
        <f>tblTankTypes.Base[[#This Row],[Resource₀·Cost]] + tblTankTypes.Base[[#This Row],[Resource₁·Cost]] + tblTankTypes.Base[[#This Row],[Resource₂·Cost]]</f>
        <v>1.0050480000000001E-2</v>
      </c>
      <c r="AF38" s="25">
        <f>tblTankTypes.Base[[#This Row],[Resource₀·Tank·Mass]] + tblTankTypes.Base[[#This Row],[Resource₁·Tank·Mass]] + tblTankTypes.Base[[#This Row],[Resource₂·Tank·Mass]]</f>
        <v>8.5800000000000001E-2</v>
      </c>
      <c r="AG38" s="2">
        <f>tblTankTypes.Base[[#This Row],[Tank·Mass·Dry]] + tblTankTypes.Base[[#This Row],[Resources·Mass]]</f>
        <v>0.34320000000000001</v>
      </c>
      <c r="AH38" s="25">
        <f>(tblTankTypes.Base[[#This Row],[Resource₀·Tank·Cost]] + tblTankTypes.Base[[#This Row],[Resource₁·Tank·Cost]] + tblTankTypes.Base[[#This Row],[Resource₂·Tank·Cost]]) * tblTankTypes.Base[[#This Row],[TankCost·Mult]]</f>
        <v>6.8640000000000007E-2</v>
      </c>
      <c r="AI38" s="25">
        <f>tblTankTypes.Base[[#This Row],[Tank·Cost·Dry]] + tblTankTypes.Base[[#This Row],[Resources·Cost]]</f>
        <v>7.8690480000000007E-2</v>
      </c>
      <c r="AJ38" s="25">
        <f>tblTankTypes.Base[[#This Row],[Tank·Mass·Dry]] / tblTankTypes.Base[[#This Row],[Tank·Mass·Wet]]</f>
        <v>0.25</v>
      </c>
    </row>
    <row r="39" spans="1:38" ht="15.95" customHeight="1" x14ac:dyDescent="0.35">
      <c r="A39" s="22" t="s">
        <v>142</v>
      </c>
      <c r="B39" s="21" t="s">
        <v>49</v>
      </c>
      <c r="C39" s="7">
        <v>180</v>
      </c>
      <c r="D39" s="8">
        <v>0.33333333333333331</v>
      </c>
      <c r="E39" s="7">
        <v>0</v>
      </c>
      <c r="F39" s="7">
        <v>1</v>
      </c>
      <c r="G39" s="10" t="s">
        <v>3</v>
      </c>
      <c r="H39" s="12">
        <v>0</v>
      </c>
      <c r="I39" s="12">
        <v>0</v>
      </c>
      <c r="J39" s="7">
        <v>0</v>
      </c>
      <c r="K39" s="7">
        <v>1</v>
      </c>
      <c r="L39" s="10" t="s">
        <v>3</v>
      </c>
      <c r="M39" s="12">
        <v>0</v>
      </c>
      <c r="N39" s="12">
        <v>0</v>
      </c>
      <c r="O39" s="7">
        <v>0</v>
      </c>
      <c r="P39" s="7">
        <v>1</v>
      </c>
      <c r="Q39" s="7">
        <v>1</v>
      </c>
      <c r="R39" s="2">
        <f>_xlfn.XLOOKUP(tblTankTypes.Base[[#This Row],[Resource₀]], tblResources[Resource], tblResources[Mass], #N/A, 0, 1) * tblTankTypes.Base[[#This Row],[Resource₀·Volume]]</f>
        <v>0.12906000000000001</v>
      </c>
      <c r="S39" s="2">
        <f>_xlfn.XLOOKUP(tblTankTypes.Base[[#This Row],[Resource₀]], tblResources[Resource], tblResources[Cost], #N/A, 0, 1) * tblTankTypes.Base[[#This Row],[Resource₀·Volume]]</f>
        <v>0.33555600000000002</v>
      </c>
      <c r="T39" s="2">
        <f>tblTankTypes.Base[[#This Row],[Resource₀·Tank]] * tblTankTypes.Base[[#This Row],[Resource₀·Mass]] + tblTankTypes.Base[[#This Row],[Resource₀·Volume]] * tblTankTypes.Base[[#This Row],[Resource₀·TankMass]]</f>
        <v>4.3020000000000003E-2</v>
      </c>
      <c r="U39" s="2">
        <f>0.8 * tblTankTypes.Base[[#This Row],[Resource₀·Tank·Mass]] * tblTankTypes.Base[[#This Row],[Resource₀·TankCostMult]]</f>
        <v>3.4416000000000002E-2</v>
      </c>
      <c r="V39" s="2">
        <f>_xlfn.XLOOKUP(tblTankTypes.Base[[#This Row],[Resource₁]], tblResources[Resource], tblResources[Mass], #N/A, 0, 1) * tblTankTypes.Base[[#This Row],[Resource₁·Volume]]</f>
        <v>0</v>
      </c>
      <c r="W39" s="24">
        <f>_xlfn.XLOOKUP(tblTankTypes.Base[[#This Row],[Resource₁]], tblResources[Resource], tblResources[Cost], #N/A, 0, 1) * tblTankTypes.Base[[#This Row],[Resource₁·Volume]]</f>
        <v>0</v>
      </c>
      <c r="X39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39" s="24">
        <f>0.8 * tblTankTypes.Base[[#This Row],[Resource₁·Tank·Mass]] * tblTankTypes.Base[[#This Row],[Resource₁·TankCostMult]]</f>
        <v>0</v>
      </c>
      <c r="Z39" s="24">
        <f>_xlfn.XLOOKUP(tblTankTypes.Base[[#This Row],[Resource₂]], tblResources[Resource], tblResources[Mass], #N/A, 0, 1) * tblTankTypes.Base[[#This Row],[Resource₂·Volume]]</f>
        <v>0</v>
      </c>
      <c r="AA39" s="24">
        <f>_xlfn.XLOOKUP(tblTankTypes.Base[[#This Row],[Resource₂]], tblResources[Resource], tblResources[Cost], #N/A, 0, 1) * tblTankTypes.Base[[#This Row],[Resource₂·Volume]]</f>
        <v>0</v>
      </c>
      <c r="AB39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39" s="24">
        <f>0.8 * tblTankTypes.Base[[#This Row],[Resource₂·Tank·Mass]] * tblTankTypes.Base[[#This Row],[Resource₂·TankCostMult]]</f>
        <v>0</v>
      </c>
      <c r="AD39" s="24">
        <f>tblTankTypes.Base[[#This Row],[Resource₀·Mass]] + tblTankTypes.Base[[#This Row],[Resource₁·Mass]] + tblTankTypes.Base[[#This Row],[Resource₂·Mass]]</f>
        <v>0.12906000000000001</v>
      </c>
      <c r="AE39" s="24">
        <f>tblTankTypes.Base[[#This Row],[Resource₀·Cost]] + tblTankTypes.Base[[#This Row],[Resource₁·Cost]] + tblTankTypes.Base[[#This Row],[Resource₂·Cost]]</f>
        <v>0.33555600000000002</v>
      </c>
      <c r="AF39" s="25">
        <f>tblTankTypes.Base[[#This Row],[Resource₀·Tank·Mass]] + tblTankTypes.Base[[#This Row],[Resource₁·Tank·Mass]] + tblTankTypes.Base[[#This Row],[Resource₂·Tank·Mass]]</f>
        <v>4.3020000000000003E-2</v>
      </c>
      <c r="AG39" s="2">
        <f>tblTankTypes.Base[[#This Row],[Tank·Mass·Dry]] + tblTankTypes.Base[[#This Row],[Resources·Mass]]</f>
        <v>0.17208000000000001</v>
      </c>
      <c r="AH39" s="25">
        <f>(tblTankTypes.Base[[#This Row],[Resource₀·Tank·Cost]] + tblTankTypes.Base[[#This Row],[Resource₁·Tank·Cost]] + tblTankTypes.Base[[#This Row],[Resource₂·Tank·Cost]]) * tblTankTypes.Base[[#This Row],[TankCost·Mult]]</f>
        <v>3.4416000000000002E-2</v>
      </c>
      <c r="AI39" s="25">
        <f>tblTankTypes.Base[[#This Row],[Tank·Cost·Dry]] + tblTankTypes.Base[[#This Row],[Resources·Cost]]</f>
        <v>0.36997200000000002</v>
      </c>
      <c r="AJ39" s="25">
        <f>tblTankTypes.Base[[#This Row],[Tank·Mass·Dry]] / tblTankTypes.Base[[#This Row],[Tank·Mass·Wet]]</f>
        <v>0.25</v>
      </c>
    </row>
    <row r="40" spans="1:38" ht="15.95" customHeight="1" x14ac:dyDescent="0.35">
      <c r="A40" s="22" t="s">
        <v>143</v>
      </c>
      <c r="B40" s="21" t="s">
        <v>118</v>
      </c>
      <c r="C40" s="7">
        <v>180</v>
      </c>
      <c r="D40" s="8">
        <v>0.33333333333333331</v>
      </c>
      <c r="E40" s="7">
        <v>0</v>
      </c>
      <c r="F40" s="7">
        <v>1</v>
      </c>
      <c r="G40" s="10" t="s">
        <v>3</v>
      </c>
      <c r="H40" s="12">
        <v>0</v>
      </c>
      <c r="I40" s="12">
        <v>0</v>
      </c>
      <c r="J40" s="7">
        <v>0</v>
      </c>
      <c r="K40" s="7">
        <v>1</v>
      </c>
      <c r="L40" s="10" t="s">
        <v>3</v>
      </c>
      <c r="M40" s="12">
        <v>0</v>
      </c>
      <c r="N40" s="12">
        <v>0</v>
      </c>
      <c r="O40" s="7">
        <v>0</v>
      </c>
      <c r="P40" s="7">
        <v>1</v>
      </c>
      <c r="Q40" s="7">
        <v>1</v>
      </c>
      <c r="R40" s="2">
        <f>_xlfn.XLOOKUP(tblTankTypes.Base[[#This Row],[Resource₀]], tblResources[Resource], tblResources[Mass], #N/A, 0, 1) * tblTankTypes.Base[[#This Row],[Resource₀·Volume]]</f>
        <v>0.13842000000000002</v>
      </c>
      <c r="S40" s="2">
        <f>_xlfn.XLOOKUP(tblTankTypes.Base[[#This Row],[Resource₀]], tblResources[Resource], tblResources[Cost], #N/A, 0, 1) * tblTankTypes.Base[[#This Row],[Resource₀·Volume]]</f>
        <v>2.6999999999999996E-2</v>
      </c>
      <c r="T40" s="2">
        <f>tblTankTypes.Base[[#This Row],[Resource₀·Tank]] * tblTankTypes.Base[[#This Row],[Resource₀·Mass]] + tblTankTypes.Base[[#This Row],[Resource₀·Volume]] * tblTankTypes.Base[[#This Row],[Resource₀·TankMass]]</f>
        <v>4.614E-2</v>
      </c>
      <c r="U40" s="2">
        <f>0.8 * tblTankTypes.Base[[#This Row],[Resource₀·Tank·Mass]] * tblTankTypes.Base[[#This Row],[Resource₀·TankCostMult]]</f>
        <v>3.6912E-2</v>
      </c>
      <c r="V40" s="2">
        <f>_xlfn.XLOOKUP(tblTankTypes.Base[[#This Row],[Resource₁]], tblResources[Resource], tblResources[Mass], #N/A, 0, 1) * tblTankTypes.Base[[#This Row],[Resource₁·Volume]]</f>
        <v>0</v>
      </c>
      <c r="W40" s="24">
        <f>_xlfn.XLOOKUP(tblTankTypes.Base[[#This Row],[Resource₁]], tblResources[Resource], tblResources[Cost], #N/A, 0, 1) * tblTankTypes.Base[[#This Row],[Resource₁·Volume]]</f>
        <v>0</v>
      </c>
      <c r="X40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0" s="24">
        <f>0.8 * tblTankTypes.Base[[#This Row],[Resource₁·Tank·Mass]] * tblTankTypes.Base[[#This Row],[Resource₁·TankCostMult]]</f>
        <v>0</v>
      </c>
      <c r="Z40" s="24">
        <f>_xlfn.XLOOKUP(tblTankTypes.Base[[#This Row],[Resource₂]], tblResources[Resource], tblResources[Mass], #N/A, 0, 1) * tblTankTypes.Base[[#This Row],[Resource₂·Volume]]</f>
        <v>0</v>
      </c>
      <c r="AA40" s="24">
        <f>_xlfn.XLOOKUP(tblTankTypes.Base[[#This Row],[Resource₂]], tblResources[Resource], tblResources[Cost], #N/A, 0, 1) * tblTankTypes.Base[[#This Row],[Resource₂·Volume]]</f>
        <v>0</v>
      </c>
      <c r="AB40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0" s="24">
        <f>0.8 * tblTankTypes.Base[[#This Row],[Resource₂·Tank·Mass]] * tblTankTypes.Base[[#This Row],[Resource₂·TankCostMult]]</f>
        <v>0</v>
      </c>
      <c r="AD40" s="24">
        <f>tblTankTypes.Base[[#This Row],[Resource₀·Mass]] + tblTankTypes.Base[[#This Row],[Resource₁·Mass]] + tblTankTypes.Base[[#This Row],[Resource₂·Mass]]</f>
        <v>0.13842000000000002</v>
      </c>
      <c r="AE40" s="24">
        <f>tblTankTypes.Base[[#This Row],[Resource₀·Cost]] + tblTankTypes.Base[[#This Row],[Resource₁·Cost]] + tblTankTypes.Base[[#This Row],[Resource₂·Cost]]</f>
        <v>2.6999999999999996E-2</v>
      </c>
      <c r="AF40" s="25">
        <f>tblTankTypes.Base[[#This Row],[Resource₀·Tank·Mass]] + tblTankTypes.Base[[#This Row],[Resource₁·Tank·Mass]] + tblTankTypes.Base[[#This Row],[Resource₂·Tank·Mass]]</f>
        <v>4.614E-2</v>
      </c>
      <c r="AG40" s="2">
        <f>tblTankTypes.Base[[#This Row],[Tank·Mass·Dry]] + tblTankTypes.Base[[#This Row],[Resources·Mass]]</f>
        <v>0.18456</v>
      </c>
      <c r="AH40" s="25">
        <f>(tblTankTypes.Base[[#This Row],[Resource₀·Tank·Cost]] + tblTankTypes.Base[[#This Row],[Resource₁·Tank·Cost]] + tblTankTypes.Base[[#This Row],[Resource₂·Tank·Cost]]) * tblTankTypes.Base[[#This Row],[TankCost·Mult]]</f>
        <v>3.6912E-2</v>
      </c>
      <c r="AI40" s="25">
        <f>tblTankTypes.Base[[#This Row],[Tank·Cost·Dry]] + tblTankTypes.Base[[#This Row],[Resources·Cost]]</f>
        <v>6.3911999999999997E-2</v>
      </c>
      <c r="AJ40" s="25">
        <f>tblTankTypes.Base[[#This Row],[Tank·Mass·Dry]] / tblTankTypes.Base[[#This Row],[Tank·Mass·Wet]]</f>
        <v>0.25</v>
      </c>
    </row>
    <row r="41" spans="1:38" ht="15.95" customHeight="1" x14ac:dyDescent="0.35">
      <c r="A41" s="22" t="s">
        <v>145</v>
      </c>
      <c r="B41" s="21" t="s">
        <v>121</v>
      </c>
      <c r="C41" s="7">
        <v>180</v>
      </c>
      <c r="D41" s="8">
        <v>0.33333333333333331</v>
      </c>
      <c r="E41" s="7">
        <v>0</v>
      </c>
      <c r="F41" s="7">
        <v>1</v>
      </c>
      <c r="G41" s="10" t="s">
        <v>3</v>
      </c>
      <c r="H41" s="12">
        <v>0</v>
      </c>
      <c r="I41" s="12">
        <v>0</v>
      </c>
      <c r="J41" s="7">
        <v>0</v>
      </c>
      <c r="K41" s="7">
        <v>1</v>
      </c>
      <c r="L41" s="10" t="s">
        <v>3</v>
      </c>
      <c r="M41" s="12">
        <v>0</v>
      </c>
      <c r="N41" s="12">
        <v>0</v>
      </c>
      <c r="O41" s="7">
        <v>0</v>
      </c>
      <c r="P41" s="7">
        <v>1</v>
      </c>
      <c r="Q41" s="7">
        <v>1</v>
      </c>
      <c r="R41" s="2">
        <f>_xlfn.XLOOKUP(tblTankTypes.Base[[#This Row],[Resource₀]], tblResources[Resource], tblResources[Mass], #N/A, 0, 1) * tblTankTypes.Base[[#This Row],[Resource₀·Volume]]</f>
        <v>0.22517999999999999</v>
      </c>
      <c r="S41" s="2">
        <f>_xlfn.XLOOKUP(tblTankTypes.Base[[#This Row],[Resource₀]], tblResources[Resource], tblResources[Cost], #N/A, 0, 1) * tblTankTypes.Base[[#This Row],[Resource₀·Volume]]</f>
        <v>9.0000000000000011E-3</v>
      </c>
      <c r="T41" s="2">
        <f>tblTankTypes.Base[[#This Row],[Resource₀·Tank]] * tblTankTypes.Base[[#This Row],[Resource₀·Mass]] + tblTankTypes.Base[[#This Row],[Resource₀·Volume]] * tblTankTypes.Base[[#This Row],[Resource₀·TankMass]]</f>
        <v>7.5059999999999988E-2</v>
      </c>
      <c r="U41" s="2">
        <f>0.8 * tblTankTypes.Base[[#This Row],[Resource₀·Tank·Mass]] * tblTankTypes.Base[[#This Row],[Resource₀·TankCostMult]]</f>
        <v>6.004799999999999E-2</v>
      </c>
      <c r="V41" s="2">
        <f>_xlfn.XLOOKUP(tblTankTypes.Base[[#This Row],[Resource₁]], tblResources[Resource], tblResources[Mass], #N/A, 0, 1) * tblTankTypes.Base[[#This Row],[Resource₁·Volume]]</f>
        <v>0</v>
      </c>
      <c r="W41" s="24">
        <f>_xlfn.XLOOKUP(tblTankTypes.Base[[#This Row],[Resource₁]], tblResources[Resource], tblResources[Cost], #N/A, 0, 1) * tblTankTypes.Base[[#This Row],[Resource₁·Volume]]</f>
        <v>0</v>
      </c>
      <c r="X41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1" s="24">
        <f>0.8 * tblTankTypes.Base[[#This Row],[Resource₁·Tank·Mass]] * tblTankTypes.Base[[#This Row],[Resource₁·TankCostMult]]</f>
        <v>0</v>
      </c>
      <c r="Z41" s="24">
        <f>_xlfn.XLOOKUP(tblTankTypes.Base[[#This Row],[Resource₂]], tblResources[Resource], tblResources[Mass], #N/A, 0, 1) * tblTankTypes.Base[[#This Row],[Resource₂·Volume]]</f>
        <v>0</v>
      </c>
      <c r="AA41" s="24">
        <f>_xlfn.XLOOKUP(tblTankTypes.Base[[#This Row],[Resource₂]], tblResources[Resource], tblResources[Cost], #N/A, 0, 1) * tblTankTypes.Base[[#This Row],[Resource₂·Volume]]</f>
        <v>0</v>
      </c>
      <c r="AB41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1" s="24">
        <f>0.8 * tblTankTypes.Base[[#This Row],[Resource₂·Tank·Mass]] * tblTankTypes.Base[[#This Row],[Resource₂·TankCostMult]]</f>
        <v>0</v>
      </c>
      <c r="AD41" s="24">
        <f>tblTankTypes.Base[[#This Row],[Resource₀·Mass]] + tblTankTypes.Base[[#This Row],[Resource₁·Mass]] + tblTankTypes.Base[[#This Row],[Resource₂·Mass]]</f>
        <v>0.22517999999999999</v>
      </c>
      <c r="AE41" s="24">
        <f>tblTankTypes.Base[[#This Row],[Resource₀·Cost]] + tblTankTypes.Base[[#This Row],[Resource₁·Cost]] + tblTankTypes.Base[[#This Row],[Resource₂·Cost]]</f>
        <v>9.0000000000000011E-3</v>
      </c>
      <c r="AF41" s="25">
        <f>tblTankTypes.Base[[#This Row],[Resource₀·Tank·Mass]] + tblTankTypes.Base[[#This Row],[Resource₁·Tank·Mass]] + tblTankTypes.Base[[#This Row],[Resource₂·Tank·Mass]]</f>
        <v>7.5059999999999988E-2</v>
      </c>
      <c r="AG41" s="2">
        <f>tblTankTypes.Base[[#This Row],[Tank·Mass·Dry]] + tblTankTypes.Base[[#This Row],[Resources·Mass]]</f>
        <v>0.30023999999999995</v>
      </c>
      <c r="AH41" s="25">
        <f>(tblTankTypes.Base[[#This Row],[Resource₀·Tank·Cost]] + tblTankTypes.Base[[#This Row],[Resource₁·Tank·Cost]] + tblTankTypes.Base[[#This Row],[Resource₂·Tank·Cost]]) * tblTankTypes.Base[[#This Row],[TankCost·Mult]]</f>
        <v>6.004799999999999E-2</v>
      </c>
      <c r="AI41" s="25">
        <f>tblTankTypes.Base[[#This Row],[Tank·Cost·Dry]] + tblTankTypes.Base[[#This Row],[Resources·Cost]]</f>
        <v>6.9047999999999998E-2</v>
      </c>
      <c r="AJ41" s="25">
        <f>tblTankTypes.Base[[#This Row],[Tank·Mass·Dry]] / tblTankTypes.Base[[#This Row],[Tank·Mass·Wet]]</f>
        <v>0.25</v>
      </c>
    </row>
    <row r="42" spans="1:38" ht="15.95" customHeight="1" x14ac:dyDescent="0.35">
      <c r="A42" s="22" t="s">
        <v>144</v>
      </c>
      <c r="B42" s="21" t="s">
        <v>120</v>
      </c>
      <c r="C42" s="7">
        <v>180</v>
      </c>
      <c r="D42" s="8">
        <v>0.33333333333333331</v>
      </c>
      <c r="E42" s="7">
        <v>0</v>
      </c>
      <c r="F42" s="7">
        <v>1</v>
      </c>
      <c r="G42" s="10" t="s">
        <v>3</v>
      </c>
      <c r="H42" s="12">
        <v>0</v>
      </c>
      <c r="I42" s="12">
        <v>0</v>
      </c>
      <c r="J42" s="7">
        <v>0</v>
      </c>
      <c r="K42" s="7">
        <v>1</v>
      </c>
      <c r="L42" s="10" t="s">
        <v>3</v>
      </c>
      <c r="M42" s="12">
        <v>0</v>
      </c>
      <c r="N42" s="12">
        <v>0</v>
      </c>
      <c r="O42" s="7">
        <v>0</v>
      </c>
      <c r="P42" s="7">
        <v>1</v>
      </c>
      <c r="Q42" s="7">
        <v>1</v>
      </c>
      <c r="R42" s="2">
        <f>_xlfn.XLOOKUP(tblTankTypes.Base[[#This Row],[Resource₀]], tblResources[Resource], tblResources[Mass], #N/A, 0, 1) * tblTankTypes.Base[[#This Row],[Resource₀·Volume]]</f>
        <v>0.35117999999999999</v>
      </c>
      <c r="S42" s="2">
        <f>_xlfn.XLOOKUP(tblTankTypes.Base[[#This Row],[Resource₀]], tblResources[Resource], tblResources[Cost], #N/A, 0, 1) * tblTankTypes.Base[[#This Row],[Resource₀·Volume]]</f>
        <v>5.4000000000000001E-4</v>
      </c>
      <c r="T42" s="2">
        <f>tblTankTypes.Base[[#This Row],[Resource₀·Tank]] * tblTankTypes.Base[[#This Row],[Resource₀·Mass]] + tblTankTypes.Base[[#This Row],[Resource₀·Volume]] * tblTankTypes.Base[[#This Row],[Resource₀·TankMass]]</f>
        <v>0.11706</v>
      </c>
      <c r="U42" s="2">
        <f>0.8 * tblTankTypes.Base[[#This Row],[Resource₀·Tank·Mass]] * tblTankTypes.Base[[#This Row],[Resource₀·TankCostMult]]</f>
        <v>9.3648000000000009E-2</v>
      </c>
      <c r="V42" s="2">
        <f>_xlfn.XLOOKUP(tblTankTypes.Base[[#This Row],[Resource₁]], tblResources[Resource], tblResources[Mass], #N/A, 0, 1) * tblTankTypes.Base[[#This Row],[Resource₁·Volume]]</f>
        <v>0</v>
      </c>
      <c r="W42" s="24">
        <f>_xlfn.XLOOKUP(tblTankTypes.Base[[#This Row],[Resource₁]], tblResources[Resource], tblResources[Cost], #N/A, 0, 1) * tblTankTypes.Base[[#This Row],[Resource₁·Volume]]</f>
        <v>0</v>
      </c>
      <c r="X42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2" s="24">
        <f>0.8 * tblTankTypes.Base[[#This Row],[Resource₁·Tank·Mass]] * tblTankTypes.Base[[#This Row],[Resource₁·TankCostMult]]</f>
        <v>0</v>
      </c>
      <c r="Z42" s="24">
        <f>_xlfn.XLOOKUP(tblTankTypes.Base[[#This Row],[Resource₂]], tblResources[Resource], tblResources[Mass], #N/A, 0, 1) * tblTankTypes.Base[[#This Row],[Resource₂·Volume]]</f>
        <v>0</v>
      </c>
      <c r="AA42" s="24">
        <f>_xlfn.XLOOKUP(tblTankTypes.Base[[#This Row],[Resource₂]], tblResources[Resource], tblResources[Cost], #N/A, 0, 1) * tblTankTypes.Base[[#This Row],[Resource₂·Volume]]</f>
        <v>0</v>
      </c>
      <c r="AB42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2" s="24">
        <f>0.8 * tblTankTypes.Base[[#This Row],[Resource₂·Tank·Mass]] * tblTankTypes.Base[[#This Row],[Resource₂·TankCostMult]]</f>
        <v>0</v>
      </c>
      <c r="AD42" s="24">
        <f>tblTankTypes.Base[[#This Row],[Resource₀·Mass]] + tblTankTypes.Base[[#This Row],[Resource₁·Mass]] + tblTankTypes.Base[[#This Row],[Resource₂·Mass]]</f>
        <v>0.35117999999999999</v>
      </c>
      <c r="AE42" s="24">
        <f>tblTankTypes.Base[[#This Row],[Resource₀·Cost]] + tblTankTypes.Base[[#This Row],[Resource₁·Cost]] + tblTankTypes.Base[[#This Row],[Resource₂·Cost]]</f>
        <v>5.4000000000000001E-4</v>
      </c>
      <c r="AF42" s="25">
        <f>tblTankTypes.Base[[#This Row],[Resource₀·Tank·Mass]] + tblTankTypes.Base[[#This Row],[Resource₁·Tank·Mass]] + tblTankTypes.Base[[#This Row],[Resource₂·Tank·Mass]]</f>
        <v>0.11706</v>
      </c>
      <c r="AG42" s="2">
        <f>tblTankTypes.Base[[#This Row],[Tank·Mass·Dry]] + tblTankTypes.Base[[#This Row],[Resources·Mass]]</f>
        <v>0.46823999999999999</v>
      </c>
      <c r="AH42" s="25">
        <f>(tblTankTypes.Base[[#This Row],[Resource₀·Tank·Cost]] + tblTankTypes.Base[[#This Row],[Resource₁·Tank·Cost]] + tblTankTypes.Base[[#This Row],[Resource₂·Tank·Cost]]) * tblTankTypes.Base[[#This Row],[TankCost·Mult]]</f>
        <v>9.3648000000000009E-2</v>
      </c>
      <c r="AI42" s="25">
        <f>tblTankTypes.Base[[#This Row],[Tank·Cost·Dry]] + tblTankTypes.Base[[#This Row],[Resources·Cost]]</f>
        <v>9.4188000000000008E-2</v>
      </c>
      <c r="AJ42" s="25">
        <f>tblTankTypes.Base[[#This Row],[Tank·Mass·Dry]] / tblTankTypes.Base[[#This Row],[Tank·Mass·Wet]]</f>
        <v>0.25</v>
      </c>
    </row>
    <row r="43" spans="1:38" ht="15.95" customHeight="1" x14ac:dyDescent="0.35">
      <c r="A43" s="22" t="s">
        <v>103</v>
      </c>
      <c r="B43" s="21" t="s">
        <v>112</v>
      </c>
      <c r="C43" s="7">
        <v>1</v>
      </c>
      <c r="D43" s="8">
        <v>0.125</v>
      </c>
      <c r="E43" s="7">
        <v>0</v>
      </c>
      <c r="F43" s="7">
        <v>5</v>
      </c>
      <c r="G43" s="10" t="s">
        <v>3</v>
      </c>
      <c r="H43" s="12">
        <v>0</v>
      </c>
      <c r="I43" s="12">
        <v>0</v>
      </c>
      <c r="J43" s="7">
        <v>0</v>
      </c>
      <c r="K43" s="7">
        <v>1</v>
      </c>
      <c r="L43" s="10" t="s">
        <v>3</v>
      </c>
      <c r="M43" s="12">
        <v>0</v>
      </c>
      <c r="N43" s="12">
        <v>0</v>
      </c>
      <c r="O43" s="7">
        <v>0</v>
      </c>
      <c r="P43" s="7">
        <v>1</v>
      </c>
      <c r="Q43" s="7">
        <v>1</v>
      </c>
      <c r="R43" s="2">
        <f>_xlfn.XLOOKUP(tblTankTypes.Base[[#This Row],[Resource₀]], tblResources[Resource], tblResources[Mass], #N/A, 0, 1) * tblTankTypes.Base[[#This Row],[Resource₀·Volume]]</f>
        <v>1.141</v>
      </c>
      <c r="S43" s="2">
        <f>_xlfn.XLOOKUP(tblTankTypes.Base[[#This Row],[Resource₀]], tblResources[Resource], tblResources[Cost], #N/A, 0, 1) * tblTankTypes.Base[[#This Row],[Resource₀·Volume]]</f>
        <v>4.564E-2</v>
      </c>
      <c r="T43" s="2">
        <f>tblTankTypes.Base[[#This Row],[Resource₀·Tank]] * tblTankTypes.Base[[#This Row],[Resource₀·Mass]] + tblTankTypes.Base[[#This Row],[Resource₀·Volume]] * tblTankTypes.Base[[#This Row],[Resource₀·TankMass]]</f>
        <v>0.142625</v>
      </c>
      <c r="U43" s="2">
        <f>0.8 * tblTankTypes.Base[[#This Row],[Resource₀·Tank·Mass]] * tblTankTypes.Base[[#This Row],[Resource₀·TankCostMult]]</f>
        <v>0.57050000000000001</v>
      </c>
      <c r="V43" s="2">
        <f>_xlfn.XLOOKUP(tblTankTypes.Base[[#This Row],[Resource₁]], tblResources[Resource], tblResources[Mass], #N/A, 0, 1) * tblTankTypes.Base[[#This Row],[Resource₁·Volume]]</f>
        <v>0</v>
      </c>
      <c r="W43" s="24">
        <f>_xlfn.XLOOKUP(tblTankTypes.Base[[#This Row],[Resource₁]], tblResources[Resource], tblResources[Cost], #N/A, 0, 1) * tblTankTypes.Base[[#This Row],[Resource₁·Volume]]</f>
        <v>0</v>
      </c>
      <c r="X43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3" s="24">
        <f>0.8 * tblTankTypes.Base[[#This Row],[Resource₁·Tank·Mass]] * tblTankTypes.Base[[#This Row],[Resource₁·TankCostMult]]</f>
        <v>0</v>
      </c>
      <c r="Z43" s="24">
        <f>_xlfn.XLOOKUP(tblTankTypes.Base[[#This Row],[Resource₂]], tblResources[Resource], tblResources[Mass], #N/A, 0, 1) * tblTankTypes.Base[[#This Row],[Resource₂·Volume]]</f>
        <v>0</v>
      </c>
      <c r="AA43" s="24">
        <f>_xlfn.XLOOKUP(tblTankTypes.Base[[#This Row],[Resource₂]], tblResources[Resource], tblResources[Cost], #N/A, 0, 1) * tblTankTypes.Base[[#This Row],[Resource₂·Volume]]</f>
        <v>0</v>
      </c>
      <c r="AB43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3" s="24">
        <f>0.8 * tblTankTypes.Base[[#This Row],[Resource₂·Tank·Mass]] * tblTankTypes.Base[[#This Row],[Resource₂·TankCostMult]]</f>
        <v>0</v>
      </c>
      <c r="AD43" s="24">
        <f>tblTankTypes.Base[[#This Row],[Resource₀·Mass]] + tblTankTypes.Base[[#This Row],[Resource₁·Mass]] + tblTankTypes.Base[[#This Row],[Resource₂·Mass]]</f>
        <v>1.141</v>
      </c>
      <c r="AE43" s="24">
        <f>tblTankTypes.Base[[#This Row],[Resource₀·Cost]] + tblTankTypes.Base[[#This Row],[Resource₁·Cost]] + tblTankTypes.Base[[#This Row],[Resource₂·Cost]]</f>
        <v>4.564E-2</v>
      </c>
      <c r="AF43" s="25">
        <f>tblTankTypes.Base[[#This Row],[Resource₀·Tank·Mass]] + tblTankTypes.Base[[#This Row],[Resource₁·Tank·Mass]] + tblTankTypes.Base[[#This Row],[Resource₂·Tank·Mass]]</f>
        <v>0.142625</v>
      </c>
      <c r="AG43" s="2">
        <f>tblTankTypes.Base[[#This Row],[Tank·Mass·Dry]] + tblTankTypes.Base[[#This Row],[Resources·Mass]]</f>
        <v>1.283625</v>
      </c>
      <c r="AH43" s="25">
        <f>(tblTankTypes.Base[[#This Row],[Resource₀·Tank·Cost]] + tblTankTypes.Base[[#This Row],[Resource₁·Tank·Cost]] + tblTankTypes.Base[[#This Row],[Resource₂·Tank·Cost]]) * tblTankTypes.Base[[#This Row],[TankCost·Mult]]</f>
        <v>0.57050000000000001</v>
      </c>
      <c r="AI43" s="25">
        <f>tblTankTypes.Base[[#This Row],[Tank·Cost·Dry]] + tblTankTypes.Base[[#This Row],[Resources·Cost]]</f>
        <v>0.61614000000000002</v>
      </c>
      <c r="AJ43" s="25">
        <f>tblTankTypes.Base[[#This Row],[Tank·Mass·Dry]] / tblTankTypes.Base[[#This Row],[Tank·Mass·Wet]]</f>
        <v>0.1111111111111111</v>
      </c>
      <c r="AL43" s="1" t="str">
        <f>tblTankTypes.Base[[#This Row],[TankType]] &amp; "Cryo"</f>
        <v>LqdO2CryoCryo</v>
      </c>
    </row>
    <row r="44" spans="1:38" ht="15.95" customHeight="1" x14ac:dyDescent="0.35">
      <c r="A44" s="22" t="s">
        <v>105</v>
      </c>
      <c r="B44" s="21" t="s">
        <v>119</v>
      </c>
      <c r="C44" s="7">
        <v>1</v>
      </c>
      <c r="D44" s="8">
        <v>0.2</v>
      </c>
      <c r="E44" s="7">
        <v>0</v>
      </c>
      <c r="F44" s="7">
        <v>5</v>
      </c>
      <c r="G44" s="10" t="s">
        <v>3</v>
      </c>
      <c r="H44" s="12">
        <v>0</v>
      </c>
      <c r="I44" s="12">
        <v>0</v>
      </c>
      <c r="J44" s="7">
        <v>0</v>
      </c>
      <c r="K44" s="7">
        <v>1</v>
      </c>
      <c r="L44" s="10" t="s">
        <v>3</v>
      </c>
      <c r="M44" s="12">
        <v>0</v>
      </c>
      <c r="N44" s="12">
        <v>0</v>
      </c>
      <c r="O44" s="7">
        <v>0</v>
      </c>
      <c r="P44" s="7">
        <v>1</v>
      </c>
      <c r="Q44" s="7">
        <v>1</v>
      </c>
      <c r="R44" s="2">
        <f>_xlfn.XLOOKUP(tblTankTypes.Base[[#This Row],[Resource₀]], tblResources[Resource], tblResources[Mass], #N/A, 0, 1) * tblTankTypes.Base[[#This Row],[Resource₀·Volume]]</f>
        <v>0.70209999999999995</v>
      </c>
      <c r="S44" s="2">
        <f>_xlfn.XLOOKUP(tblTankTypes.Base[[#This Row],[Resource₀]], tblResources[Resource], tblResources[Cost], #N/A, 0, 1) * tblTankTypes.Base[[#This Row],[Resource₀·Volume]]</f>
        <v>0.14199999999999999</v>
      </c>
      <c r="T44" s="2">
        <f>tblTankTypes.Base[[#This Row],[Resource₀·Tank]] * tblTankTypes.Base[[#This Row],[Resource₀·Mass]] + tblTankTypes.Base[[#This Row],[Resource₀·Volume]] * tblTankTypes.Base[[#This Row],[Resource₀·TankMass]]</f>
        <v>0.14041999999999999</v>
      </c>
      <c r="U44" s="2">
        <f>0.8 * tblTankTypes.Base[[#This Row],[Resource₀·Tank·Mass]] * tblTankTypes.Base[[#This Row],[Resource₀·TankCostMult]]</f>
        <v>0.56167999999999996</v>
      </c>
      <c r="V44" s="2">
        <f>_xlfn.XLOOKUP(tblTankTypes.Base[[#This Row],[Resource₁]], tblResources[Resource], tblResources[Mass], #N/A, 0, 1) * tblTankTypes.Base[[#This Row],[Resource₁·Volume]]</f>
        <v>0</v>
      </c>
      <c r="W44" s="24">
        <f>_xlfn.XLOOKUP(tblTankTypes.Base[[#This Row],[Resource₁]], tblResources[Resource], tblResources[Cost], #N/A, 0, 1) * tblTankTypes.Base[[#This Row],[Resource₁·Volume]]</f>
        <v>0</v>
      </c>
      <c r="X44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4" s="24">
        <f>0.8 * tblTankTypes.Base[[#This Row],[Resource₁·Tank·Mass]] * tblTankTypes.Base[[#This Row],[Resource₁·TankCostMult]]</f>
        <v>0</v>
      </c>
      <c r="Z44" s="24">
        <f>_xlfn.XLOOKUP(tblTankTypes.Base[[#This Row],[Resource₂]], tblResources[Resource], tblResources[Mass], #N/A, 0, 1) * tblTankTypes.Base[[#This Row],[Resource₂·Volume]]</f>
        <v>0</v>
      </c>
      <c r="AA44" s="24">
        <f>_xlfn.XLOOKUP(tblTankTypes.Base[[#This Row],[Resource₂]], tblResources[Resource], tblResources[Cost], #N/A, 0, 1) * tblTankTypes.Base[[#This Row],[Resource₂·Volume]]</f>
        <v>0</v>
      </c>
      <c r="AB44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4" s="24">
        <f>0.8 * tblTankTypes.Base[[#This Row],[Resource₂·Tank·Mass]] * tblTankTypes.Base[[#This Row],[Resource₂·TankCostMult]]</f>
        <v>0</v>
      </c>
      <c r="AD44" s="24">
        <f>tblTankTypes.Base[[#This Row],[Resource₀·Mass]] + tblTankTypes.Base[[#This Row],[Resource₁·Mass]] + tblTankTypes.Base[[#This Row],[Resource₂·Mass]]</f>
        <v>0.70209999999999995</v>
      </c>
      <c r="AE44" s="24">
        <f>tblTankTypes.Base[[#This Row],[Resource₀·Cost]] + tblTankTypes.Base[[#This Row],[Resource₁·Cost]] + tblTankTypes.Base[[#This Row],[Resource₂·Cost]]</f>
        <v>0.14199999999999999</v>
      </c>
      <c r="AF44" s="25">
        <f>tblTankTypes.Base[[#This Row],[Resource₀·Tank·Mass]] + tblTankTypes.Base[[#This Row],[Resource₁·Tank·Mass]] + tblTankTypes.Base[[#This Row],[Resource₂·Tank·Mass]]</f>
        <v>0.14041999999999999</v>
      </c>
      <c r="AG44" s="2">
        <f>tblTankTypes.Base[[#This Row],[Tank·Mass·Dry]] + tblTankTypes.Base[[#This Row],[Resources·Mass]]</f>
        <v>0.84251999999999994</v>
      </c>
      <c r="AH44" s="25">
        <f>(tblTankTypes.Base[[#This Row],[Resource₀·Tank·Cost]] + tblTankTypes.Base[[#This Row],[Resource₁·Tank·Cost]] + tblTankTypes.Base[[#This Row],[Resource₂·Tank·Cost]]) * tblTankTypes.Base[[#This Row],[TankCost·Mult]]</f>
        <v>0.56167999999999996</v>
      </c>
      <c r="AI44" s="25">
        <f>tblTankTypes.Base[[#This Row],[Tank·Cost·Dry]] + tblTankTypes.Base[[#This Row],[Resources·Cost]]</f>
        <v>0.70367999999999997</v>
      </c>
      <c r="AJ44" s="25">
        <f>tblTankTypes.Base[[#This Row],[Tank·Mass·Dry]] / tblTankTypes.Base[[#This Row],[Tank·Mass·Wet]]</f>
        <v>0.16666666666666666</v>
      </c>
      <c r="AL44" s="1" t="str">
        <f>tblTankTypes.Base[[#This Row],[TankType]] &amp; "Cryo"</f>
        <v>LqdNH3CryoCryo</v>
      </c>
    </row>
    <row r="45" spans="1:38" ht="15.95" customHeight="1" x14ac:dyDescent="0.35">
      <c r="A45" s="22" t="s">
        <v>107</v>
      </c>
      <c r="B45" s="21" t="s">
        <v>122</v>
      </c>
      <c r="C45" s="7">
        <v>1</v>
      </c>
      <c r="D45" s="8">
        <v>0.2</v>
      </c>
      <c r="E45" s="7">
        <v>0</v>
      </c>
      <c r="F45" s="7">
        <v>5</v>
      </c>
      <c r="G45" s="10" t="s">
        <v>3</v>
      </c>
      <c r="H45" s="12">
        <v>0</v>
      </c>
      <c r="I45" s="12">
        <v>0</v>
      </c>
      <c r="J45" s="7">
        <v>0</v>
      </c>
      <c r="K45" s="7">
        <v>1</v>
      </c>
      <c r="L45" s="10" t="s">
        <v>3</v>
      </c>
      <c r="M45" s="12">
        <v>0</v>
      </c>
      <c r="N45" s="12">
        <v>0</v>
      </c>
      <c r="O45" s="7">
        <v>0</v>
      </c>
      <c r="P45" s="7">
        <v>1</v>
      </c>
      <c r="Q45" s="7">
        <v>1</v>
      </c>
      <c r="R45" s="2">
        <f>_xlfn.XLOOKUP(tblTankTypes.Base[[#This Row],[Resource₀]], tblResources[Resource], tblResources[Mass], #N/A, 0, 1) * tblTankTypes.Base[[#This Row],[Resource₀·Volume]]</f>
        <v>0.82490699999999995</v>
      </c>
      <c r="S45" s="2">
        <f>_xlfn.XLOOKUP(tblTankTypes.Base[[#This Row],[Resource₀]], tblResources[Resource], tblResources[Cost], #N/A, 0, 1) * tblTankTypes.Base[[#This Row],[Resource₀·Volume]]</f>
        <v>8.2400000000000008E-3</v>
      </c>
      <c r="T45" s="2">
        <f>tblTankTypes.Base[[#This Row],[Resource₀·Tank]] * tblTankTypes.Base[[#This Row],[Resource₀·Mass]] + tblTankTypes.Base[[#This Row],[Resource₀·Volume]] * tblTankTypes.Base[[#This Row],[Resource₀·TankMass]]</f>
        <v>0.1649814</v>
      </c>
      <c r="U45" s="2">
        <f>0.8 * tblTankTypes.Base[[#This Row],[Resource₀·Tank·Mass]] * tblTankTypes.Base[[#This Row],[Resource₀·TankCostMult]]</f>
        <v>0.6599256</v>
      </c>
      <c r="V45" s="2">
        <f>_xlfn.XLOOKUP(tblTankTypes.Base[[#This Row],[Resource₁]], tblResources[Resource], tblResources[Mass], #N/A, 0, 1) * tblTankTypes.Base[[#This Row],[Resource₁·Volume]]</f>
        <v>0</v>
      </c>
      <c r="W45" s="24">
        <f>_xlfn.XLOOKUP(tblTankTypes.Base[[#This Row],[Resource₁]], tblResources[Resource], tblResources[Cost], #N/A, 0, 1) * tblTankTypes.Base[[#This Row],[Resource₁·Volume]]</f>
        <v>0</v>
      </c>
      <c r="X45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5" s="24">
        <f>0.8 * tblTankTypes.Base[[#This Row],[Resource₁·Tank·Mass]] * tblTankTypes.Base[[#This Row],[Resource₁·TankCostMult]]</f>
        <v>0</v>
      </c>
      <c r="Z45" s="24">
        <f>_xlfn.XLOOKUP(tblTankTypes.Base[[#This Row],[Resource₂]], tblResources[Resource], tblResources[Mass], #N/A, 0, 1) * tblTankTypes.Base[[#This Row],[Resource₂·Volume]]</f>
        <v>0</v>
      </c>
      <c r="AA45" s="24">
        <f>_xlfn.XLOOKUP(tblTankTypes.Base[[#This Row],[Resource₂]], tblResources[Resource], tblResources[Cost], #N/A, 0, 1) * tblTankTypes.Base[[#This Row],[Resource₂·Volume]]</f>
        <v>0</v>
      </c>
      <c r="AB45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5" s="24">
        <f>0.8 * tblTankTypes.Base[[#This Row],[Resource₂·Tank·Mass]] * tblTankTypes.Base[[#This Row],[Resource₂·TankCostMult]]</f>
        <v>0</v>
      </c>
      <c r="AD45" s="24">
        <f>tblTankTypes.Base[[#This Row],[Resource₀·Mass]] + tblTankTypes.Base[[#This Row],[Resource₁·Mass]] + tblTankTypes.Base[[#This Row],[Resource₂·Mass]]</f>
        <v>0.82490699999999995</v>
      </c>
      <c r="AE45" s="24">
        <f>tblTankTypes.Base[[#This Row],[Resource₀·Cost]] + tblTankTypes.Base[[#This Row],[Resource₁·Cost]] + tblTankTypes.Base[[#This Row],[Resource₂·Cost]]</f>
        <v>8.2400000000000008E-3</v>
      </c>
      <c r="AF45" s="25">
        <f>tblTankTypes.Base[[#This Row],[Resource₀·Tank·Mass]] + tblTankTypes.Base[[#This Row],[Resource₁·Tank·Mass]] + tblTankTypes.Base[[#This Row],[Resource₂·Tank·Mass]]</f>
        <v>0.1649814</v>
      </c>
      <c r="AG45" s="2">
        <f>tblTankTypes.Base[[#This Row],[Tank·Mass·Dry]] + tblTankTypes.Base[[#This Row],[Resources·Mass]]</f>
        <v>0.98988839999999989</v>
      </c>
      <c r="AH45" s="25">
        <f>(tblTankTypes.Base[[#This Row],[Resource₀·Tank·Cost]] + tblTankTypes.Base[[#This Row],[Resource₁·Tank·Cost]] + tblTankTypes.Base[[#This Row],[Resource₂·Tank·Cost]]) * tblTankTypes.Base[[#This Row],[TankCost·Mult]]</f>
        <v>0.6599256</v>
      </c>
      <c r="AI45" s="25">
        <f>tblTankTypes.Base[[#This Row],[Tank·Cost·Dry]] + tblTankTypes.Base[[#This Row],[Resources·Cost]]</f>
        <v>0.66816560000000003</v>
      </c>
      <c r="AJ45" s="25">
        <f>tblTankTypes.Base[[#This Row],[Tank·Mass·Dry]] / tblTankTypes.Base[[#This Row],[Tank·Mass·Wet]]</f>
        <v>0.16666666666666669</v>
      </c>
      <c r="AL45" s="1" t="str">
        <f>tblTankTypes.Base[[#This Row],[TankType]] &amp; "Cryo"</f>
        <v>LqdN2CryoCryo</v>
      </c>
    </row>
    <row r="46" spans="1:38" ht="15.95" customHeight="1" x14ac:dyDescent="0.35">
      <c r="A46" s="22" t="s">
        <v>106</v>
      </c>
      <c r="B46" s="21" t="s">
        <v>101</v>
      </c>
      <c r="C46" s="7">
        <v>1</v>
      </c>
      <c r="D46" s="8">
        <v>0.2</v>
      </c>
      <c r="E46" s="7">
        <v>0</v>
      </c>
      <c r="F46" s="7">
        <v>5</v>
      </c>
      <c r="G46" s="10" t="s">
        <v>3</v>
      </c>
      <c r="H46" s="12">
        <v>0</v>
      </c>
      <c r="I46" s="12">
        <v>0</v>
      </c>
      <c r="J46" s="7">
        <v>0</v>
      </c>
      <c r="K46" s="7">
        <v>1</v>
      </c>
      <c r="L46" s="10" t="s">
        <v>3</v>
      </c>
      <c r="M46" s="12">
        <v>0</v>
      </c>
      <c r="N46" s="12">
        <v>0</v>
      </c>
      <c r="O46" s="7">
        <v>0</v>
      </c>
      <c r="P46" s="7">
        <v>1</v>
      </c>
      <c r="Q46" s="7">
        <v>1</v>
      </c>
      <c r="R46" s="2">
        <f>_xlfn.XLOOKUP(tblTankTypes.Base[[#This Row],[Resource₀]], tblResources[Resource], tblResources[Mass], #N/A, 0, 1) * tblTankTypes.Base[[#This Row],[Resource₀·Volume]]</f>
        <v>1.1732499999999999</v>
      </c>
      <c r="S46" s="2">
        <f>_xlfn.XLOOKUP(tblTankTypes.Base[[#This Row],[Resource₀]], tblResources[Resource], tblResources[Cost], #N/A, 0, 1) * tblTankTypes.Base[[#This Row],[Resource₀·Volume]]</f>
        <v>1.7247E-3</v>
      </c>
      <c r="T46" s="2">
        <f>tblTankTypes.Base[[#This Row],[Resource₀·Tank]] * tblTankTypes.Base[[#This Row],[Resource₀·Mass]] + tblTankTypes.Base[[#This Row],[Resource₀·Volume]] * tblTankTypes.Base[[#This Row],[Resource₀·TankMass]]</f>
        <v>0.23465</v>
      </c>
      <c r="U46" s="2">
        <f>0.8 * tblTankTypes.Base[[#This Row],[Resource₀·Tank·Mass]] * tblTankTypes.Base[[#This Row],[Resource₀·TankCostMult]]</f>
        <v>0.93859999999999999</v>
      </c>
      <c r="V46" s="2">
        <f>_xlfn.XLOOKUP(tblTankTypes.Base[[#This Row],[Resource₁]], tblResources[Resource], tblResources[Mass], #N/A, 0, 1) * tblTankTypes.Base[[#This Row],[Resource₁·Volume]]</f>
        <v>0</v>
      </c>
      <c r="W46" s="24">
        <f>_xlfn.XLOOKUP(tblTankTypes.Base[[#This Row],[Resource₁]], tblResources[Resource], tblResources[Cost], #N/A, 0, 1) * tblTankTypes.Base[[#This Row],[Resource₁·Volume]]</f>
        <v>0</v>
      </c>
      <c r="X46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6" s="24">
        <f>0.8 * tblTankTypes.Base[[#This Row],[Resource₁·Tank·Mass]] * tblTankTypes.Base[[#This Row],[Resource₁·TankCostMult]]</f>
        <v>0</v>
      </c>
      <c r="Z46" s="24">
        <f>_xlfn.XLOOKUP(tblTankTypes.Base[[#This Row],[Resource₂]], tblResources[Resource], tblResources[Mass], #N/A, 0, 1) * tblTankTypes.Base[[#This Row],[Resource₂·Volume]]</f>
        <v>0</v>
      </c>
      <c r="AA46" s="24">
        <f>_xlfn.XLOOKUP(tblTankTypes.Base[[#This Row],[Resource₂]], tblResources[Resource], tblResources[Cost], #N/A, 0, 1) * tblTankTypes.Base[[#This Row],[Resource₂·Volume]]</f>
        <v>0</v>
      </c>
      <c r="AB46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6" s="24">
        <f>0.8 * tblTankTypes.Base[[#This Row],[Resource₂·Tank·Mass]] * tblTankTypes.Base[[#This Row],[Resource₂·TankCostMult]]</f>
        <v>0</v>
      </c>
      <c r="AD46" s="24">
        <f>tblTankTypes.Base[[#This Row],[Resource₀·Mass]] + tblTankTypes.Base[[#This Row],[Resource₁·Mass]] + tblTankTypes.Base[[#This Row],[Resource₂·Mass]]</f>
        <v>1.1732499999999999</v>
      </c>
      <c r="AE46" s="24">
        <f>tblTankTypes.Base[[#This Row],[Resource₀·Cost]] + tblTankTypes.Base[[#This Row],[Resource₁·Cost]] + tblTankTypes.Base[[#This Row],[Resource₂·Cost]]</f>
        <v>1.7247E-3</v>
      </c>
      <c r="AF46" s="25">
        <f>tblTankTypes.Base[[#This Row],[Resource₀·Tank·Mass]] + tblTankTypes.Base[[#This Row],[Resource₁·Tank·Mass]] + tblTankTypes.Base[[#This Row],[Resource₂·Tank·Mass]]</f>
        <v>0.23465</v>
      </c>
      <c r="AG46" s="2">
        <f>tblTankTypes.Base[[#This Row],[Tank·Mass·Dry]] + tblTankTypes.Base[[#This Row],[Resources·Mass]]</f>
        <v>1.4078999999999999</v>
      </c>
      <c r="AH46" s="25">
        <f>(tblTankTypes.Base[[#This Row],[Resource₀·Tank·Cost]] + tblTankTypes.Base[[#This Row],[Resource₁·Tank·Cost]] + tblTankTypes.Base[[#This Row],[Resource₂·Tank·Cost]]) * tblTankTypes.Base[[#This Row],[TankCost·Mult]]</f>
        <v>0.93859999999999999</v>
      </c>
      <c r="AI46" s="25">
        <f>tblTankTypes.Base[[#This Row],[Tank·Cost·Dry]] + tblTankTypes.Base[[#This Row],[Resources·Cost]]</f>
        <v>0.94032470000000001</v>
      </c>
      <c r="AJ46" s="25">
        <f>tblTankTypes.Base[[#This Row],[Tank·Mass·Dry]] / tblTankTypes.Base[[#This Row],[Tank·Mass·Wet]]</f>
        <v>0.16666666666666669</v>
      </c>
      <c r="AL46" s="1" t="str">
        <f>tblTankTypes.Base[[#This Row],[TankType]] &amp; "Cryo"</f>
        <v>LqdCO2CryoCryo</v>
      </c>
    </row>
    <row r="47" spans="1:38" ht="15.95" customHeight="1" x14ac:dyDescent="0.35">
      <c r="A47" s="22" t="s">
        <v>108</v>
      </c>
      <c r="B47" s="21" t="s">
        <v>123</v>
      </c>
      <c r="C47" s="7">
        <v>1</v>
      </c>
      <c r="D47" s="8">
        <v>0.2</v>
      </c>
      <c r="E47" s="7">
        <v>0</v>
      </c>
      <c r="F47" s="7">
        <v>5</v>
      </c>
      <c r="G47" s="10" t="s">
        <v>3</v>
      </c>
      <c r="H47" s="12">
        <v>0</v>
      </c>
      <c r="I47" s="12">
        <v>0</v>
      </c>
      <c r="J47" s="7">
        <v>0</v>
      </c>
      <c r="K47" s="7">
        <v>1</v>
      </c>
      <c r="L47" s="10" t="s">
        <v>3</v>
      </c>
      <c r="M47" s="12">
        <v>0</v>
      </c>
      <c r="N47" s="12">
        <v>0</v>
      </c>
      <c r="O47" s="7">
        <v>0</v>
      </c>
      <c r="P47" s="7">
        <v>1</v>
      </c>
      <c r="Q47" s="7">
        <v>1</v>
      </c>
      <c r="R47" s="2">
        <f>_xlfn.XLOOKUP(tblTankTypes.Base[[#This Row],[Resource₀]], tblResources[Resource], tblResources[Mass], #N/A, 0, 1) * tblTankTypes.Base[[#This Row],[Resource₀·Volume]]</f>
        <v>0.16239999999999999</v>
      </c>
      <c r="S47" s="2">
        <f>_xlfn.XLOOKUP(tblTankTypes.Base[[#This Row],[Resource₀]], tblResources[Resource], tblResources[Cost], #N/A, 0, 1) * tblTankTypes.Base[[#This Row],[Resource₀·Volume]]</f>
        <v>0.25600000000000001</v>
      </c>
      <c r="T47" s="2">
        <f>tblTankTypes.Base[[#This Row],[Resource₀·Tank]] * tblTankTypes.Base[[#This Row],[Resource₀·Mass]] + tblTankTypes.Base[[#This Row],[Resource₀·Volume]] * tblTankTypes.Base[[#This Row],[Resource₀·TankMass]]</f>
        <v>3.2480000000000002E-2</v>
      </c>
      <c r="U47" s="2">
        <f>0.8 * tblTankTypes.Base[[#This Row],[Resource₀·Tank·Mass]] * tblTankTypes.Base[[#This Row],[Resource₀·TankCostMult]]</f>
        <v>0.12992000000000001</v>
      </c>
      <c r="V47" s="2">
        <f>_xlfn.XLOOKUP(tblTankTypes.Base[[#This Row],[Resource₁]], tblResources[Resource], tblResources[Mass], #N/A, 0, 1) * tblTankTypes.Base[[#This Row],[Resource₁·Volume]]</f>
        <v>0</v>
      </c>
      <c r="W47" s="24">
        <f>_xlfn.XLOOKUP(tblTankTypes.Base[[#This Row],[Resource₁]], tblResources[Resource], tblResources[Cost], #N/A, 0, 1) * tblTankTypes.Base[[#This Row],[Resource₁·Volume]]</f>
        <v>0</v>
      </c>
      <c r="X47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7" s="24">
        <f>0.8 * tblTankTypes.Base[[#This Row],[Resource₁·Tank·Mass]] * tblTankTypes.Base[[#This Row],[Resource₁·TankCostMult]]</f>
        <v>0</v>
      </c>
      <c r="Z47" s="24">
        <f>_xlfn.XLOOKUP(tblTankTypes.Base[[#This Row],[Resource₂]], tblResources[Resource], tblResources[Mass], #N/A, 0, 1) * tblTankTypes.Base[[#This Row],[Resource₂·Volume]]</f>
        <v>0</v>
      </c>
      <c r="AA47" s="24">
        <f>_xlfn.XLOOKUP(tblTankTypes.Base[[#This Row],[Resource₂]], tblResources[Resource], tblResources[Cost], #N/A, 0, 1) * tblTankTypes.Base[[#This Row],[Resource₂·Volume]]</f>
        <v>0</v>
      </c>
      <c r="AB47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7" s="24">
        <f>0.8 * tblTankTypes.Base[[#This Row],[Resource₂·Tank·Mass]] * tblTankTypes.Base[[#This Row],[Resource₂·TankCostMult]]</f>
        <v>0</v>
      </c>
      <c r="AD47" s="24">
        <f>tblTankTypes.Base[[#This Row],[Resource₀·Mass]] + tblTankTypes.Base[[#This Row],[Resource₁·Mass]] + tblTankTypes.Base[[#This Row],[Resource₂·Mass]]</f>
        <v>0.16239999999999999</v>
      </c>
      <c r="AE47" s="24">
        <f>tblTankTypes.Base[[#This Row],[Resource₀·Cost]] + tblTankTypes.Base[[#This Row],[Resource₁·Cost]] + tblTankTypes.Base[[#This Row],[Resource₂·Cost]]</f>
        <v>0.25600000000000001</v>
      </c>
      <c r="AF47" s="25">
        <f>tblTankTypes.Base[[#This Row],[Resource₀·Tank·Mass]] + tblTankTypes.Base[[#This Row],[Resource₁·Tank·Mass]] + tblTankTypes.Base[[#This Row],[Resource₂·Tank·Mass]]</f>
        <v>3.2480000000000002E-2</v>
      </c>
      <c r="AG47" s="2">
        <f>tblTankTypes.Base[[#This Row],[Tank·Mass·Dry]] + tblTankTypes.Base[[#This Row],[Resources·Mass]]</f>
        <v>0.19488</v>
      </c>
      <c r="AH47" s="25">
        <f>(tblTankTypes.Base[[#This Row],[Resource₀·Tank·Cost]] + tblTankTypes.Base[[#This Row],[Resource₁·Tank·Cost]] + tblTankTypes.Base[[#This Row],[Resource₂·Tank·Cost]]) * tblTankTypes.Base[[#This Row],[TankCost·Mult]]</f>
        <v>0.12992000000000001</v>
      </c>
      <c r="AI47" s="25">
        <f>tblTankTypes.Base[[#This Row],[Tank·Cost·Dry]] + tblTankTypes.Base[[#This Row],[Resources·Cost]]</f>
        <v>0.38592000000000004</v>
      </c>
      <c r="AJ47" s="25">
        <f>tblTankTypes.Base[[#This Row],[Tank·Mass·Dry]] / tblTankTypes.Base[[#This Row],[Tank·Mass·Wet]]</f>
        <v>0.16666666666666669</v>
      </c>
      <c r="AL47" s="1" t="str">
        <f>tblTankTypes.Base[[#This Row],[TankType]] &amp; "Cryo"</f>
        <v>LqdD2CryoCryo</v>
      </c>
    </row>
    <row r="48" spans="1:38" ht="15.95" customHeight="1" x14ac:dyDescent="0.35">
      <c r="A48" s="22" t="s">
        <v>109</v>
      </c>
      <c r="B48" s="21" t="s">
        <v>124</v>
      </c>
      <c r="C48" s="7">
        <v>1</v>
      </c>
      <c r="D48" s="8">
        <v>0.2</v>
      </c>
      <c r="E48" s="7">
        <v>0</v>
      </c>
      <c r="F48" s="7">
        <v>5</v>
      </c>
      <c r="G48" s="10" t="s">
        <v>3</v>
      </c>
      <c r="H48" s="12">
        <v>0</v>
      </c>
      <c r="I48" s="12">
        <v>0</v>
      </c>
      <c r="J48" s="7">
        <v>0</v>
      </c>
      <c r="K48" s="7">
        <v>1</v>
      </c>
      <c r="L48" s="10" t="s">
        <v>3</v>
      </c>
      <c r="M48" s="12">
        <v>0</v>
      </c>
      <c r="N48" s="12">
        <v>0</v>
      </c>
      <c r="O48" s="7">
        <v>0</v>
      </c>
      <c r="P48" s="7">
        <v>1</v>
      </c>
      <c r="Q48" s="7">
        <v>1</v>
      </c>
      <c r="R48" s="2">
        <f>_xlfn.XLOOKUP(tblTankTypes.Base[[#This Row],[Resource₀]], tblResources[Resource], tblResources[Mass], #N/A, 0, 1) * tblTankTypes.Base[[#This Row],[Resource₀·Volume]]</f>
        <v>5.8999999999999997E-2</v>
      </c>
      <c r="S48" s="2">
        <f>_xlfn.XLOOKUP(tblTankTypes.Base[[#This Row],[Resource₀]], tblResources[Resource], tblResources[Cost], #N/A, 0, 1) * tblTankTypes.Base[[#This Row],[Resource₀·Volume]]</f>
        <v>52.52</v>
      </c>
      <c r="T48" s="2">
        <f>tblTankTypes.Base[[#This Row],[Resource₀·Tank]] * tblTankTypes.Base[[#This Row],[Resource₀·Mass]] + tblTankTypes.Base[[#This Row],[Resource₀·Volume]] * tblTankTypes.Base[[#This Row],[Resource₀·TankMass]]</f>
        <v>1.18E-2</v>
      </c>
      <c r="U48" s="2">
        <f>0.8 * tblTankTypes.Base[[#This Row],[Resource₀·Tank·Mass]] * tblTankTypes.Base[[#This Row],[Resource₀·TankCostMult]]</f>
        <v>4.7200000000000006E-2</v>
      </c>
      <c r="V48" s="2">
        <f>_xlfn.XLOOKUP(tblTankTypes.Base[[#This Row],[Resource₁]], tblResources[Resource], tblResources[Mass], #N/A, 0, 1) * tblTankTypes.Base[[#This Row],[Resource₁·Volume]]</f>
        <v>0</v>
      </c>
      <c r="W48" s="24">
        <f>_xlfn.XLOOKUP(tblTankTypes.Base[[#This Row],[Resource₁]], tblResources[Resource], tblResources[Cost], #N/A, 0, 1) * tblTankTypes.Base[[#This Row],[Resource₁·Volume]]</f>
        <v>0</v>
      </c>
      <c r="X48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8" s="24">
        <f>0.8 * tblTankTypes.Base[[#This Row],[Resource₁·Tank·Mass]] * tblTankTypes.Base[[#This Row],[Resource₁·TankCostMult]]</f>
        <v>0</v>
      </c>
      <c r="Z48" s="24">
        <f>_xlfn.XLOOKUP(tblTankTypes.Base[[#This Row],[Resource₂]], tblResources[Resource], tblResources[Mass], #N/A, 0, 1) * tblTankTypes.Base[[#This Row],[Resource₂·Volume]]</f>
        <v>0</v>
      </c>
      <c r="AA48" s="24">
        <f>_xlfn.XLOOKUP(tblTankTypes.Base[[#This Row],[Resource₂]], tblResources[Resource], tblResources[Cost], #N/A, 0, 1) * tblTankTypes.Base[[#This Row],[Resource₂·Volume]]</f>
        <v>0</v>
      </c>
      <c r="AB48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8" s="24">
        <f>0.8 * tblTankTypes.Base[[#This Row],[Resource₂·Tank·Mass]] * tblTankTypes.Base[[#This Row],[Resource₂·TankCostMult]]</f>
        <v>0</v>
      </c>
      <c r="AD48" s="24">
        <f>tblTankTypes.Base[[#This Row],[Resource₀·Mass]] + tblTankTypes.Base[[#This Row],[Resource₁·Mass]] + tblTankTypes.Base[[#This Row],[Resource₂·Mass]]</f>
        <v>5.8999999999999997E-2</v>
      </c>
      <c r="AE48" s="24">
        <f>tblTankTypes.Base[[#This Row],[Resource₀·Cost]] + tblTankTypes.Base[[#This Row],[Resource₁·Cost]] + tblTankTypes.Base[[#This Row],[Resource₂·Cost]]</f>
        <v>52.52</v>
      </c>
      <c r="AF48" s="25">
        <f>tblTankTypes.Base[[#This Row],[Resource₀·Tank·Mass]] + tblTankTypes.Base[[#This Row],[Resource₁·Tank·Mass]] + tblTankTypes.Base[[#This Row],[Resource₂·Tank·Mass]]</f>
        <v>1.18E-2</v>
      </c>
      <c r="AG48" s="2">
        <f>tblTankTypes.Base[[#This Row],[Tank·Mass·Dry]] + tblTankTypes.Base[[#This Row],[Resources·Mass]]</f>
        <v>7.0800000000000002E-2</v>
      </c>
      <c r="AH48" s="25">
        <f>(tblTankTypes.Base[[#This Row],[Resource₀·Tank·Cost]] + tblTankTypes.Base[[#This Row],[Resource₁·Tank·Cost]] + tblTankTypes.Base[[#This Row],[Resource₂·Tank·Cost]]) * tblTankTypes.Base[[#This Row],[TankCost·Mult]]</f>
        <v>4.7200000000000006E-2</v>
      </c>
      <c r="AI48" s="25">
        <f>tblTankTypes.Base[[#This Row],[Tank·Cost·Dry]] + tblTankTypes.Base[[#This Row],[Resources·Cost]]</f>
        <v>52.5672</v>
      </c>
      <c r="AJ48" s="25">
        <f>tblTankTypes.Base[[#This Row],[Tank·Mass·Dry]] / tblTankTypes.Base[[#This Row],[Tank·Mass·Wet]]</f>
        <v>0.16666666666666666</v>
      </c>
      <c r="AL48" s="1" t="str">
        <f>tblTankTypes.Base[[#This Row],[TankType]] &amp; "Cryo"</f>
        <v>Lqd3HeCryoCryo</v>
      </c>
    </row>
    <row r="49" spans="1:38" ht="15.95" customHeight="1" x14ac:dyDescent="0.35">
      <c r="A49" s="22" t="s">
        <v>151</v>
      </c>
      <c r="B49" s="21" t="s">
        <v>132</v>
      </c>
      <c r="C49" s="7">
        <v>1</v>
      </c>
      <c r="D49" s="8">
        <v>0.125</v>
      </c>
      <c r="E49" s="7">
        <v>0</v>
      </c>
      <c r="F49" s="7">
        <v>1</v>
      </c>
      <c r="G49" s="9" t="s">
        <v>3</v>
      </c>
      <c r="H49" s="8">
        <v>0</v>
      </c>
      <c r="I49" s="8">
        <v>0</v>
      </c>
      <c r="J49" s="7">
        <v>0</v>
      </c>
      <c r="K49" s="7">
        <v>1</v>
      </c>
      <c r="L49" s="9" t="s">
        <v>3</v>
      </c>
      <c r="M49" s="8">
        <v>0</v>
      </c>
      <c r="N49" s="8">
        <v>0</v>
      </c>
      <c r="O49" s="7">
        <v>0</v>
      </c>
      <c r="P49" s="7">
        <v>1</v>
      </c>
      <c r="Q49" s="7">
        <v>1</v>
      </c>
      <c r="R49" s="2">
        <f>_xlfn.XLOOKUP(tblTankTypes.Base[[#This Row],[Resource₀]], tblResources[Resource], tblResources[Mass], #N/A, 0, 1) * tblTankTypes.Base[[#This Row],[Resource₀·Volume]]</f>
        <v>1.05</v>
      </c>
      <c r="S49" s="2">
        <f>_xlfn.XLOOKUP(tblTankTypes.Base[[#This Row],[Resource₀]], tblResources[Resource], tblResources[Cost], #N/A, 0, 1) * tblTankTypes.Base[[#This Row],[Resource₀·Volume]]</f>
        <v>4</v>
      </c>
      <c r="T49" s="2">
        <f>tblTankTypes.Base[[#This Row],[Resource₀·Tank]] * tblTankTypes.Base[[#This Row],[Resource₀·Mass]] + tblTankTypes.Base[[#This Row],[Resource₀·Volume]] * tblTankTypes.Base[[#This Row],[Resource₀·TankMass]]</f>
        <v>0.13125000000000001</v>
      </c>
      <c r="U49" s="2">
        <f>0.8 * tblTankTypes.Base[[#This Row],[Resource₀·Tank·Mass]] * tblTankTypes.Base[[#This Row],[Resource₀·TankCostMult]]</f>
        <v>0.10500000000000001</v>
      </c>
      <c r="V49" s="2">
        <f>_xlfn.XLOOKUP(tblTankTypes.Base[[#This Row],[Resource₁]], tblResources[Resource], tblResources[Mass], #N/A, 0, 1) * tblTankTypes.Base[[#This Row],[Resource₁·Volume]]</f>
        <v>0</v>
      </c>
      <c r="W49" s="24">
        <f>_xlfn.XLOOKUP(tblTankTypes.Base[[#This Row],[Resource₁]], tblResources[Resource], tblResources[Cost], #N/A, 0, 1) * tblTankTypes.Base[[#This Row],[Resource₁·Volume]]</f>
        <v>0</v>
      </c>
      <c r="X49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49" s="24">
        <f>0.8 * tblTankTypes.Base[[#This Row],[Resource₁·Tank·Mass]] * tblTankTypes.Base[[#This Row],[Resource₁·TankCostMult]]</f>
        <v>0</v>
      </c>
      <c r="Z49" s="24">
        <f>_xlfn.XLOOKUP(tblTankTypes.Base[[#This Row],[Resource₂]], tblResources[Resource], tblResources[Mass], #N/A, 0, 1) * tblTankTypes.Base[[#This Row],[Resource₂·Volume]]</f>
        <v>0</v>
      </c>
      <c r="AA49" s="24">
        <f>_xlfn.XLOOKUP(tblTankTypes.Base[[#This Row],[Resource₂]], tblResources[Resource], tblResources[Cost], #N/A, 0, 1) * tblTankTypes.Base[[#This Row],[Resource₂·Volume]]</f>
        <v>0</v>
      </c>
      <c r="AB49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49" s="24">
        <f>0.8 * tblTankTypes.Base[[#This Row],[Resource₂·Tank·Mass]] * tblTankTypes.Base[[#This Row],[Resource₂·TankCostMult]]</f>
        <v>0</v>
      </c>
      <c r="AD49" s="24">
        <f>tblTankTypes.Base[[#This Row],[Resource₀·Mass]] + tblTankTypes.Base[[#This Row],[Resource₁·Mass]] + tblTankTypes.Base[[#This Row],[Resource₂·Mass]]</f>
        <v>1.05</v>
      </c>
      <c r="AE49" s="24">
        <f>tblTankTypes.Base[[#This Row],[Resource₀·Cost]] + tblTankTypes.Base[[#This Row],[Resource₁·Cost]] + tblTankTypes.Base[[#This Row],[Resource₂·Cost]]</f>
        <v>4</v>
      </c>
      <c r="AF49" s="25">
        <f>tblTankTypes.Base[[#This Row],[Resource₀·Tank·Mass]] + tblTankTypes.Base[[#This Row],[Resource₁·Tank·Mass]] + tblTankTypes.Base[[#This Row],[Resource₂·Tank·Mass]]</f>
        <v>0.13125000000000001</v>
      </c>
      <c r="AG49" s="2">
        <f>tblTankTypes.Base[[#This Row],[Tank·Mass·Dry]] + tblTankTypes.Base[[#This Row],[Resources·Mass]]</f>
        <v>1.1812500000000001</v>
      </c>
      <c r="AH49" s="25">
        <f>(tblTankTypes.Base[[#This Row],[Resource₀·Tank·Cost]] + tblTankTypes.Base[[#This Row],[Resource₁·Tank·Cost]] + tblTankTypes.Base[[#This Row],[Resource₂·Tank·Cost]]) * tblTankTypes.Base[[#This Row],[TankCost·Mult]]</f>
        <v>0.10500000000000001</v>
      </c>
      <c r="AI49" s="25">
        <f>tblTankTypes.Base[[#This Row],[Tank·Cost·Dry]] + tblTankTypes.Base[[#This Row],[Resources·Cost]]</f>
        <v>4.1050000000000004</v>
      </c>
      <c r="AJ49" s="25">
        <f>tblTankTypes.Base[[#This Row],[Tank·Mass·Dry]] / tblTankTypes.Base[[#This Row],[Tank·Mass·Wet]]</f>
        <v>0.1111111111111111</v>
      </c>
      <c r="AL49" s="1" t="str">
        <f>tblTankTypes.Base[[#This Row],[TankType]] &amp; "Cryo"</f>
        <v>NSWCryo</v>
      </c>
    </row>
    <row r="50" spans="1:38" ht="15.95" customHeight="1" x14ac:dyDescent="0.35">
      <c r="A50" s="22" t="s">
        <v>133</v>
      </c>
      <c r="B50" s="21" t="s">
        <v>133</v>
      </c>
      <c r="C50" s="7">
        <v>0.02</v>
      </c>
      <c r="D50" s="8">
        <v>2</v>
      </c>
      <c r="E50" s="7">
        <v>0</v>
      </c>
      <c r="F50" s="7">
        <v>1</v>
      </c>
      <c r="G50" s="10" t="s">
        <v>3</v>
      </c>
      <c r="H50" s="12">
        <v>0</v>
      </c>
      <c r="I50" s="12">
        <v>0</v>
      </c>
      <c r="J50" s="7">
        <v>0</v>
      </c>
      <c r="K50" s="7">
        <v>1</v>
      </c>
      <c r="L50" s="10" t="s">
        <v>3</v>
      </c>
      <c r="M50" s="12">
        <v>0</v>
      </c>
      <c r="N50" s="12">
        <v>0</v>
      </c>
      <c r="O50" s="7">
        <v>0</v>
      </c>
      <c r="P50" s="7">
        <v>1</v>
      </c>
      <c r="Q50" s="7">
        <v>1</v>
      </c>
      <c r="R50" s="2">
        <f>_xlfn.XLOOKUP(tblTankTypes.Base[[#This Row],[Resource₀]], tblResources[Resource], tblResources[Mass], #N/A, 0, 1) * tblTankTypes.Base[[#This Row],[Resource₀·Volume]]</f>
        <v>2.8799999999999999E-2</v>
      </c>
      <c r="S50" s="2">
        <f>_xlfn.XLOOKUP(tblTankTypes.Base[[#This Row],[Resource₀]], tblResources[Resource], tblResources[Cost], #N/A, 0, 1) * tblTankTypes.Base[[#This Row],[Resource₀·Volume]]</f>
        <v>1</v>
      </c>
      <c r="T50" s="2">
        <f>tblTankTypes.Base[[#This Row],[Resource₀·Tank]] * tblTankTypes.Base[[#This Row],[Resource₀·Mass]] + tblTankTypes.Base[[#This Row],[Resource₀·Volume]] * tblTankTypes.Base[[#This Row],[Resource₀·TankMass]]</f>
        <v>5.7599999999999998E-2</v>
      </c>
      <c r="U50" s="2">
        <f>0.8 * tblTankTypes.Base[[#This Row],[Resource₀·Tank·Mass]] * tblTankTypes.Base[[#This Row],[Resource₀·TankCostMult]]</f>
        <v>4.6080000000000003E-2</v>
      </c>
      <c r="V50" s="2">
        <f>_xlfn.XLOOKUP(tblTankTypes.Base[[#This Row],[Resource₁]], tblResources[Resource], tblResources[Mass], #N/A, 0, 1) * tblTankTypes.Base[[#This Row],[Resource₁·Volume]]</f>
        <v>0</v>
      </c>
      <c r="W50" s="24">
        <f>_xlfn.XLOOKUP(tblTankTypes.Base[[#This Row],[Resource₁]], tblResources[Resource], tblResources[Cost], #N/A, 0, 1) * tblTankTypes.Base[[#This Row],[Resource₁·Volume]]</f>
        <v>0</v>
      </c>
      <c r="X50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50" s="24">
        <f>0.8 * tblTankTypes.Base[[#This Row],[Resource₁·Tank·Mass]] * tblTankTypes.Base[[#This Row],[Resource₁·TankCostMult]]</f>
        <v>0</v>
      </c>
      <c r="Z50" s="24">
        <f>_xlfn.XLOOKUP(tblTankTypes.Base[[#This Row],[Resource₂]], tblResources[Resource], tblResources[Mass], #N/A, 0, 1) * tblTankTypes.Base[[#This Row],[Resource₂·Volume]]</f>
        <v>0</v>
      </c>
      <c r="AA50" s="24">
        <f>_xlfn.XLOOKUP(tblTankTypes.Base[[#This Row],[Resource₂]], tblResources[Resource], tblResources[Cost], #N/A, 0, 1) * tblTankTypes.Base[[#This Row],[Resource₂·Volume]]</f>
        <v>0</v>
      </c>
      <c r="AB50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50" s="24">
        <f>0.8 * tblTankTypes.Base[[#This Row],[Resource₂·Tank·Mass]] * tblTankTypes.Base[[#This Row],[Resource₂·TankCostMult]]</f>
        <v>0</v>
      </c>
      <c r="AD50" s="24">
        <f>tblTankTypes.Base[[#This Row],[Resource₀·Mass]] + tblTankTypes.Base[[#This Row],[Resource₁·Mass]] + tblTankTypes.Base[[#This Row],[Resource₂·Mass]]</f>
        <v>2.8799999999999999E-2</v>
      </c>
      <c r="AE50" s="24">
        <f>tblTankTypes.Base[[#This Row],[Resource₀·Cost]] + tblTankTypes.Base[[#This Row],[Resource₁·Cost]] + tblTankTypes.Base[[#This Row],[Resource₂·Cost]]</f>
        <v>1</v>
      </c>
      <c r="AF50" s="25">
        <f>tblTankTypes.Base[[#This Row],[Resource₀·Tank·Mass]] + tblTankTypes.Base[[#This Row],[Resource₁·Tank·Mass]] + tblTankTypes.Base[[#This Row],[Resource₂·Tank·Mass]]</f>
        <v>5.7599999999999998E-2</v>
      </c>
      <c r="AG50" s="2">
        <f>tblTankTypes.Base[[#This Row],[Tank·Mass·Dry]] + tblTankTypes.Base[[#This Row],[Resources·Mass]]</f>
        <v>8.6400000000000005E-2</v>
      </c>
      <c r="AH50" s="25">
        <f>(tblTankTypes.Base[[#This Row],[Resource₀·Tank·Cost]] + tblTankTypes.Base[[#This Row],[Resource₁·Tank·Cost]] + tblTankTypes.Base[[#This Row],[Resource₂·Tank·Cost]]) * tblTankTypes.Base[[#This Row],[TankCost·Mult]]</f>
        <v>4.6080000000000003E-2</v>
      </c>
      <c r="AI50" s="25">
        <f>tblTankTypes.Base[[#This Row],[Tank·Cost·Dry]] + tblTankTypes.Base[[#This Row],[Resources·Cost]]</f>
        <v>1.0460799999999999</v>
      </c>
      <c r="AJ50" s="25">
        <f>tblTankTypes.Base[[#This Row],[Tank·Mass·Dry]] / tblTankTypes.Base[[#This Row],[Tank·Mass·Wet]]</f>
        <v>0.66666666666666663</v>
      </c>
      <c r="AL50" s="1" t="str">
        <f>tblTankTypes.Base[[#This Row],[TankType]] &amp; "Cryo"</f>
        <v>FissionParticlesCryo</v>
      </c>
    </row>
    <row r="51" spans="1:38" ht="15.95" customHeight="1" x14ac:dyDescent="0.35">
      <c r="A51" s="22" t="s">
        <v>152</v>
      </c>
      <c r="B51" s="21" t="s">
        <v>124</v>
      </c>
      <c r="C51" s="7">
        <v>0.4</v>
      </c>
      <c r="D51" s="8">
        <v>0.2</v>
      </c>
      <c r="E51" s="7">
        <v>0</v>
      </c>
      <c r="F51" s="7">
        <v>5</v>
      </c>
      <c r="G51" s="21" t="s">
        <v>124</v>
      </c>
      <c r="H51" s="12">
        <v>0.6</v>
      </c>
      <c r="I51" s="12">
        <v>0.2</v>
      </c>
      <c r="J51" s="7">
        <v>0</v>
      </c>
      <c r="K51" s="7">
        <v>5</v>
      </c>
      <c r="L51" s="10" t="s">
        <v>3</v>
      </c>
      <c r="M51" s="12">
        <v>0</v>
      </c>
      <c r="N51" s="12">
        <v>0</v>
      </c>
      <c r="O51" s="7">
        <v>0</v>
      </c>
      <c r="P51" s="7">
        <v>1</v>
      </c>
      <c r="Q51" s="7">
        <v>1</v>
      </c>
      <c r="R51" s="2">
        <f>_xlfn.XLOOKUP(tblTankTypes.Base[[#This Row],[Resource₀]], tblResources[Resource], tblResources[Mass], #N/A, 0, 1) * tblTankTypes.Base[[#This Row],[Resource₀·Volume]]</f>
        <v>2.3599999999999999E-2</v>
      </c>
      <c r="S51" s="2">
        <f>_xlfn.XLOOKUP(tblTankTypes.Base[[#This Row],[Resource₀]], tblResources[Resource], tblResources[Cost], #N/A, 0, 1) * tblTankTypes.Base[[#This Row],[Resource₀·Volume]]</f>
        <v>21.008000000000003</v>
      </c>
      <c r="T51" s="2">
        <f>tblTankTypes.Base[[#This Row],[Resource₀·Tank]] * tblTankTypes.Base[[#This Row],[Resource₀·Mass]] + tblTankTypes.Base[[#This Row],[Resource₀·Volume]] * tblTankTypes.Base[[#This Row],[Resource₀·TankMass]]</f>
        <v>4.7200000000000002E-3</v>
      </c>
      <c r="U51" s="2">
        <f>0.8 * tblTankTypes.Base[[#This Row],[Resource₀·Tank·Mass]] * tblTankTypes.Base[[#This Row],[Resource₀·TankCostMult]]</f>
        <v>1.8880000000000001E-2</v>
      </c>
      <c r="V51" s="2">
        <f>_xlfn.XLOOKUP(tblTankTypes.Base[[#This Row],[Resource₁]], tblResources[Resource], tblResources[Mass], #N/A, 0, 1) * tblTankTypes.Base[[#This Row],[Resource₁·Volume]]</f>
        <v>3.5399999999999994E-2</v>
      </c>
      <c r="W51" s="24">
        <f>_xlfn.XLOOKUP(tblTankTypes.Base[[#This Row],[Resource₁]], tblResources[Resource], tblResources[Cost], #N/A, 0, 1) * tblTankTypes.Base[[#This Row],[Resource₁·Volume]]</f>
        <v>31.512</v>
      </c>
      <c r="X51" s="24">
        <f>tblTankTypes.Base[[#This Row],[Resource₁·Tank]] * tblTankTypes.Base[[#This Row],[Resource₁·Mass]] + tblTankTypes.Base[[#This Row],[Resource₁·Volume]] * tblTankTypes.Base[[#This Row],[Resource₁·TankMass]]</f>
        <v>7.0799999999999995E-3</v>
      </c>
      <c r="Y51" s="24">
        <f>0.8 * tblTankTypes.Base[[#This Row],[Resource₁·Tank·Mass]] * tblTankTypes.Base[[#This Row],[Resource₁·TankCostMult]]</f>
        <v>2.8319999999999998E-2</v>
      </c>
      <c r="Z51" s="24">
        <f>_xlfn.XLOOKUP(tblTankTypes.Base[[#This Row],[Resource₂]], tblResources[Resource], tblResources[Mass], #N/A, 0, 1) * tblTankTypes.Base[[#This Row],[Resource₂·Volume]]</f>
        <v>0</v>
      </c>
      <c r="AA51" s="24">
        <f>_xlfn.XLOOKUP(tblTankTypes.Base[[#This Row],[Resource₂]], tblResources[Resource], tblResources[Cost], #N/A, 0, 1) * tblTankTypes.Base[[#This Row],[Resource₂·Volume]]</f>
        <v>0</v>
      </c>
      <c r="AB51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51" s="24">
        <f>0.8 * tblTankTypes.Base[[#This Row],[Resource₂·Tank·Mass]] * tblTankTypes.Base[[#This Row],[Resource₂·TankCostMult]]</f>
        <v>0</v>
      </c>
      <c r="AD51" s="24">
        <f>tblTankTypes.Base[[#This Row],[Resource₀·Mass]] + tblTankTypes.Base[[#This Row],[Resource₁·Mass]] + tblTankTypes.Base[[#This Row],[Resource₂·Mass]]</f>
        <v>5.8999999999999997E-2</v>
      </c>
      <c r="AE51" s="24">
        <f>tblTankTypes.Base[[#This Row],[Resource₀·Cost]] + tblTankTypes.Base[[#This Row],[Resource₁·Cost]] + tblTankTypes.Base[[#This Row],[Resource₂·Cost]]</f>
        <v>52.52</v>
      </c>
      <c r="AF51" s="25">
        <f>tblTankTypes.Base[[#This Row],[Resource₀·Tank·Mass]] + tblTankTypes.Base[[#This Row],[Resource₁·Tank·Mass]] + tblTankTypes.Base[[#This Row],[Resource₂·Tank·Mass]]</f>
        <v>1.18E-2</v>
      </c>
      <c r="AG51" s="2">
        <f>tblTankTypes.Base[[#This Row],[Tank·Mass·Dry]] + tblTankTypes.Base[[#This Row],[Resources·Mass]]</f>
        <v>7.0800000000000002E-2</v>
      </c>
      <c r="AH51" s="25">
        <f>(tblTankTypes.Base[[#This Row],[Resource₀·Tank·Cost]] + tblTankTypes.Base[[#This Row],[Resource₁·Tank·Cost]] + tblTankTypes.Base[[#This Row],[Resource₂·Tank·Cost]]) * tblTankTypes.Base[[#This Row],[TankCost·Mult]]</f>
        <v>4.7199999999999999E-2</v>
      </c>
      <c r="AI51" s="25">
        <f>tblTankTypes.Base[[#This Row],[Tank·Cost·Dry]] + tblTankTypes.Base[[#This Row],[Resources·Cost]]</f>
        <v>52.5672</v>
      </c>
      <c r="AJ51" s="25">
        <f>tblTankTypes.Base[[#This Row],[Tank·Mass·Dry]] / tblTankTypes.Base[[#This Row],[Tank·Mass·Wet]]</f>
        <v>0.16666666666666666</v>
      </c>
    </row>
    <row r="52" spans="1:38" ht="15.95" customHeight="1" x14ac:dyDescent="0.35">
      <c r="A52" s="22" t="s">
        <v>134</v>
      </c>
      <c r="B52" s="21" t="s">
        <v>134</v>
      </c>
      <c r="C52" s="7">
        <v>1</v>
      </c>
      <c r="D52" s="8">
        <v>0</v>
      </c>
      <c r="E52" s="7">
        <v>0</v>
      </c>
      <c r="F52" s="7">
        <v>0</v>
      </c>
      <c r="G52" s="10" t="s">
        <v>3</v>
      </c>
      <c r="H52" s="12">
        <v>0</v>
      </c>
      <c r="I52" s="12">
        <v>0</v>
      </c>
      <c r="J52" s="7">
        <v>0</v>
      </c>
      <c r="K52" s="7">
        <v>1</v>
      </c>
      <c r="L52" s="10" t="s">
        <v>3</v>
      </c>
      <c r="M52" s="12">
        <v>0</v>
      </c>
      <c r="N52" s="12">
        <v>0</v>
      </c>
      <c r="O52" s="7">
        <v>0</v>
      </c>
      <c r="P52" s="7">
        <v>1</v>
      </c>
      <c r="Q52" s="7">
        <v>1</v>
      </c>
      <c r="R52" s="2">
        <f>_xlfn.XLOOKUP(tblTankTypes.Base[[#This Row],[Resource₀]], tblResources[Resource], tblResources[Mass], #N/A, 0, 1) * tblTankTypes.Base[[#This Row],[Resource₀·Volume]]</f>
        <v>1</v>
      </c>
      <c r="S52" s="2">
        <f>_xlfn.XLOOKUP(tblTankTypes.Base[[#This Row],[Resource₀]], tblResources[Resource], tblResources[Cost], #N/A, 0, 1) * tblTankTypes.Base[[#This Row],[Resource₀·Volume]]</f>
        <v>12</v>
      </c>
      <c r="T52" s="2">
        <f>tblTankTypes.Base[[#This Row],[Resource₀·Tank]] * tblTankTypes.Base[[#This Row],[Resource₀·Mass]] + tblTankTypes.Base[[#This Row],[Resource₀·Volume]] * tblTankTypes.Base[[#This Row],[Resource₀·TankMass]]</f>
        <v>0</v>
      </c>
      <c r="U52" s="2">
        <f>0.8 * tblTankTypes.Base[[#This Row],[Resource₀·Tank·Mass]] * tblTankTypes.Base[[#This Row],[Resource₀·TankCostMult]]</f>
        <v>0</v>
      </c>
      <c r="V52" s="2">
        <f>_xlfn.XLOOKUP(tblTankTypes.Base[[#This Row],[Resource₁]], tblResources[Resource], tblResources[Mass], #N/A, 0, 1) * tblTankTypes.Base[[#This Row],[Resource₁·Volume]]</f>
        <v>0</v>
      </c>
      <c r="W52" s="24">
        <f>_xlfn.XLOOKUP(tblTankTypes.Base[[#This Row],[Resource₁]], tblResources[Resource], tblResources[Cost], #N/A, 0, 1) * tblTankTypes.Base[[#This Row],[Resource₁·Volume]]</f>
        <v>0</v>
      </c>
      <c r="X52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52" s="24">
        <f>0.8 * tblTankTypes.Base[[#This Row],[Resource₁·Tank·Mass]] * tblTankTypes.Base[[#This Row],[Resource₁·TankCostMult]]</f>
        <v>0</v>
      </c>
      <c r="Z52" s="24">
        <f>_xlfn.XLOOKUP(tblTankTypes.Base[[#This Row],[Resource₂]], tblResources[Resource], tblResources[Mass], #N/A, 0, 1) * tblTankTypes.Base[[#This Row],[Resource₂·Volume]]</f>
        <v>0</v>
      </c>
      <c r="AA52" s="24">
        <f>_xlfn.XLOOKUP(tblTankTypes.Base[[#This Row],[Resource₂]], tblResources[Resource], tblResources[Cost], #N/A, 0, 1) * tblTankTypes.Base[[#This Row],[Resource₂·Volume]]</f>
        <v>0</v>
      </c>
      <c r="AB52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52" s="24">
        <f>0.8 * tblTankTypes.Base[[#This Row],[Resource₂·Tank·Mass]] * tblTankTypes.Base[[#This Row],[Resource₂·TankCostMult]]</f>
        <v>0</v>
      </c>
      <c r="AD52" s="24">
        <f>tblTankTypes.Base[[#This Row],[Resource₀·Mass]] + tblTankTypes.Base[[#This Row],[Resource₁·Mass]] + tblTankTypes.Base[[#This Row],[Resource₂·Mass]]</f>
        <v>1</v>
      </c>
      <c r="AE52" s="24">
        <f>tblTankTypes.Base[[#This Row],[Resource₀·Cost]] + tblTankTypes.Base[[#This Row],[Resource₁·Cost]] + tblTankTypes.Base[[#This Row],[Resource₂·Cost]]</f>
        <v>12</v>
      </c>
      <c r="AF52" s="25">
        <f>tblTankTypes.Base[[#This Row],[Resource₀·Tank·Mass]] + tblTankTypes.Base[[#This Row],[Resource₁·Tank·Mass]] + tblTankTypes.Base[[#This Row],[Resource₂·Tank·Mass]]</f>
        <v>0</v>
      </c>
      <c r="AG52" s="2">
        <f>tblTankTypes.Base[[#This Row],[Tank·Mass·Dry]] + tblTankTypes.Base[[#This Row],[Resources·Mass]]</f>
        <v>1</v>
      </c>
      <c r="AH52" s="25">
        <f>(tblTankTypes.Base[[#This Row],[Resource₀·Tank·Cost]] + tblTankTypes.Base[[#This Row],[Resource₁·Tank·Cost]] + tblTankTypes.Base[[#This Row],[Resource₂·Tank·Cost]]) * tblTankTypes.Base[[#This Row],[TankCost·Mult]]</f>
        <v>0</v>
      </c>
      <c r="AI52" s="25">
        <f>tblTankTypes.Base[[#This Row],[Tank·Cost·Dry]] + tblTankTypes.Base[[#This Row],[Resources·Cost]]</f>
        <v>12</v>
      </c>
      <c r="AJ52" s="25">
        <f>tblTankTypes.Base[[#This Row],[Tank·Mass·Dry]] / tblTankTypes.Base[[#This Row],[Tank·Mass·Wet]]</f>
        <v>0</v>
      </c>
    </row>
    <row r="53" spans="1:38" ht="15.95" customHeight="1" x14ac:dyDescent="0.35">
      <c r="A53" s="22" t="s">
        <v>135</v>
      </c>
      <c r="B53" s="21" t="s">
        <v>135</v>
      </c>
      <c r="C53" s="7">
        <v>1</v>
      </c>
      <c r="D53" s="8">
        <v>0</v>
      </c>
      <c r="E53" s="7">
        <v>0</v>
      </c>
      <c r="F53" s="7">
        <v>0</v>
      </c>
      <c r="G53" s="10" t="s">
        <v>3</v>
      </c>
      <c r="H53" s="12">
        <v>0</v>
      </c>
      <c r="I53" s="12">
        <v>0</v>
      </c>
      <c r="J53" s="7">
        <v>0</v>
      </c>
      <c r="K53" s="7">
        <v>1</v>
      </c>
      <c r="L53" s="10" t="s">
        <v>3</v>
      </c>
      <c r="M53" s="12">
        <v>0</v>
      </c>
      <c r="N53" s="12">
        <v>0</v>
      </c>
      <c r="O53" s="7">
        <v>0</v>
      </c>
      <c r="P53" s="7">
        <v>1</v>
      </c>
      <c r="Q53" s="7">
        <v>1</v>
      </c>
      <c r="R53" s="2">
        <f>_xlfn.XLOOKUP(tblTankTypes.Base[[#This Row],[Resource₀]], tblResources[Resource], tblResources[Mass], #N/A, 0, 1) * tblTankTypes.Base[[#This Row],[Resource₀·Volume]]</f>
        <v>0.216</v>
      </c>
      <c r="S53" s="2">
        <f>_xlfn.XLOOKUP(tblTankTypes.Base[[#This Row],[Resource₀]], tblResources[Resource], tblResources[Cost], #N/A, 0, 1) * tblTankTypes.Base[[#This Row],[Resource₀·Volume]]</f>
        <v>150</v>
      </c>
      <c r="T53" s="2">
        <f>tblTankTypes.Base[[#This Row],[Resource₀·Tank]] * tblTankTypes.Base[[#This Row],[Resource₀·Mass]] + tblTankTypes.Base[[#This Row],[Resource₀·Volume]] * tblTankTypes.Base[[#This Row],[Resource₀·TankMass]]</f>
        <v>0</v>
      </c>
      <c r="U53" s="2">
        <f>0.8 * tblTankTypes.Base[[#This Row],[Resource₀·Tank·Mass]] * tblTankTypes.Base[[#This Row],[Resource₀·TankCostMult]]</f>
        <v>0</v>
      </c>
      <c r="V53" s="2">
        <f>_xlfn.XLOOKUP(tblTankTypes.Base[[#This Row],[Resource₁]], tblResources[Resource], tblResources[Mass], #N/A, 0, 1) * tblTankTypes.Base[[#This Row],[Resource₁·Volume]]</f>
        <v>0</v>
      </c>
      <c r="W53" s="24">
        <f>_xlfn.XLOOKUP(tblTankTypes.Base[[#This Row],[Resource₁]], tblResources[Resource], tblResources[Cost], #N/A, 0, 1) * tblTankTypes.Base[[#This Row],[Resource₁·Volume]]</f>
        <v>0</v>
      </c>
      <c r="X53" s="24">
        <f>tblTankTypes.Base[[#This Row],[Resource₁·Tank]] * tblTankTypes.Base[[#This Row],[Resource₁·Mass]] + tblTankTypes.Base[[#This Row],[Resource₁·Volume]] * tblTankTypes.Base[[#This Row],[Resource₁·TankMass]]</f>
        <v>0</v>
      </c>
      <c r="Y53" s="24">
        <f>0.8 * tblTankTypes.Base[[#This Row],[Resource₁·Tank·Mass]] * tblTankTypes.Base[[#This Row],[Resource₁·TankCostMult]]</f>
        <v>0</v>
      </c>
      <c r="Z53" s="24">
        <f>_xlfn.XLOOKUP(tblTankTypes.Base[[#This Row],[Resource₂]], tblResources[Resource], tblResources[Mass], #N/A, 0, 1) * tblTankTypes.Base[[#This Row],[Resource₂·Volume]]</f>
        <v>0</v>
      </c>
      <c r="AA53" s="24">
        <f>_xlfn.XLOOKUP(tblTankTypes.Base[[#This Row],[Resource₂]], tblResources[Resource], tblResources[Cost], #N/A, 0, 1) * tblTankTypes.Base[[#This Row],[Resource₂·Volume]]</f>
        <v>0</v>
      </c>
      <c r="AB53" s="24">
        <f>tblTankTypes.Base[[#This Row],[Resource₂·Tank]] * tblTankTypes.Base[[#This Row],[Resource₂·Mass]] + tblTankTypes.Base[[#This Row],[Resource₂·Volume]] * tblTankTypes.Base[[#This Row],[Resource₂·TankMass]]</f>
        <v>0</v>
      </c>
      <c r="AC53" s="24">
        <f>0.8 * tblTankTypes.Base[[#This Row],[Resource₂·Tank·Mass]] * tblTankTypes.Base[[#This Row],[Resource₂·TankCostMult]]</f>
        <v>0</v>
      </c>
      <c r="AD53" s="24">
        <f>tblTankTypes.Base[[#This Row],[Resource₀·Mass]] + tblTankTypes.Base[[#This Row],[Resource₁·Mass]] + tblTankTypes.Base[[#This Row],[Resource₂·Mass]]</f>
        <v>0.216</v>
      </c>
      <c r="AE53" s="24">
        <f>tblTankTypes.Base[[#This Row],[Resource₀·Cost]] + tblTankTypes.Base[[#This Row],[Resource₁·Cost]] + tblTankTypes.Base[[#This Row],[Resource₂·Cost]]</f>
        <v>150</v>
      </c>
      <c r="AF53" s="25">
        <f>tblTankTypes.Base[[#This Row],[Resource₀·Tank·Mass]] + tblTankTypes.Base[[#This Row],[Resource₁·Tank·Mass]] + tblTankTypes.Base[[#This Row],[Resource₂·Tank·Mass]]</f>
        <v>0</v>
      </c>
      <c r="AG53" s="2">
        <f>tblTankTypes.Base[[#This Row],[Tank·Mass·Dry]] + tblTankTypes.Base[[#This Row],[Resources·Mass]]</f>
        <v>0.216</v>
      </c>
      <c r="AH53" s="25">
        <f>(tblTankTypes.Base[[#This Row],[Resource₀·Tank·Cost]] + tblTankTypes.Base[[#This Row],[Resource₁·Tank·Cost]] + tblTankTypes.Base[[#This Row],[Resource₂·Tank·Cost]]) * tblTankTypes.Base[[#This Row],[TankCost·Mult]]</f>
        <v>0</v>
      </c>
      <c r="AI53" s="25">
        <f>tblTankTypes.Base[[#This Row],[Tank·Cost·Dry]] + tblTankTypes.Base[[#This Row],[Resources·Cost]]</f>
        <v>150</v>
      </c>
      <c r="AJ53" s="25">
        <f>tblTankTypes.Base[[#This Row],[Tank·Mass·Dry]] / tblTankTypes.Base[[#This Row],[Tank·Mass·Wet]]</f>
        <v>0</v>
      </c>
    </row>
    <row r="55" spans="1:38" ht="15.95" customHeight="1" x14ac:dyDescent="0.35">
      <c r="AF55" s="1">
        <f>0.0031104 / (0.001 * AF51)</f>
        <v>263.59322033898303</v>
      </c>
    </row>
  </sheetData>
  <dataValidations count="1">
    <dataValidation type="list" allowBlank="1" showInputMessage="1" showErrorMessage="1" sqref="G47:G53 B47:B53 B2:B46 L47:L53 L2:L46 G2:G46" xr:uid="{BC8A3DD1-D316-49D5-8601-6AEDA412B2FB}">
      <formula1>lstResources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defaultGridColor="0" colorId="23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defaultColWidth="24.625" defaultRowHeight="15.95" customHeight="1" x14ac:dyDescent="0.35"/>
  <cols>
    <col min="1" max="1" width="24.625" style="1" customWidth="1"/>
    <col min="2" max="3" width="18.625" style="2" customWidth="1"/>
    <col min="4" max="4" width="18.625" style="1" customWidth="1"/>
    <col min="5" max="11" width="18.625" style="2" customWidth="1"/>
    <col min="12" max="16384" width="24.625" style="1"/>
  </cols>
  <sheetData>
    <row r="1" spans="1:11" s="3" customFormat="1" ht="15.95" customHeight="1" x14ac:dyDescent="0.35">
      <c r="A1" s="5" t="s">
        <v>17</v>
      </c>
      <c r="B1" s="6" t="s">
        <v>51</v>
      </c>
      <c r="C1" s="6" t="s">
        <v>54</v>
      </c>
      <c r="D1" s="6" t="s">
        <v>55</v>
      </c>
      <c r="E1" s="17" t="s">
        <v>18</v>
      </c>
      <c r="F1" s="17" t="s">
        <v>137</v>
      </c>
      <c r="G1" s="17" t="s">
        <v>25</v>
      </c>
      <c r="H1" s="17" t="s">
        <v>138</v>
      </c>
      <c r="I1" s="17" t="s">
        <v>32</v>
      </c>
      <c r="J1" s="17" t="s">
        <v>139</v>
      </c>
      <c r="K1" s="17" t="s">
        <v>153</v>
      </c>
    </row>
    <row r="2" spans="1:11" ht="15.95" customHeight="1" x14ac:dyDescent="0.35">
      <c r="A2" s="1" t="str">
        <f>tblTankTypes.Base[[#This Row],[TankType]]</f>
        <v>Kerbosene</v>
      </c>
      <c r="B2" s="15">
        <f>ROUND(0.001 * tblTankTypes.Base[[#This Row],[Tank·Mass·Dry]], -_xlfn.FLOOR.MATH(IFERROR(LOG10(tblTankTypes.Base[[#This Row],[Tank·Mass·Dry]]), 0)) + 5)</f>
        <v>1E-4</v>
      </c>
      <c r="C2" s="15">
        <f>ROUND(tblTankTypes.Base[[#This Row],[Tank·Cost·Dry]], -_xlfn.FLOOR.MATH(IFERROR(LOG10(tblTankTypes.Base[[#This Row],[Tank·Cost·Dry]]), 0)) + 2)</f>
        <v>0.08</v>
      </c>
      <c r="D2" s="15">
        <f>ROUND(tblTankTypes.Base[[#This Row],[Tank·Cost·Wet]], -_xlfn.FLOOR.MATH(IFERROR(LOG10(tblTankTypes.Base[[#This Row],[Tank·Cost·Wet]]), 0)) + 2)</f>
        <v>0.16</v>
      </c>
      <c r="E2" s="2" t="str">
        <f>tblTankTypes.Base[[#This Row],[Resource₀]]</f>
        <v>Kerbosene</v>
      </c>
      <c r="F2" s="2">
        <f>tblTankTypes.Base[[#This Row],[Resource₀·Volume]]</f>
        <v>1</v>
      </c>
      <c r="G2" s="2" t="str">
        <f>tblTankTypes.Base[[#This Row],[Resource₁]]</f>
        <v>—</v>
      </c>
      <c r="H2" s="2">
        <f>tblTankTypes.Base[[#This Row],[Resource₁·Volume]]</f>
        <v>0</v>
      </c>
      <c r="I2" s="2" t="str">
        <f>tblTankTypes.Base[[#This Row],[Resource₂]]</f>
        <v>—</v>
      </c>
      <c r="J2" s="2">
        <f>tblTankTypes.Base[[#This Row],[Resource₂·Volume]]</f>
        <v>0</v>
      </c>
      <c r="K2" s="13">
        <f>tblTankTypes.Base[[#This Row],[Tank·Mass·Wet]]</f>
        <v>0.9</v>
      </c>
    </row>
    <row r="3" spans="1:11" ht="15.95" customHeight="1" x14ac:dyDescent="0.35">
      <c r="A3" s="1" t="str">
        <f>tblTankTypes.Base[[#This Row],[TankType]]</f>
        <v>Kerbolox</v>
      </c>
      <c r="B3" s="15">
        <f>ROUND(0.001 * tblTankTypes.Base[[#This Row],[Tank·Mass·Dry]], -_xlfn.FLOOR.MATH(IFERROR(LOG10(tblTankTypes.Base[[#This Row],[Tank·Mass·Dry]]), 0)) + 5)</f>
        <v>1.27E-4</v>
      </c>
      <c r="C3" s="2">
        <f>ROUND(tblTankTypes.Base[[#This Row],[Tank·Cost·Dry]], -_xlfn.FLOOR.MATH(IFERROR(LOG10(tblTankTypes.Base[[#This Row],[Tank·Cost·Dry]]), 0)) + 2)</f>
        <v>0.10100000000000001</v>
      </c>
      <c r="D3" s="2">
        <f>ROUND(tblTankTypes.Base[[#This Row],[Tank·Cost·Wet]], -_xlfn.FLOOR.MATH(IFERROR(LOG10(tblTankTypes.Base[[#This Row],[Tank·Cost·Wet]]), 0)) + 2)</f>
        <v>0.16</v>
      </c>
      <c r="E3" s="2" t="str">
        <f>tblTankTypes.Base[[#This Row],[Resource₀]]</f>
        <v>Kerbosene</v>
      </c>
      <c r="F3" s="2">
        <f>tblTankTypes.Base[[#This Row],[Resource₀·Volume]]</f>
        <v>0.375</v>
      </c>
      <c r="G3" s="2" t="str">
        <f>tblTankTypes.Base[[#This Row],[Resource₁]]</f>
        <v>LqdOxygen</v>
      </c>
      <c r="H3" s="2">
        <f>tblTankTypes.Base[[#This Row],[Resource₁·Volume]]</f>
        <v>0.625</v>
      </c>
      <c r="I3" s="2" t="str">
        <f>tblTankTypes.Base[[#This Row],[Resource₂]]</f>
        <v>—</v>
      </c>
      <c r="J3" s="2">
        <f>tblTankTypes.Base[[#This Row],[Resource₂·Volume]]</f>
        <v>0</v>
      </c>
      <c r="K3" s="13">
        <f>tblTankTypes.Base[[#This Row],[Tank·Mass·Wet]]</f>
        <v>1.1397656250000001</v>
      </c>
    </row>
    <row r="4" spans="1:11" ht="15.95" customHeight="1" x14ac:dyDescent="0.35">
      <c r="A4" s="1" t="str">
        <f>tblTankTypes.Base[[#This Row],[TankType]]</f>
        <v>Hypergolic</v>
      </c>
      <c r="B4" s="15">
        <f>ROUND(0.001 * tblTankTypes.Base[[#This Row],[Tank·Mass·Dry]], -_xlfn.FLOOR.MATH(IFERROR(LOG10(tblTankTypes.Base[[#This Row],[Tank·Mass·Dry]]), 0)) + 5)</f>
        <v>1.4300000000000001E-4</v>
      </c>
      <c r="C4" s="2">
        <f>ROUND(tblTankTypes.Base[[#This Row],[Tank·Cost·Dry]], -_xlfn.FLOOR.MATH(IFERROR(LOG10(tblTankTypes.Base[[#This Row],[Tank·Cost·Dry]]), 0)) + 2)</f>
        <v>0.115</v>
      </c>
      <c r="D4" s="2">
        <f>ROUND(tblTankTypes.Base[[#This Row],[Tank·Cost·Wet]], -_xlfn.FLOOR.MATH(IFERROR(LOG10(tblTankTypes.Base[[#This Row],[Tank·Cost·Wet]]), 0)) + 2)</f>
        <v>0.83199999999999996</v>
      </c>
      <c r="E4" s="2" t="str">
        <f>tblTankTypes.Base[[#This Row],[Resource₀]]</f>
        <v>Hyprazol</v>
      </c>
      <c r="F4" s="2">
        <f>tblTankTypes.Base[[#This Row],[Resource₀·Volume]]</f>
        <v>0.45</v>
      </c>
      <c r="G4" s="2" t="str">
        <f>tblTankTypes.Base[[#This Row],[Resource₁]]</f>
        <v>Nitrox</v>
      </c>
      <c r="H4" s="2">
        <f>tblTankTypes.Base[[#This Row],[Resource₁·Volume]]</f>
        <v>0.55000000000000004</v>
      </c>
      <c r="I4" s="2" t="str">
        <f>tblTankTypes.Base[[#This Row],[Resource₂]]</f>
        <v>—</v>
      </c>
      <c r="J4" s="2">
        <f>tblTankTypes.Base[[#This Row],[Resource₂·Volume]]</f>
        <v>0</v>
      </c>
      <c r="K4" s="13">
        <f>tblTankTypes.Base[[#This Row],[Tank·Mass·Wet]]</f>
        <v>1.2909375000000003</v>
      </c>
    </row>
    <row r="5" spans="1:11" ht="15.95" customHeight="1" x14ac:dyDescent="0.35">
      <c r="A5" s="1" t="str">
        <f>tblTankTypes.Base[[#This Row],[TankType]]</f>
        <v>Monoprop</v>
      </c>
      <c r="B5" s="15">
        <f>ROUND(0.001 * tblTankTypes.Base[[#This Row],[Tank·Mass·Dry]], -_xlfn.FLOOR.MATH(IFERROR(LOG10(tblTankTypes.Base[[#This Row],[Tank·Mass·Dry]]), 0)) + 5)</f>
        <v>1E-4</v>
      </c>
      <c r="C5" s="2">
        <f>ROUND(tblTankTypes.Base[[#This Row],[Tank·Cost·Dry]], -_xlfn.FLOOR.MATH(IFERROR(LOG10(tblTankTypes.Base[[#This Row],[Tank·Cost·Dry]]), 0)) + 2)</f>
        <v>0.08</v>
      </c>
      <c r="D5" s="2">
        <f>ROUND(tblTankTypes.Base[[#This Row],[Tank·Cost·Wet]], -_xlfn.FLOOR.MATH(IFERROR(LOG10(tblTankTypes.Base[[#This Row],[Tank·Cost·Wet]]), 0)) + 2)</f>
        <v>0.32</v>
      </c>
      <c r="E5" s="2" t="str">
        <f>tblTankTypes.Base[[#This Row],[Resource₀]]</f>
        <v>Monoprop</v>
      </c>
      <c r="F5" s="2">
        <f>tblTankTypes.Base[[#This Row],[Resource₀·Volume]]</f>
        <v>1</v>
      </c>
      <c r="G5" s="2" t="str">
        <f>tblTankTypes.Base[[#This Row],[Resource₁]]</f>
        <v>—</v>
      </c>
      <c r="H5" s="2">
        <f>tblTankTypes.Base[[#This Row],[Resource₁·Volume]]</f>
        <v>0</v>
      </c>
      <c r="I5" s="2" t="str">
        <f>tblTankTypes.Base[[#This Row],[Resource₂]]</f>
        <v>—</v>
      </c>
      <c r="J5" s="2">
        <f>tblTankTypes.Base[[#This Row],[Resource₂·Volume]]</f>
        <v>0</v>
      </c>
      <c r="K5" s="13">
        <f>tblTankTypes.Base[[#This Row],[Tank·Mass·Wet]]</f>
        <v>0.9</v>
      </c>
    </row>
    <row r="6" spans="1:11" ht="15.95" customHeight="1" x14ac:dyDescent="0.35">
      <c r="A6" s="1" t="str">
        <f>tblTankTypes.Base[[#This Row],[TankType]]</f>
        <v>LqdH2</v>
      </c>
      <c r="B6" s="15">
        <f>ROUND(0.001 * tblTankTypes.Base[[#This Row],[Tank·Mass·Dry]], -_xlfn.FLOOR.MATH(IFERROR(LOG10(tblTankTypes.Base[[#This Row],[Tank·Mass·Dry]]), 0)) + 5)</f>
        <v>2.1299999999999999E-5</v>
      </c>
      <c r="C6" s="2">
        <f>ROUND(tblTankTypes.Base[[#This Row],[Tank·Cost·Dry]], -_xlfn.FLOOR.MATH(IFERROR(LOG10(tblTankTypes.Base[[#This Row],[Tank·Cost·Dry]]), 0)) + 2)</f>
        <v>1.7000000000000001E-2</v>
      </c>
      <c r="D6" s="2">
        <f>ROUND(tblTankTypes.Base[[#This Row],[Tank·Cost·Wet]], -_xlfn.FLOOR.MATH(IFERROR(LOG10(tblTankTypes.Base[[#This Row],[Tank·Cost·Wet]]), 0)) + 2)</f>
        <v>7.2099999999999997E-2</v>
      </c>
      <c r="E6" s="2" t="str">
        <f>tblTankTypes.Base[[#This Row],[Resource₀]]</f>
        <v>LqdHydrogen</v>
      </c>
      <c r="F6" s="2">
        <f>tblTankTypes.Base[[#This Row],[Resource₀·Volume]]</f>
        <v>1.5</v>
      </c>
      <c r="G6" s="2" t="str">
        <f>tblTankTypes.Base[[#This Row],[Resource₁]]</f>
        <v>—</v>
      </c>
      <c r="H6" s="2">
        <f>tblTankTypes.Base[[#This Row],[Resource₁·Volume]]</f>
        <v>0</v>
      </c>
      <c r="I6" s="2" t="str">
        <f>tblTankTypes.Base[[#This Row],[Resource₂]]</f>
        <v>—</v>
      </c>
      <c r="J6" s="2">
        <f>tblTankTypes.Base[[#This Row],[Resource₂·Volume]]</f>
        <v>0</v>
      </c>
      <c r="K6" s="13">
        <f>tblTankTypes.Base[[#This Row],[Tank·Mass·Wet]]</f>
        <v>0.12753</v>
      </c>
    </row>
    <row r="7" spans="1:11" ht="15.95" customHeight="1" x14ac:dyDescent="0.35">
      <c r="A7" s="1" t="str">
        <f>tblTankTypes.Base[[#This Row],[TankType]]</f>
        <v>Hydrolox</v>
      </c>
      <c r="B7" s="15">
        <f>ROUND(0.001 * tblTankTypes.Base[[#This Row],[Tank·Mass·Dry]], -_xlfn.FLOOR.MATH(IFERROR(LOG10(tblTankTypes.Base[[#This Row],[Tank·Mass·Dry]]), 0)) + 5)</f>
        <v>6.1699999999999995E-5</v>
      </c>
      <c r="C7" s="2">
        <f>ROUND(tblTankTypes.Base[[#This Row],[Tank·Cost·Dry]], -_xlfn.FLOOR.MATH(IFERROR(LOG10(tblTankTypes.Base[[#This Row],[Tank·Cost·Dry]]), 0)) + 2)</f>
        <v>4.9399999999999999E-2</v>
      </c>
      <c r="D7" s="2">
        <f>ROUND(tblTankTypes.Base[[#This Row],[Tank·Cost·Wet]], -_xlfn.FLOOR.MATH(IFERROR(LOG10(tblTankTypes.Base[[#This Row],[Tank·Cost·Wet]]), 0)) + 2)</f>
        <v>0.10100000000000001</v>
      </c>
      <c r="E7" s="2" t="str">
        <f>tblTankTypes.Base[[#This Row],[Resource₀]]</f>
        <v>LqdHydrogen</v>
      </c>
      <c r="F7" s="2">
        <f>tblTankTypes.Base[[#This Row],[Resource₀·Volume]]</f>
        <v>1</v>
      </c>
      <c r="G7" s="2" t="str">
        <f>tblTankTypes.Base[[#This Row],[Resource₁]]</f>
        <v>LqdOxygen</v>
      </c>
      <c r="H7" s="2">
        <f>tblTankTypes.Base[[#This Row],[Resource₁·Volume]]</f>
        <v>0.33333333333333331</v>
      </c>
      <c r="I7" s="2" t="str">
        <f>tblTankTypes.Base[[#This Row],[Resource₂]]</f>
        <v>—</v>
      </c>
      <c r="J7" s="2">
        <f>tblTankTypes.Base[[#This Row],[Resource₂·Volume]]</f>
        <v>0</v>
      </c>
      <c r="K7" s="13">
        <f>tblTankTypes.Base[[#This Row],[Tank·Mass·Wet]]</f>
        <v>0.51289499999999988</v>
      </c>
    </row>
    <row r="8" spans="1:11" ht="15.95" customHeight="1" x14ac:dyDescent="0.35">
      <c r="A8" s="1" t="str">
        <f>tblTankTypes.Base[[#This Row],[TankType]]</f>
        <v>LqdH2Cryo</v>
      </c>
      <c r="B8" s="15">
        <f>ROUND(0.001 * tblTankTypes.Base[[#This Row],[Tank·Mass·Dry]], -_xlfn.FLOOR.MATH(IFERROR(LOG10(tblTankTypes.Base[[#This Row],[Tank·Mass·Dry]]), 0)) + 5)</f>
        <v>2.1299999999999999E-5</v>
      </c>
      <c r="C8" s="2">
        <f>ROUND(tblTankTypes.Base[[#This Row],[Tank·Cost·Dry]], -_xlfn.FLOOR.MATH(IFERROR(LOG10(tblTankTypes.Base[[#This Row],[Tank·Cost·Dry]]), 0)) + 2)</f>
        <v>8.5000000000000006E-2</v>
      </c>
      <c r="D8" s="2">
        <f>ROUND(tblTankTypes.Base[[#This Row],[Tank·Cost·Wet]], -_xlfn.FLOOR.MATH(IFERROR(LOG10(tblTankTypes.Base[[#This Row],[Tank·Cost·Wet]]), 0)) + 2)</f>
        <v>0.14000000000000001</v>
      </c>
      <c r="E8" s="2" t="str">
        <f>tblTankTypes.Base[[#This Row],[Resource₀]]</f>
        <v>LqdHydrogen</v>
      </c>
      <c r="F8" s="2">
        <f>tblTankTypes.Base[[#This Row],[Resource₀·Volume]]</f>
        <v>1.5</v>
      </c>
      <c r="G8" s="2" t="str">
        <f>tblTankTypes.Base[[#This Row],[Resource₁]]</f>
        <v>—</v>
      </c>
      <c r="H8" s="2">
        <f>tblTankTypes.Base[[#This Row],[Resource₁·Volume]]</f>
        <v>0</v>
      </c>
      <c r="I8" s="2" t="str">
        <f>tblTankTypes.Base[[#This Row],[Resource₂]]</f>
        <v>—</v>
      </c>
      <c r="J8" s="2">
        <f>tblTankTypes.Base[[#This Row],[Resource₂·Volume]]</f>
        <v>0</v>
      </c>
      <c r="K8" s="13">
        <f>tblTankTypes.Base[[#This Row],[Tank·Mass·Wet]]</f>
        <v>0.12753</v>
      </c>
    </row>
    <row r="9" spans="1:11" ht="15.95" customHeight="1" x14ac:dyDescent="0.35">
      <c r="A9" s="1" t="str">
        <f>tblTankTypes.Base[[#This Row],[TankType]]</f>
        <v>HydroloxCryo</v>
      </c>
      <c r="B9" s="15">
        <f>ROUND(0.001 * tblTankTypes.Base[[#This Row],[Tank·Mass·Dry]], -_xlfn.FLOOR.MATH(IFERROR(LOG10(tblTankTypes.Base[[#This Row],[Tank·Mass·Dry]]), 0)) + 5)</f>
        <v>6.1699999999999995E-5</v>
      </c>
      <c r="C9" s="2">
        <f>ROUND(tblTankTypes.Base[[#This Row],[Tank·Cost·Dry]], -_xlfn.FLOOR.MATH(IFERROR(LOG10(tblTankTypes.Base[[#This Row],[Tank·Cost·Dry]]), 0)) + 2)</f>
        <v>9.4700000000000006E-2</v>
      </c>
      <c r="D9" s="2">
        <f>ROUND(tblTankTypes.Base[[#This Row],[Tank·Cost·Wet]], -_xlfn.FLOOR.MATH(IFERROR(LOG10(tblTankTypes.Base[[#This Row],[Tank·Cost·Wet]]), 0)) + 2)</f>
        <v>0.14699999999999999</v>
      </c>
      <c r="E9" s="2" t="str">
        <f>tblTankTypes.Base[[#This Row],[Resource₀]]</f>
        <v>LqdHydrogen</v>
      </c>
      <c r="F9" s="2">
        <f>tblTankTypes.Base[[#This Row],[Resource₀·Volume]]</f>
        <v>1</v>
      </c>
      <c r="G9" s="2" t="str">
        <f>tblTankTypes.Base[[#This Row],[Resource₁]]</f>
        <v>LqdOxygen</v>
      </c>
      <c r="H9" s="2">
        <f>tblTankTypes.Base[[#This Row],[Resource₁·Volume]]</f>
        <v>0.33333333333333331</v>
      </c>
      <c r="I9" s="2" t="str">
        <f>tblTankTypes.Base[[#This Row],[Resource₂]]</f>
        <v>—</v>
      </c>
      <c r="J9" s="2">
        <f>tblTankTypes.Base[[#This Row],[Resource₂·Volume]]</f>
        <v>0</v>
      </c>
      <c r="K9" s="13">
        <f>tblTankTypes.Base[[#This Row],[Tank·Mass·Wet]]</f>
        <v>0.51289499999999988</v>
      </c>
    </row>
    <row r="10" spans="1:11" ht="15.95" customHeight="1" x14ac:dyDescent="0.35">
      <c r="A10" s="1" t="str">
        <f>tblTankTypes.Base[[#This Row],[TankType]]</f>
        <v>LqdCH4</v>
      </c>
      <c r="B10" s="15">
        <f>ROUND(0.001 * tblTankTypes.Base[[#This Row],[Tank·Mass·Dry]], -_xlfn.FLOOR.MATH(IFERROR(LOG10(tblTankTypes.Base[[#This Row],[Tank·Mass·Dry]]), 0)) + 5)</f>
        <v>1.13E-4</v>
      </c>
      <c r="C10" s="2">
        <f>ROUND(tblTankTypes.Base[[#This Row],[Tank·Cost·Dry]], -_xlfn.FLOOR.MATH(IFERROR(LOG10(tblTankTypes.Base[[#This Row],[Tank·Cost·Dry]]), 0)) + 2)</f>
        <v>9.0800000000000006E-2</v>
      </c>
      <c r="D10" s="2">
        <f>ROUND(tblTankTypes.Base[[#This Row],[Tank·Cost·Wet]], -_xlfn.FLOOR.MATH(IFERROR(LOG10(tblTankTypes.Base[[#This Row],[Tank·Cost·Wet]]), 0)) + 2)</f>
        <v>0.69099999999999995</v>
      </c>
      <c r="E10" s="2" t="str">
        <f>tblTankTypes.Base[[#This Row],[Resource₀]]</f>
        <v>LqdMethane</v>
      </c>
      <c r="F10" s="2">
        <f>tblTankTypes.Base[[#This Row],[Resource₀·Volume]]</f>
        <v>1.3333333333333333</v>
      </c>
      <c r="G10" s="2" t="str">
        <f>tblTankTypes.Base[[#This Row],[Resource₁]]</f>
        <v>—</v>
      </c>
      <c r="H10" s="2">
        <f>tblTankTypes.Base[[#This Row],[Resource₁·Volume]]</f>
        <v>0</v>
      </c>
      <c r="I10" s="2" t="str">
        <f>tblTankTypes.Base[[#This Row],[Resource₂]]</f>
        <v>—</v>
      </c>
      <c r="J10" s="2">
        <f>tblTankTypes.Base[[#This Row],[Resource₂·Volume]]</f>
        <v>0</v>
      </c>
      <c r="K10" s="13">
        <f>tblTankTypes.Base[[#This Row],[Tank·Mass·Wet]]</f>
        <v>0.68097600000000003</v>
      </c>
    </row>
    <row r="11" spans="1:11" ht="15.95" customHeight="1" x14ac:dyDescent="0.35">
      <c r="A11" s="1" t="str">
        <f>tblTankTypes.Base[[#This Row],[TankType]]</f>
        <v>Methalox</v>
      </c>
      <c r="B11" s="15">
        <f>ROUND(0.001 * tblTankTypes.Base[[#This Row],[Tank·Mass·Dry]], -_xlfn.FLOOR.MATH(IFERROR(LOG10(tblTankTypes.Base[[#This Row],[Tank·Mass·Dry]]), 0)) + 5)</f>
        <v>1.3300000000000001E-4</v>
      </c>
      <c r="C11" s="2">
        <f>ROUND(tblTankTypes.Base[[#This Row],[Tank·Cost·Dry]], -_xlfn.FLOOR.MATH(IFERROR(LOG10(tblTankTypes.Base[[#This Row],[Tank·Cost·Dry]]), 0)) + 2)</f>
        <v>0.106</v>
      </c>
      <c r="D11" s="2">
        <f>ROUND(tblTankTypes.Base[[#This Row],[Tank·Cost·Wet]], -_xlfn.FLOOR.MATH(IFERROR(LOG10(tblTankTypes.Base[[#This Row],[Tank·Cost·Wet]]), 0)) + 2)</f>
        <v>0.33700000000000002</v>
      </c>
      <c r="E11" s="2" t="str">
        <f>tblTankTypes.Base[[#This Row],[Resource₀]]</f>
        <v>LqdMethane</v>
      </c>
      <c r="F11" s="2">
        <f>tblTankTypes.Base[[#This Row],[Resource₀·Volume]]</f>
        <v>0.44444444444444442</v>
      </c>
      <c r="G11" s="2" t="str">
        <f>tblTankTypes.Base[[#This Row],[Resource₁]]</f>
        <v>LqdOxygen</v>
      </c>
      <c r="H11" s="2">
        <f>tblTankTypes.Base[[#This Row],[Resource₁·Volume]]</f>
        <v>0.66666666666666663</v>
      </c>
      <c r="I11" s="2" t="str">
        <f>tblTankTypes.Base[[#This Row],[Resource₂]]</f>
        <v>—</v>
      </c>
      <c r="J11" s="2">
        <f>tblTankTypes.Base[[#This Row],[Resource₂·Volume]]</f>
        <v>0</v>
      </c>
      <c r="K11" s="13">
        <f>tblTankTypes.Base[[#This Row],[Tank·Mass·Wet]]</f>
        <v>1.0827419999999999</v>
      </c>
    </row>
    <row r="12" spans="1:11" ht="15.95" customHeight="1" x14ac:dyDescent="0.35">
      <c r="A12" s="1" t="str">
        <f>tblTankTypes.Base[[#This Row],[TankType]]</f>
        <v>LqdCH4Cryo</v>
      </c>
      <c r="B12" s="15">
        <f>ROUND(0.001 * tblTankTypes.Base[[#This Row],[Tank·Mass·Dry]], -_xlfn.FLOOR.MATH(IFERROR(LOG10(tblTankTypes.Base[[#This Row],[Tank·Mass·Dry]]), 0)) + 5)</f>
        <v>1.13E-4</v>
      </c>
      <c r="C12" s="2">
        <f>ROUND(tblTankTypes.Base[[#This Row],[Tank·Cost·Dry]], -_xlfn.FLOOR.MATH(IFERROR(LOG10(tblTankTypes.Base[[#This Row],[Tank·Cost·Dry]]), 0)) + 2)</f>
        <v>0.45400000000000001</v>
      </c>
      <c r="D12" s="2">
        <f>ROUND(tblTankTypes.Base[[#This Row],[Tank·Cost·Wet]], -_xlfn.FLOOR.MATH(IFERROR(LOG10(tblTankTypes.Base[[#This Row],[Tank·Cost·Wet]]), 0)) + 2)</f>
        <v>1.05</v>
      </c>
      <c r="E12" s="2" t="str">
        <f>tblTankTypes.Base[[#This Row],[Resource₀]]</f>
        <v>LqdMethane</v>
      </c>
      <c r="F12" s="2">
        <f>tblTankTypes.Base[[#This Row],[Resource₀·Volume]]</f>
        <v>1.3333333333333333</v>
      </c>
      <c r="G12" s="2" t="str">
        <f>tblTankTypes.Base[[#This Row],[Resource₁]]</f>
        <v>—</v>
      </c>
      <c r="H12" s="2">
        <f>tblTankTypes.Base[[#This Row],[Resource₁·Volume]]</f>
        <v>0</v>
      </c>
      <c r="I12" s="2" t="str">
        <f>tblTankTypes.Base[[#This Row],[Resource₂]]</f>
        <v>—</v>
      </c>
      <c r="J12" s="2">
        <f>tblTankTypes.Base[[#This Row],[Resource₂·Volume]]</f>
        <v>0</v>
      </c>
      <c r="K12" s="13">
        <f>tblTankTypes.Base[[#This Row],[Tank·Mass·Wet]]</f>
        <v>0.68097600000000003</v>
      </c>
    </row>
    <row r="13" spans="1:11" ht="15.95" customHeight="1" x14ac:dyDescent="0.35">
      <c r="A13" s="1" t="str">
        <f>tblTankTypes.Base[[#This Row],[TankType]]</f>
        <v>MethaloxCryo</v>
      </c>
      <c r="B13" s="15">
        <f>ROUND(0.001 * tblTankTypes.Base[[#This Row],[Tank·Mass·Dry]], -_xlfn.FLOOR.MATH(IFERROR(LOG10(tblTankTypes.Base[[#This Row],[Tank·Mass·Dry]]), 0)) + 5)</f>
        <v>1.3300000000000001E-4</v>
      </c>
      <c r="C13" s="2">
        <f>ROUND(tblTankTypes.Base[[#This Row],[Tank·Cost·Dry]], -_xlfn.FLOOR.MATH(IFERROR(LOG10(tblTankTypes.Base[[#This Row],[Tank·Cost·Dry]]), 0)) + 2)</f>
        <v>0.22700000000000001</v>
      </c>
      <c r="D13" s="2">
        <f>ROUND(tblTankTypes.Base[[#This Row],[Tank·Cost·Wet]], -_xlfn.FLOOR.MATH(IFERROR(LOG10(tblTankTypes.Base[[#This Row],[Tank·Cost·Wet]]), 0)) + 2)</f>
        <v>0.45800000000000002</v>
      </c>
      <c r="E13" s="2" t="str">
        <f>tblTankTypes.Base[[#This Row],[Resource₀]]</f>
        <v>LqdMethane</v>
      </c>
      <c r="F13" s="2">
        <f>tblTankTypes.Base[[#This Row],[Resource₀·Volume]]</f>
        <v>0.44444444444444442</v>
      </c>
      <c r="G13" s="2" t="str">
        <f>tblTankTypes.Base[[#This Row],[Resource₁]]</f>
        <v>LqdOxygen</v>
      </c>
      <c r="H13" s="2">
        <f>tblTankTypes.Base[[#This Row],[Resource₁·Volume]]</f>
        <v>0.66666666666666663</v>
      </c>
      <c r="I13" s="2" t="str">
        <f>tblTankTypes.Base[[#This Row],[Resource₂]]</f>
        <v>—</v>
      </c>
      <c r="J13" s="2">
        <f>tblTankTypes.Base[[#This Row],[Resource₂·Volume]]</f>
        <v>0</v>
      </c>
      <c r="K13" s="13">
        <f>tblTankTypes.Base[[#This Row],[Tank·Mass·Wet]]</f>
        <v>1.0827419999999999</v>
      </c>
    </row>
    <row r="14" spans="1:11" ht="15.95" customHeight="1" x14ac:dyDescent="0.35">
      <c r="A14" s="1" t="str">
        <f>tblTankTypes.Base[[#This Row],[TankType]]</f>
        <v>Xenon</v>
      </c>
      <c r="B14" s="15">
        <f>ROUND(0.001 * tblTankTypes.Base[[#This Row],[Tank·Mass·Dry]], -_xlfn.FLOOR.MATH(IFERROR(LOG10(tblTankTypes.Base[[#This Row],[Tank·Mass·Dry]]), 0)) + 5)</f>
        <v>1.7699999999999999E-4</v>
      </c>
      <c r="C14" s="2">
        <f>ROUND(tblTankTypes.Base[[#This Row],[Tank·Cost·Dry]], -_xlfn.FLOOR.MATH(IFERROR(LOG10(tblTankTypes.Base[[#This Row],[Tank·Cost·Dry]]), 0)) + 2)</f>
        <v>0.14099999999999999</v>
      </c>
      <c r="D14" s="2">
        <f>ROUND(tblTankTypes.Base[[#This Row],[Tank·Cost·Wet]], -_xlfn.FLOOR.MATH(IFERROR(LOG10(tblTankTypes.Base[[#This Row],[Tank·Cost·Wet]]), 0)) + 2)</f>
        <v>21.4</v>
      </c>
      <c r="E14" s="2" t="str">
        <f>tblTankTypes.Base[[#This Row],[Resource₀]]</f>
        <v>Xe</v>
      </c>
      <c r="F14" s="2">
        <f>tblTankTypes.Base[[#This Row],[Resource₀·Volume]]</f>
        <v>90</v>
      </c>
      <c r="G14" s="2" t="str">
        <f>tblTankTypes.Base[[#This Row],[Resource₁]]</f>
        <v>—</v>
      </c>
      <c r="H14" s="2">
        <f>tblTankTypes.Base[[#This Row],[Resource₁·Volume]]</f>
        <v>0</v>
      </c>
      <c r="I14" s="2" t="str">
        <f>tblTankTypes.Base[[#This Row],[Resource₂]]</f>
        <v>—</v>
      </c>
      <c r="J14" s="2">
        <f>tblTankTypes.Base[[#This Row],[Resource₂·Volume]]</f>
        <v>0</v>
      </c>
      <c r="K14" s="13">
        <f>tblTankTypes.Base[[#This Row],[Tank·Mass·Wet]]</f>
        <v>0.70728000000000002</v>
      </c>
    </row>
    <row r="15" spans="1:11" ht="15.95" customHeight="1" x14ac:dyDescent="0.35">
      <c r="A15" s="1" t="str">
        <f>tblTankTypes.Base[[#This Row],[TankType]]</f>
        <v>Argon</v>
      </c>
      <c r="B15" s="15">
        <f>ROUND(0.001 * tblTankTypes.Base[[#This Row],[Tank·Mass·Dry]], -_xlfn.FLOOR.MATH(IFERROR(LOG10(tblTankTypes.Base[[#This Row],[Tank·Mass·Dry]]), 0)) + 5)</f>
        <v>2.14E-4</v>
      </c>
      <c r="C15" s="2">
        <f>ROUND(tblTankTypes.Base[[#This Row],[Tank·Cost·Dry]], -_xlfn.FLOOR.MATH(IFERROR(LOG10(tblTankTypes.Base[[#This Row],[Tank·Cost·Dry]]), 0)) + 2)</f>
        <v>0.17100000000000001</v>
      </c>
      <c r="D15" s="2">
        <f>ROUND(tblTankTypes.Base[[#This Row],[Tank·Cost·Wet]], -_xlfn.FLOOR.MATH(IFERROR(LOG10(tblTankTypes.Base[[#This Row],[Tank·Cost·Wet]]), 0)) + 2)</f>
        <v>3.95</v>
      </c>
      <c r="E15" s="2" t="str">
        <f>tblTankTypes.Base[[#This Row],[Resource₀]]</f>
        <v>Ar</v>
      </c>
      <c r="F15" s="2">
        <f>tblTankTypes.Base[[#This Row],[Resource₀·Volume]]</f>
        <v>360</v>
      </c>
      <c r="G15" s="2" t="str">
        <f>tblTankTypes.Base[[#This Row],[Resource₁]]</f>
        <v>—</v>
      </c>
      <c r="H15" s="2">
        <f>tblTankTypes.Base[[#This Row],[Resource₁·Volume]]</f>
        <v>0</v>
      </c>
      <c r="I15" s="2" t="str">
        <f>tblTankTypes.Base[[#This Row],[Resource₂]]</f>
        <v>—</v>
      </c>
      <c r="J15" s="2">
        <f>tblTankTypes.Base[[#This Row],[Resource₂·Volume]]</f>
        <v>0</v>
      </c>
      <c r="K15" s="13">
        <f>tblTankTypes.Base[[#This Row],[Tank·Mass·Wet]]</f>
        <v>0.85631999999999986</v>
      </c>
    </row>
    <row r="16" spans="1:11" ht="15.95" customHeight="1" x14ac:dyDescent="0.35">
      <c r="A16" s="1" t="str">
        <f>tblTankTypes.Base[[#This Row],[TankType]]</f>
        <v>Lithium</v>
      </c>
      <c r="B16" s="15">
        <f>ROUND(0.001 * tblTankTypes.Base[[#This Row],[Tank·Mass·Dry]], -_xlfn.FLOOR.MATH(IFERROR(LOG10(tblTankTypes.Base[[#This Row],[Tank·Mass·Dry]]), 0)) + 5)</f>
        <v>1.7799999999999999E-4</v>
      </c>
      <c r="C16" s="2">
        <f>ROUND(tblTankTypes.Base[[#This Row],[Tank·Cost·Dry]], -_xlfn.FLOOR.MATH(IFERROR(LOG10(tblTankTypes.Base[[#This Row],[Tank·Cost·Dry]]), 0)) + 2)</f>
        <v>0.14199999999999999</v>
      </c>
      <c r="D16" s="2">
        <f>ROUND(tblTankTypes.Base[[#This Row],[Tank·Cost·Wet]], -_xlfn.FLOOR.MATH(IFERROR(LOG10(tblTankTypes.Base[[#This Row],[Tank·Cost·Wet]]), 0)) + 2)</f>
        <v>0.75</v>
      </c>
      <c r="E16" s="2" t="str">
        <f>tblTankTypes.Base[[#This Row],[Resource₀]]</f>
        <v>Li</v>
      </c>
      <c r="F16" s="2">
        <f>tblTankTypes.Base[[#This Row],[Resource₀·Volume]]</f>
        <v>1</v>
      </c>
      <c r="G16" s="2" t="str">
        <f>tblTankTypes.Base[[#This Row],[Resource₁]]</f>
        <v>—</v>
      </c>
      <c r="H16" s="2">
        <f>tblTankTypes.Base[[#This Row],[Resource₁·Volume]]</f>
        <v>0</v>
      </c>
      <c r="I16" s="2" t="str">
        <f>tblTankTypes.Base[[#This Row],[Resource₂]]</f>
        <v>—</v>
      </c>
      <c r="J16" s="2">
        <f>tblTankTypes.Base[[#This Row],[Resource₂·Volume]]</f>
        <v>0</v>
      </c>
      <c r="K16" s="13">
        <f>tblTankTypes.Base[[#This Row],[Tank·Mass·Wet]]</f>
        <v>0.71199999999999986</v>
      </c>
    </row>
    <row r="17" spans="1:11" ht="15.95" customHeight="1" x14ac:dyDescent="0.35">
      <c r="A17" s="1" t="str">
        <f>tblTankTypes.Base[[#This Row],[TankType]]</f>
        <v>Support</v>
      </c>
      <c r="B17" s="15">
        <f>ROUND(0.001 * tblTankTypes.Base[[#This Row],[Tank·Mass·Dry]], -_xlfn.FLOOR.MATH(IFERROR(LOG10(tblTankTypes.Base[[#This Row],[Tank·Mass·Dry]]), 0)) + 5)</f>
        <v>1.4999999999999999E-4</v>
      </c>
      <c r="C17" s="2">
        <f>ROUND(tblTankTypes.Base[[#This Row],[Tank·Cost·Dry]], -_xlfn.FLOOR.MATH(IFERROR(LOG10(tblTankTypes.Base[[#This Row],[Tank·Cost·Dry]]), 0)) + 2)</f>
        <v>2.04</v>
      </c>
      <c r="D17" s="2">
        <f>ROUND(tblTankTypes.Base[[#This Row],[Tank·Cost·Wet]], -_xlfn.FLOOR.MATH(IFERROR(LOG10(tblTankTypes.Base[[#This Row],[Tank·Cost·Wet]]), 0)) + 2)</f>
        <v>2.16</v>
      </c>
      <c r="E17" s="2" t="str">
        <f>tblTankTypes.Base[[#This Row],[Resource₀]]</f>
        <v>Monoprop</v>
      </c>
      <c r="F17" s="2">
        <f>tblTankTypes.Base[[#This Row],[Resource₀·Volume]]</f>
        <v>0.5</v>
      </c>
      <c r="G17" s="2" t="str">
        <f>tblTankTypes.Base[[#This Row],[Resource₁]]</f>
        <v>ElectricCharge</v>
      </c>
      <c r="H17" s="2">
        <f>tblTankTypes.Base[[#This Row],[Resource₁·Volume]]</f>
        <v>2</v>
      </c>
      <c r="I17" s="2" t="str">
        <f>tblTankTypes.Base[[#This Row],[Resource₂]]</f>
        <v>—</v>
      </c>
      <c r="J17" s="2">
        <f>tblTankTypes.Base[[#This Row],[Resource₂·Volume]]</f>
        <v>0</v>
      </c>
      <c r="K17" s="13">
        <f>tblTankTypes.Base[[#This Row],[Tank·Mass·Wet]]</f>
        <v>0.55000000000000004</v>
      </c>
    </row>
    <row r="18" spans="1:11" ht="15.95" customHeight="1" x14ac:dyDescent="0.35">
      <c r="A18" s="1" t="str">
        <f>tblTankTypes.Base[[#This Row],[TankType]]</f>
        <v>Battery</v>
      </c>
      <c r="B18" s="15">
        <f>ROUND(0.001 * tblTankTypes.Base[[#This Row],[Tank·Mass·Dry]], -_xlfn.FLOOR.MATH(IFERROR(LOG10(tblTankTypes.Base[[#This Row],[Tank·Mass·Dry]]), 0)) + 5)</f>
        <v>2.0000000000000001E-4</v>
      </c>
      <c r="C18" s="2">
        <f>ROUND(tblTankTypes.Base[[#This Row],[Tank·Cost·Dry]], -_xlfn.FLOOR.MATH(IFERROR(LOG10(tblTankTypes.Base[[#This Row],[Tank·Cost·Dry]]), 0)) + 2)</f>
        <v>4</v>
      </c>
      <c r="D18" s="2">
        <f>ROUND(tblTankTypes.Base[[#This Row],[Tank·Cost·Wet]], -_xlfn.FLOOR.MATH(IFERROR(LOG10(tblTankTypes.Base[[#This Row],[Tank·Cost·Wet]]), 0)) + 2)</f>
        <v>4</v>
      </c>
      <c r="E18" s="2" t="str">
        <f>tblTankTypes.Base[[#This Row],[Resource₀]]</f>
        <v>ElectricCharge</v>
      </c>
      <c r="F18" s="2">
        <f>tblTankTypes.Base[[#This Row],[Resource₀·Volume]]</f>
        <v>4</v>
      </c>
      <c r="G18" s="2" t="str">
        <f>tblTankTypes.Base[[#This Row],[Resource₁]]</f>
        <v>—</v>
      </c>
      <c r="H18" s="2">
        <f>tblTankTypes.Base[[#This Row],[Resource₁·Volume]]</f>
        <v>0</v>
      </c>
      <c r="I18" s="2" t="str">
        <f>tblTankTypes.Base[[#This Row],[Resource₂]]</f>
        <v>—</v>
      </c>
      <c r="J18" s="2">
        <f>tblTankTypes.Base[[#This Row],[Resource₂·Volume]]</f>
        <v>0</v>
      </c>
      <c r="K18" s="13">
        <f>tblTankTypes.Base[[#This Row],[Tank·Mass·Wet]]</f>
        <v>0.2</v>
      </c>
    </row>
    <row r="19" spans="1:11" ht="15.95" customHeight="1" x14ac:dyDescent="0.35">
      <c r="A19" s="1" t="str">
        <f>tblTankTypes.Base[[#This Row],[TankType]]</f>
        <v>Ore</v>
      </c>
      <c r="B19" s="15">
        <f>ROUND(0.001 * tblTankTypes.Base[[#This Row],[Tank·Mass·Dry]], -_xlfn.FLOOR.MATH(IFERROR(LOG10(tblTankTypes.Base[[#This Row],[Tank·Mass·Dry]]), 0)) + 5)</f>
        <v>2.0000000000000001E-4</v>
      </c>
      <c r="C19" s="2">
        <f>ROUND(tblTankTypes.Base[[#This Row],[Tank·Cost·Dry]], -_xlfn.FLOOR.MATH(IFERROR(LOG10(tblTankTypes.Base[[#This Row],[Tank·Cost·Dry]]), 0)) + 2)</f>
        <v>0.16</v>
      </c>
      <c r="D19" s="2">
        <f>ROUND(tblTankTypes.Base[[#This Row],[Tank·Cost·Wet]], -_xlfn.FLOOR.MATH(IFERROR(LOG10(tblTankTypes.Base[[#This Row],[Tank·Cost·Wet]]), 0)) + 2)</f>
        <v>0.16400000000000001</v>
      </c>
      <c r="E19" s="2" t="str">
        <f>tblTankTypes.Base[[#This Row],[Resource₀]]</f>
        <v>Ore</v>
      </c>
      <c r="F19" s="2">
        <f>tblTankTypes.Base[[#This Row],[Resource₀·Volume]]</f>
        <v>1</v>
      </c>
      <c r="G19" s="2" t="str">
        <f>tblTankTypes.Base[[#This Row],[Resource₁]]</f>
        <v>—</v>
      </c>
      <c r="H19" s="2">
        <f>tblTankTypes.Base[[#This Row],[Resource₁·Volume]]</f>
        <v>0</v>
      </c>
      <c r="I19" s="2" t="str">
        <f>tblTankTypes.Base[[#This Row],[Resource₂]]</f>
        <v>—</v>
      </c>
      <c r="J19" s="2">
        <f>tblTankTypes.Base[[#This Row],[Resource₂·Volume]]</f>
        <v>0</v>
      </c>
      <c r="K19" s="13">
        <f>tblTankTypes.Base[[#This Row],[Tank·Mass·Wet]]</f>
        <v>2.2000000000000002</v>
      </c>
    </row>
    <row r="20" spans="1:11" ht="15.95" customHeight="1" x14ac:dyDescent="0.35">
      <c r="A20" s="1" t="str">
        <f>tblTankTypes.Base[[#This Row],[TankType]]</f>
        <v>SPKerbosene</v>
      </c>
      <c r="B20" s="15">
        <f>ROUND(0.001 * tblTankTypes.Base[[#This Row],[Tank·Mass·Dry]], -_xlfn.FLOOR.MATH(IFERROR(LOG10(tblTankTypes.Base[[#This Row],[Tank·Mass·Dry]]), 0)) + 5)</f>
        <v>1.1400000000000001E-4</v>
      </c>
      <c r="C20" s="2">
        <f>ROUND(tblTankTypes.Base[[#This Row],[Tank·Cost·Dry]], -_xlfn.FLOOR.MATH(IFERROR(LOG10(tblTankTypes.Base[[#This Row],[Tank·Cost·Dry]]), 0)) + 2)</f>
        <v>9.1399999999999995E-2</v>
      </c>
      <c r="D20" s="2">
        <f>ROUND(tblTankTypes.Base[[#This Row],[Tank·Cost·Wet]], -_xlfn.FLOOR.MATH(IFERROR(LOG10(tblTankTypes.Base[[#This Row],[Tank·Cost·Wet]]), 0)) + 2)</f>
        <v>0.17100000000000001</v>
      </c>
      <c r="E20" s="2" t="str">
        <f>tblTankTypes.Base[[#This Row],[Resource₀]]</f>
        <v>Kerbosene</v>
      </c>
      <c r="F20" s="2">
        <f>tblTankTypes.Base[[#This Row],[Resource₀·Volume]]</f>
        <v>1</v>
      </c>
      <c r="G20" s="2" t="str">
        <f>tblTankTypes.Base[[#This Row],[Resource₁]]</f>
        <v>—</v>
      </c>
      <c r="H20" s="2">
        <f>tblTankTypes.Base[[#This Row],[Resource₁·Volume]]</f>
        <v>0</v>
      </c>
      <c r="I20" s="2" t="str">
        <f>tblTankTypes.Base[[#This Row],[Resource₂]]</f>
        <v>—</v>
      </c>
      <c r="J20" s="2">
        <f>tblTankTypes.Base[[#This Row],[Resource₂·Volume]]</f>
        <v>0</v>
      </c>
      <c r="K20" s="13">
        <f>tblTankTypes.Base[[#This Row],[Tank·Mass·Wet]]</f>
        <v>0.91428571428571437</v>
      </c>
    </row>
    <row r="21" spans="1:11" ht="15.95" customHeight="1" x14ac:dyDescent="0.35">
      <c r="A21" s="1" t="str">
        <f>tblTankTypes.Base[[#This Row],[TankType]]</f>
        <v>SPKerbolox</v>
      </c>
      <c r="B21" s="15">
        <f>ROUND(0.001 * tblTankTypes.Base[[#This Row],[Tank·Mass·Dry]], -_xlfn.FLOOR.MATH(IFERROR(LOG10(tblTankTypes.Base[[#This Row],[Tank·Mass·Dry]]), 0)) + 5)</f>
        <v>1.45E-4</v>
      </c>
      <c r="C21" s="2">
        <f>ROUND(tblTankTypes.Base[[#This Row],[Tank·Cost·Dry]], -_xlfn.FLOOR.MATH(IFERROR(LOG10(tblTankTypes.Base[[#This Row],[Tank·Cost·Dry]]), 0)) + 2)</f>
        <v>0.11600000000000001</v>
      </c>
      <c r="D21" s="2">
        <f>ROUND(tblTankTypes.Base[[#This Row],[Tank·Cost·Wet]], -_xlfn.FLOOR.MATH(IFERROR(LOG10(tblTankTypes.Base[[#This Row],[Tank·Cost·Wet]]), 0)) + 2)</f>
        <v>0.17399999999999999</v>
      </c>
      <c r="E21" s="2" t="str">
        <f>tblTankTypes.Base[[#This Row],[Resource₀]]</f>
        <v>Kerbosene</v>
      </c>
      <c r="F21" s="2">
        <f>tblTankTypes.Base[[#This Row],[Resource₀·Volume]]</f>
        <v>0.375</v>
      </c>
      <c r="G21" s="2" t="str">
        <f>tblTankTypes.Base[[#This Row],[Resource₁]]</f>
        <v>LqdOxygen</v>
      </c>
      <c r="H21" s="2">
        <f>tblTankTypes.Base[[#This Row],[Resource₁·Volume]]</f>
        <v>0.625</v>
      </c>
      <c r="I21" s="2" t="str">
        <f>tblTankTypes.Base[[#This Row],[Resource₂]]</f>
        <v>—</v>
      </c>
      <c r="J21" s="2">
        <f>tblTankTypes.Base[[#This Row],[Resource₂·Volume]]</f>
        <v>0</v>
      </c>
      <c r="K21" s="13">
        <f>tblTankTypes.Base[[#This Row],[Tank·Mass·Wet]]</f>
        <v>1.1578571428571429</v>
      </c>
    </row>
    <row r="22" spans="1:11" ht="15.95" customHeight="1" x14ac:dyDescent="0.35">
      <c r="A22" s="1" t="str">
        <f>tblTankTypes.Base[[#This Row],[TankType]]</f>
        <v>SPKerboseneMP</v>
      </c>
      <c r="B22" s="15">
        <f>ROUND(0.001 * tblTankTypes.Base[[#This Row],[Tank·Mass·Dry]], -_xlfn.FLOOR.MATH(IFERROR(LOG10(tblTankTypes.Base[[#This Row],[Tank·Mass·Dry]]), 0)) + 5)</f>
        <v>1.1400000000000001E-4</v>
      </c>
      <c r="C22" s="2">
        <f>ROUND(tblTankTypes.Base[[#This Row],[Tank·Cost·Dry]], -_xlfn.FLOOR.MATH(IFERROR(LOG10(tblTankTypes.Base[[#This Row],[Tank·Cost·Dry]]), 0)) + 2)</f>
        <v>9.1399999999999995E-2</v>
      </c>
      <c r="D22" s="2">
        <f>ROUND(tblTankTypes.Base[[#This Row],[Tank·Cost·Wet]], -_xlfn.FLOOR.MATH(IFERROR(LOG10(tblTankTypes.Base[[#This Row],[Tank·Cost·Wet]]), 0)) + 2)</f>
        <v>0.20300000000000001</v>
      </c>
      <c r="E22" s="2" t="str">
        <f>tblTankTypes.Base[[#This Row],[Resource₀]]</f>
        <v>Kerbosene</v>
      </c>
      <c r="F22" s="2">
        <f>tblTankTypes.Base[[#This Row],[Resource₀·Volume]]</f>
        <v>0.8</v>
      </c>
      <c r="G22" s="2" t="str">
        <f>tblTankTypes.Base[[#This Row],[Resource₁]]</f>
        <v>Monoprop</v>
      </c>
      <c r="H22" s="2">
        <f>tblTankTypes.Base[[#This Row],[Resource₁·Volume]]</f>
        <v>0.2</v>
      </c>
      <c r="I22" s="2" t="str">
        <f>tblTankTypes.Base[[#This Row],[Resource₂]]</f>
        <v>—</v>
      </c>
      <c r="J22" s="2">
        <f>tblTankTypes.Base[[#This Row],[Resource₂·Volume]]</f>
        <v>0</v>
      </c>
      <c r="K22" s="13">
        <f>tblTankTypes.Base[[#This Row],[Tank·Mass·Wet]]</f>
        <v>0.91428571428571459</v>
      </c>
    </row>
    <row r="23" spans="1:11" ht="15.95" customHeight="1" x14ac:dyDescent="0.35">
      <c r="A23" s="1" t="str">
        <f>tblTankTypes.Base[[#This Row],[TankType]]</f>
        <v>SPKerboloxMP</v>
      </c>
      <c r="B23" s="15">
        <f>ROUND(0.001 * tblTankTypes.Base[[#This Row],[Tank·Mass·Dry]], -_xlfn.FLOOR.MATH(IFERROR(LOG10(tblTankTypes.Base[[#This Row],[Tank·Mass·Dry]]), 0)) + 5)</f>
        <v>1.3899999999999999E-4</v>
      </c>
      <c r="C23" s="2">
        <f>ROUND(tblTankTypes.Base[[#This Row],[Tank·Cost·Dry]], -_xlfn.FLOOR.MATH(IFERROR(LOG10(tblTankTypes.Base[[#This Row],[Tank·Cost·Dry]]), 0)) + 2)</f>
        <v>0.111</v>
      </c>
      <c r="D23" s="2">
        <f>ROUND(tblTankTypes.Base[[#This Row],[Tank·Cost·Wet]], -_xlfn.FLOOR.MATH(IFERROR(LOG10(tblTankTypes.Base[[#This Row],[Tank·Cost·Wet]]), 0)) + 2)</f>
        <v>0.20599999999999999</v>
      </c>
      <c r="E23" s="2" t="str">
        <f>tblTankTypes.Base[[#This Row],[Resource₀]]</f>
        <v>Kerbosene</v>
      </c>
      <c r="F23" s="2">
        <f>tblTankTypes.Base[[#This Row],[Resource₀·Volume]]</f>
        <v>0.30000000000000004</v>
      </c>
      <c r="G23" s="2" t="str">
        <f>tblTankTypes.Base[[#This Row],[Resource₁]]</f>
        <v>LqdOxygen</v>
      </c>
      <c r="H23" s="2">
        <f>tblTankTypes.Base[[#This Row],[Resource₁·Volume]]</f>
        <v>0.5</v>
      </c>
      <c r="I23" s="2" t="str">
        <f>tblTankTypes.Base[[#This Row],[Resource₂]]</f>
        <v>Monoprop</v>
      </c>
      <c r="J23" s="2">
        <f>tblTankTypes.Base[[#This Row],[Resource₂·Volume]]</f>
        <v>0.2</v>
      </c>
      <c r="K23" s="13">
        <f>tblTankTypes.Base[[#This Row],[Tank·Mass·Wet]]</f>
        <v>1.1091428571428572</v>
      </c>
    </row>
    <row r="24" spans="1:11" ht="15.95" customHeight="1" x14ac:dyDescent="0.35">
      <c r="A24" s="1" t="str">
        <f>tblTankTypes.Base[[#This Row],[TankType]]</f>
        <v>SPMonoprop</v>
      </c>
      <c r="B24" s="15">
        <f>ROUND(0.001 * tblTankTypes.Base[[#This Row],[Tank·Mass·Dry]], -_xlfn.FLOOR.MATH(IFERROR(LOG10(tblTankTypes.Base[[#This Row],[Tank·Mass·Dry]]), 0)) + 5)</f>
        <v>1.1400000000000001E-4</v>
      </c>
      <c r="C24" s="2">
        <f>ROUND(tblTankTypes.Base[[#This Row],[Tank·Cost·Dry]], -_xlfn.FLOOR.MATH(IFERROR(LOG10(tblTankTypes.Base[[#This Row],[Tank·Cost·Dry]]), 0)) + 2)</f>
        <v>9.1399999999999995E-2</v>
      </c>
      <c r="D24" s="2">
        <f>ROUND(tblTankTypes.Base[[#This Row],[Tank·Cost·Wet]], -_xlfn.FLOOR.MATH(IFERROR(LOG10(tblTankTypes.Base[[#This Row],[Tank·Cost·Wet]]), 0)) + 2)</f>
        <v>0.33100000000000002</v>
      </c>
      <c r="E24" s="2" t="str">
        <f>tblTankTypes.Base[[#This Row],[Resource₀]]</f>
        <v>Monoprop</v>
      </c>
      <c r="F24" s="2">
        <f>tblTankTypes.Base[[#This Row],[Resource₀·Volume]]</f>
        <v>1</v>
      </c>
      <c r="G24" s="2" t="str">
        <f>tblTankTypes.Base[[#This Row],[Resource₁]]</f>
        <v>—</v>
      </c>
      <c r="H24" s="2">
        <f>tblTankTypes.Base[[#This Row],[Resource₁·Volume]]</f>
        <v>0</v>
      </c>
      <c r="I24" s="2" t="str">
        <f>tblTankTypes.Base[[#This Row],[Resource₂]]</f>
        <v>—</v>
      </c>
      <c r="J24" s="2">
        <f>tblTankTypes.Base[[#This Row],[Resource₂·Volume]]</f>
        <v>0</v>
      </c>
      <c r="K24" s="13">
        <f>tblTankTypes.Base[[#This Row],[Tank·Mass·Wet]]</f>
        <v>0.91428571428571437</v>
      </c>
    </row>
    <row r="25" spans="1:11" ht="15.95" customHeight="1" x14ac:dyDescent="0.35">
      <c r="A25" s="1" t="str">
        <f>tblTankTypes.Base[[#This Row],[TankType]]</f>
        <v>SPKerboseneMPShort</v>
      </c>
      <c r="B25" s="15">
        <f>ROUND(0.001 * tblTankTypes.Base[[#This Row],[Tank·Mass·Dry]], -_xlfn.FLOOR.MATH(IFERROR(LOG10(tblTankTypes.Base[[#This Row],[Tank·Mass·Dry]]), 0)) + 5)</f>
        <v>1.1400000000000001E-4</v>
      </c>
      <c r="C25" s="2">
        <f>ROUND(tblTankTypes.Base[[#This Row],[Tank·Cost·Dry]], -_xlfn.FLOOR.MATH(IFERROR(LOG10(tblTankTypes.Base[[#This Row],[Tank·Cost·Dry]]), 0)) + 2)</f>
        <v>9.1399999999999995E-2</v>
      </c>
      <c r="D25" s="2">
        <f>ROUND(tblTankTypes.Base[[#This Row],[Tank·Cost·Wet]], -_xlfn.FLOOR.MATH(IFERROR(LOG10(tblTankTypes.Base[[#This Row],[Tank·Cost·Wet]]), 0)) + 2)</f>
        <v>0.17799999999999999</v>
      </c>
      <c r="E25" s="2" t="str">
        <f>tblTankTypes.Base[[#This Row],[Resource₀]]</f>
        <v>Kerbosene</v>
      </c>
      <c r="F25" s="2">
        <f>tblTankTypes.Base[[#This Row],[Resource₀·Volume]]</f>
        <v>0.96</v>
      </c>
      <c r="G25" s="2" t="str">
        <f>tblTankTypes.Base[[#This Row],[Resource₁]]</f>
        <v>Monoprop</v>
      </c>
      <c r="H25" s="2">
        <f>tblTankTypes.Base[[#This Row],[Resource₁·Volume]]</f>
        <v>0.04</v>
      </c>
      <c r="I25" s="2" t="str">
        <f>tblTankTypes.Base[[#This Row],[Resource₂]]</f>
        <v>—</v>
      </c>
      <c r="J25" s="2">
        <f>tblTankTypes.Base[[#This Row],[Resource₂·Volume]]</f>
        <v>0</v>
      </c>
      <c r="K25" s="13">
        <f>tblTankTypes.Base[[#This Row],[Tank·Mass·Wet]]</f>
        <v>0.91428571428571437</v>
      </c>
    </row>
    <row r="26" spans="1:11" ht="15.95" customHeight="1" x14ac:dyDescent="0.35">
      <c r="A26" s="1" t="str">
        <f>tblTankTypes.Base[[#This Row],[TankType]]</f>
        <v>SPKerboloxMPShort</v>
      </c>
      <c r="B26" s="15">
        <f>ROUND(0.001 * tblTankTypes.Base[[#This Row],[Tank·Mass·Dry]], -_xlfn.FLOOR.MATH(IFERROR(LOG10(tblTankTypes.Base[[#This Row],[Tank·Mass·Dry]]), 0)) + 5)</f>
        <v>1.6200000000000001E-4</v>
      </c>
      <c r="C26" s="2">
        <f>ROUND(tblTankTypes.Base[[#This Row],[Tank·Cost·Dry]], -_xlfn.FLOOR.MATH(IFERROR(LOG10(tblTankTypes.Base[[#This Row],[Tank·Cost·Dry]]), 0)) + 2)</f>
        <v>0.129</v>
      </c>
      <c r="D26" s="2">
        <f>ROUND(tblTankTypes.Base[[#This Row],[Tank·Cost·Wet]], -_xlfn.FLOOR.MATH(IFERROR(LOG10(tblTankTypes.Base[[#This Row],[Tank·Cost·Wet]]), 0)) + 2)</f>
        <v>0.23400000000000001</v>
      </c>
      <c r="E26" s="2" t="str">
        <f>tblTankTypes.Base[[#This Row],[Resource₀]]</f>
        <v>Kerbosene</v>
      </c>
      <c r="F26" s="2">
        <f>tblTankTypes.Base[[#This Row],[Resource₀·Volume]]</f>
        <v>0.36</v>
      </c>
      <c r="G26" s="2" t="str">
        <f>tblTankTypes.Base[[#This Row],[Resource₁]]</f>
        <v>LqdOxygen</v>
      </c>
      <c r="H26" s="2">
        <f>tblTankTypes.Base[[#This Row],[Resource₁·Volume]]</f>
        <v>0.6</v>
      </c>
      <c r="I26" s="2" t="str">
        <f>tblTankTypes.Base[[#This Row],[Resource₂]]</f>
        <v>Monoprop</v>
      </c>
      <c r="J26" s="2">
        <f>tblTankTypes.Base[[#This Row],[Resource₂·Volume]]</f>
        <v>0.2</v>
      </c>
      <c r="K26" s="13">
        <f>tblTankTypes.Base[[#This Row],[Tank·Mass·Wet]]</f>
        <v>1.2944</v>
      </c>
    </row>
    <row r="27" spans="1:11" ht="15.95" customHeight="1" x14ac:dyDescent="0.35">
      <c r="A27" s="1" t="str">
        <f>tblTankTypes.Base[[#This Row],[TankType]]</f>
        <v>SPLqdH2</v>
      </c>
      <c r="B27" s="15">
        <f>ROUND(0.001 * tblTankTypes.Base[[#This Row],[Tank·Mass·Dry]], -_xlfn.FLOOR.MATH(IFERROR(LOG10(tblTankTypes.Base[[#This Row],[Tank·Mass·Dry]]), 0)) + 5)</f>
        <v>2.6599999999999999E-5</v>
      </c>
      <c r="C27" s="2">
        <f>ROUND(tblTankTypes.Base[[#This Row],[Tank·Cost·Dry]], -_xlfn.FLOOR.MATH(IFERROR(LOG10(tblTankTypes.Base[[#This Row],[Tank·Cost·Dry]]), 0)) + 2)</f>
        <v>0.106</v>
      </c>
      <c r="D27" s="2">
        <f>ROUND(tblTankTypes.Base[[#This Row],[Tank·Cost·Wet]], -_xlfn.FLOOR.MATH(IFERROR(LOG10(tblTankTypes.Base[[#This Row],[Tank·Cost·Wet]]), 0)) + 2)</f>
        <v>0.161</v>
      </c>
      <c r="E27" s="2" t="str">
        <f>tblTankTypes.Base[[#This Row],[Resource₀]]</f>
        <v>LqdHydrogen</v>
      </c>
      <c r="F27" s="2">
        <f>tblTankTypes.Base[[#This Row],[Resource₀·Volume]]</f>
        <v>1.5</v>
      </c>
      <c r="G27" s="2" t="str">
        <f>tblTankTypes.Base[[#This Row],[Resource₁]]</f>
        <v>—</v>
      </c>
      <c r="H27" s="2">
        <f>tblTankTypes.Base[[#This Row],[Resource₁·Volume]]</f>
        <v>0</v>
      </c>
      <c r="I27" s="2" t="str">
        <f>tblTankTypes.Base[[#This Row],[Resource₂]]</f>
        <v>—</v>
      </c>
      <c r="J27" s="2">
        <f>tblTankTypes.Base[[#This Row],[Resource₂·Volume]]</f>
        <v>0</v>
      </c>
      <c r="K27" s="13">
        <f>tblTankTypes.Base[[#This Row],[Tank·Mass·Wet]]</f>
        <v>0.13284374999999998</v>
      </c>
    </row>
    <row r="28" spans="1:11" ht="15.95" customHeight="1" x14ac:dyDescent="0.35">
      <c r="A28" s="1" t="str">
        <f>tblTankTypes.Base[[#This Row],[TankType]]</f>
        <v>SPHydrolox</v>
      </c>
      <c r="B28" s="15">
        <f>ROUND(0.001 * tblTankTypes.Base[[#This Row],[Tank·Mass·Dry]], -_xlfn.FLOOR.MATH(IFERROR(LOG10(tblTankTypes.Base[[#This Row],[Tank·Mass·Dry]]), 0)) + 5)</f>
        <v>5.8499999999999999E-5</v>
      </c>
      <c r="C28" s="2">
        <f>ROUND(tblTankTypes.Base[[#This Row],[Tank·Cost·Dry]], -_xlfn.FLOOR.MATH(IFERROR(LOG10(tblTankTypes.Base[[#This Row],[Tank·Cost·Dry]]), 0)) + 2)</f>
        <v>0.10299999999999999</v>
      </c>
      <c r="D28" s="2">
        <f>ROUND(tblTankTypes.Base[[#This Row],[Tank·Cost·Wet]], -_xlfn.FLOOR.MATH(IFERROR(LOG10(tblTankTypes.Base[[#This Row],[Tank·Cost·Wet]]), 0)) + 2)</f>
        <v>0.152</v>
      </c>
      <c r="E28" s="2" t="str">
        <f>tblTankTypes.Base[[#This Row],[Resource₀]]</f>
        <v>LqdHydrogen</v>
      </c>
      <c r="F28" s="2">
        <f>tblTankTypes.Base[[#This Row],[Resource₀·Volume]]</f>
        <v>1</v>
      </c>
      <c r="G28" s="2" t="str">
        <f>tblTankTypes.Base[[#This Row],[Resource₁]]</f>
        <v>LqdOxygen</v>
      </c>
      <c r="H28" s="2">
        <f>tblTankTypes.Base[[#This Row],[Resource₁·Volume]]</f>
        <v>0.25</v>
      </c>
      <c r="I28" s="2" t="str">
        <f>tblTankTypes.Base[[#This Row],[Resource₂]]</f>
        <v>—</v>
      </c>
      <c r="J28" s="2">
        <f>tblTankTypes.Base[[#This Row],[Resource₂·Volume]]</f>
        <v>0</v>
      </c>
      <c r="K28" s="13">
        <f>tblTankTypes.Base[[#This Row],[Tank·Mass·Wet]]</f>
        <v>0.41456249999999994</v>
      </c>
    </row>
    <row r="29" spans="1:11" ht="15.95" customHeight="1" x14ac:dyDescent="0.35">
      <c r="A29" s="1" t="str">
        <f>tblTankTypes.Base[[#This Row],[TankType]]</f>
        <v>SPLqdH2MP</v>
      </c>
      <c r="B29" s="15">
        <f>ROUND(0.001 * tblTankTypes.Base[[#This Row],[Tank·Mass·Dry]], -_xlfn.FLOOR.MATH(IFERROR(LOG10(tblTankTypes.Base[[#This Row],[Tank·Mass·Dry]]), 0)) + 5)</f>
        <v>4.4100000000000001E-5</v>
      </c>
      <c r="C29" s="2">
        <f>ROUND(tblTankTypes.Base[[#This Row],[Tank·Cost·Dry]], -_xlfn.FLOOR.MATH(IFERROR(LOG10(tblTankTypes.Base[[#This Row],[Tank·Cost·Dry]]), 0)) + 2)</f>
        <v>0.10299999999999999</v>
      </c>
      <c r="D29" s="2">
        <f>ROUND(tblTankTypes.Base[[#This Row],[Tank·Cost·Wet]], -_xlfn.FLOOR.MATH(IFERROR(LOG10(tblTankTypes.Base[[#This Row],[Tank·Cost·Wet]]), 0)) + 2)</f>
        <v>0.19500000000000001</v>
      </c>
      <c r="E29" s="2" t="str">
        <f>tblTankTypes.Base[[#This Row],[Resource₀]]</f>
        <v>LqdHydrogen</v>
      </c>
      <c r="F29" s="2">
        <f>tblTankTypes.Base[[#This Row],[Resource₀·Volume]]</f>
        <v>1.2</v>
      </c>
      <c r="G29" s="2" t="str">
        <f>tblTankTypes.Base[[#This Row],[Resource₁]]</f>
        <v>Monoprop</v>
      </c>
      <c r="H29" s="2">
        <f>tblTankTypes.Base[[#This Row],[Resource₁·Volume]]</f>
        <v>0.2</v>
      </c>
      <c r="I29" s="2" t="str">
        <f>tblTankTypes.Base[[#This Row],[Resource₂]]</f>
        <v>—</v>
      </c>
      <c r="J29" s="2">
        <f>tblTankTypes.Base[[#This Row],[Resource₂·Volume]]</f>
        <v>0</v>
      </c>
      <c r="K29" s="13">
        <f>tblTankTypes.Base[[#This Row],[Tank·Mass·Wet]]</f>
        <v>0.28913214285714289</v>
      </c>
    </row>
    <row r="30" spans="1:11" ht="15.95" customHeight="1" x14ac:dyDescent="0.35">
      <c r="A30" s="1" t="str">
        <f>tblTankTypes.Base[[#This Row],[TankType]]</f>
        <v>SPHydroloxMP</v>
      </c>
      <c r="B30" s="15">
        <f>ROUND(0.001 * tblTankTypes.Base[[#This Row],[Tank·Mass·Dry]], -_xlfn.FLOOR.MATH(IFERROR(LOG10(tblTankTypes.Base[[#This Row],[Tank·Mass·Dry]]), 0)) + 5)</f>
        <v>6.9599999999999998E-5</v>
      </c>
      <c r="C30" s="15">
        <f>ROUND(tblTankTypes.Base[[#This Row],[Tank·Cost·Dry]], -_xlfn.FLOOR.MATH(IFERROR(LOG10(tblTankTypes.Base[[#This Row],[Tank·Cost·Dry]]), 0)) + 2)</f>
        <v>0.10100000000000001</v>
      </c>
      <c r="D30" s="2">
        <f>ROUND(tblTankTypes.Base[[#This Row],[Tank·Cost·Wet]], -_xlfn.FLOOR.MATH(IFERROR(LOG10(tblTankTypes.Base[[#This Row],[Tank·Cost·Wet]]), 0)) + 2)</f>
        <v>0.188</v>
      </c>
      <c r="E30" s="2" t="str">
        <f>tblTankTypes.Base[[#This Row],[Resource₀]]</f>
        <v>LqdHydrogen</v>
      </c>
      <c r="F30" s="2">
        <f>tblTankTypes.Base[[#This Row],[Resource₀·Volume]]</f>
        <v>0.8</v>
      </c>
      <c r="G30" s="2" t="str">
        <f>tblTankTypes.Base[[#This Row],[Resource₁]]</f>
        <v>LqdOxygen</v>
      </c>
      <c r="H30" s="2">
        <f>tblTankTypes.Base[[#This Row],[Resource₁·Volume]]</f>
        <v>0.2</v>
      </c>
      <c r="I30" s="2" t="str">
        <f>tblTankTypes.Base[[#This Row],[Resource₂]]</f>
        <v>Monoprop</v>
      </c>
      <c r="J30" s="2">
        <f>tblTankTypes.Base[[#This Row],[Resource₂·Volume]]</f>
        <v>0.2</v>
      </c>
      <c r="K30" s="13">
        <f>tblTankTypes.Base[[#This Row],[Tank·Mass·Wet]]</f>
        <v>0.51450714285714294</v>
      </c>
    </row>
    <row r="31" spans="1:11" ht="15.95" customHeight="1" x14ac:dyDescent="0.35">
      <c r="A31" s="1" t="str">
        <f>tblTankTypes.Base[[#This Row],[TankType]]</f>
        <v>SPLqdH2MPShort</v>
      </c>
      <c r="B31" s="15">
        <f>ROUND(0.001 * tblTankTypes.Base[[#This Row],[Tank·Mass·Dry]], -_xlfn.FLOOR.MATH(IFERROR(LOG10(tblTankTypes.Base[[#This Row],[Tank·Mass·Dry]]), 0)) + 5)</f>
        <v>3.01E-5</v>
      </c>
      <c r="C31" s="15">
        <f>ROUND(tblTankTypes.Base[[#This Row],[Tank·Cost·Dry]], -_xlfn.FLOOR.MATH(IFERROR(LOG10(tblTankTypes.Base[[#This Row],[Tank·Cost·Dry]]), 0)) + 2)</f>
        <v>0.106</v>
      </c>
      <c r="D31" s="2">
        <f>ROUND(tblTankTypes.Base[[#This Row],[Tank·Cost·Wet]], -_xlfn.FLOOR.MATH(IFERROR(LOG10(tblTankTypes.Base[[#This Row],[Tank·Cost·Wet]]), 0)) + 2)</f>
        <v>0.16800000000000001</v>
      </c>
      <c r="E31" s="2" t="str">
        <f>tblTankTypes.Base[[#This Row],[Resource₀]]</f>
        <v>LqdHydrogen</v>
      </c>
      <c r="F31" s="2">
        <f>tblTankTypes.Base[[#This Row],[Resource₀·Volume]]</f>
        <v>1.44</v>
      </c>
      <c r="G31" s="2" t="str">
        <f>tblTankTypes.Base[[#This Row],[Resource₁]]</f>
        <v>Monoprop</v>
      </c>
      <c r="H31" s="2">
        <f>tblTankTypes.Base[[#This Row],[Resource₁·Volume]]</f>
        <v>0.04</v>
      </c>
      <c r="I31" s="2" t="str">
        <f>tblTankTypes.Base[[#This Row],[Resource₂]]</f>
        <v>—</v>
      </c>
      <c r="J31" s="2">
        <f>tblTankTypes.Base[[#This Row],[Resource₂·Volume]]</f>
        <v>0</v>
      </c>
      <c r="K31" s="13">
        <f>tblTankTypes.Base[[#This Row],[Tank·Mass·Wet]]</f>
        <v>0.16410142857142854</v>
      </c>
    </row>
    <row r="32" spans="1:11" ht="15.95" customHeight="1" x14ac:dyDescent="0.35">
      <c r="A32" s="1" t="str">
        <f>tblTankTypes.Base[[#This Row],[TankType]]</f>
        <v>SPHydroloxMPShort</v>
      </c>
      <c r="B32" s="15">
        <f>ROUND(0.001 * tblTankTypes.Base[[#This Row],[Tank·Mass·Dry]], -_xlfn.FLOOR.MATH(IFERROR(LOG10(tblTankTypes.Base[[#This Row],[Tank·Mass·Dry]]), 0)) + 5)</f>
        <v>7.8999999999999996E-5</v>
      </c>
      <c r="C32" s="15">
        <f>ROUND(tblTankTypes.Base[[#This Row],[Tank·Cost·Dry]], -_xlfn.FLOOR.MATH(IFERROR(LOG10(tblTankTypes.Base[[#This Row],[Tank·Cost·Dry]]), 0)) + 2)</f>
        <v>0.11799999999999999</v>
      </c>
      <c r="D32" s="2">
        <f>ROUND(tblTankTypes.Base[[#This Row],[Tank·Cost·Wet]], -_xlfn.FLOOR.MATH(IFERROR(LOG10(tblTankTypes.Base[[#This Row],[Tank·Cost·Wet]]), 0)) + 2)</f>
        <v>0.21199999999999999</v>
      </c>
      <c r="E32" s="2" t="str">
        <f>tblTankTypes.Base[[#This Row],[Resource₀]]</f>
        <v>LqdHydrogen</v>
      </c>
      <c r="F32" s="2">
        <f>tblTankTypes.Base[[#This Row],[Resource₀·Volume]]</f>
        <v>0.96</v>
      </c>
      <c r="G32" s="2" t="str">
        <f>tblTankTypes.Base[[#This Row],[Resource₁]]</f>
        <v>LqdOxygen</v>
      </c>
      <c r="H32" s="2">
        <f>tblTankTypes.Base[[#This Row],[Resource₁·Volume]]</f>
        <v>0.24</v>
      </c>
      <c r="I32" s="2" t="str">
        <f>tblTankTypes.Base[[#This Row],[Resource₂]]</f>
        <v>Monoprop</v>
      </c>
      <c r="J32" s="2">
        <f>tblTankTypes.Base[[#This Row],[Resource₂·Volume]]</f>
        <v>0.2</v>
      </c>
      <c r="K32" s="13">
        <f>tblTankTypes.Base[[#This Row],[Tank·Mass·Wet]]</f>
        <v>0.58083714285714283</v>
      </c>
    </row>
    <row r="33" spans="1:11" ht="15.95" customHeight="1" x14ac:dyDescent="0.35">
      <c r="A33" s="1" t="str">
        <f>tblTankTypes.Base[[#This Row],[TankType]]</f>
        <v>Machinery</v>
      </c>
      <c r="B33" s="15">
        <f>ROUND(0.001 * tblTankTypes.Base[[#This Row],[Tank·Mass·Dry]], -_xlfn.FLOOR.MATH(IFERROR(LOG10(tblTankTypes.Base[[#This Row],[Tank·Mass·Dry]]), 0)) + 5)</f>
        <v>4.0000000000000002E-4</v>
      </c>
      <c r="C33" s="15">
        <f>ROUND(tblTankTypes.Base[[#This Row],[Tank·Cost·Dry]], -_xlfn.FLOOR.MATH(IFERROR(LOG10(tblTankTypes.Base[[#This Row],[Tank·Cost·Dry]]), 0)) + 2)</f>
        <v>0.32</v>
      </c>
      <c r="D33" s="2">
        <f>ROUND(tblTankTypes.Base[[#This Row],[Tank·Cost·Wet]], -_xlfn.FLOOR.MATH(IFERROR(LOG10(tblTankTypes.Base[[#This Row],[Tank·Cost·Wet]]), 0)) + 2)</f>
        <v>16.100000000000001</v>
      </c>
      <c r="E33" s="2" t="str">
        <f>tblTankTypes.Base[[#This Row],[Resource₀]]</f>
        <v>Machinery</v>
      </c>
      <c r="F33" s="2">
        <f>tblTankTypes.Base[[#This Row],[Resource₀·Volume]]</f>
        <v>1</v>
      </c>
      <c r="G33" s="2" t="str">
        <f>tblTankTypes.Base[[#This Row],[Resource₁]]</f>
        <v>—</v>
      </c>
      <c r="H33" s="2">
        <f>tblTankTypes.Base[[#This Row],[Resource₁·Volume]]</f>
        <v>0</v>
      </c>
      <c r="I33" s="2" t="str">
        <f>tblTankTypes.Base[[#This Row],[Resource₂]]</f>
        <v>—</v>
      </c>
      <c r="J33" s="2">
        <f>tblTankTypes.Base[[#This Row],[Resource₂·Volume]]</f>
        <v>0</v>
      </c>
      <c r="K33" s="13">
        <f>tblTankTypes.Base[[#This Row],[Tank·Mass·Wet]]</f>
        <v>4.18</v>
      </c>
    </row>
    <row r="34" spans="1:11" ht="15.95" customHeight="1" x14ac:dyDescent="0.35">
      <c r="A34" s="1" t="str">
        <f>tblTankTypes.Base[[#This Row],[TankType]]</f>
        <v>Water</v>
      </c>
      <c r="B34" s="15">
        <f>ROUND(0.001 * tblTankTypes.Base[[#This Row],[Tank·Mass·Dry]], -_xlfn.FLOOR.MATH(IFERROR(LOG10(tblTankTypes.Base[[#This Row],[Tank·Mass·Dry]]), 0)) + 5)</f>
        <v>1.25E-4</v>
      </c>
      <c r="C34" s="15">
        <f>ROUND(tblTankTypes.Base[[#This Row],[Tank·Cost·Dry]], -_xlfn.FLOOR.MATH(IFERROR(LOG10(tblTankTypes.Base[[#This Row],[Tank·Cost·Dry]]), 0)) + 2)</f>
        <v>0.1</v>
      </c>
      <c r="D34" s="2">
        <f>ROUND(tblTankTypes.Base[[#This Row],[Tank·Cost·Wet]], -_xlfn.FLOOR.MATH(IFERROR(LOG10(tblTankTypes.Base[[#This Row],[Tank·Cost·Wet]]), 0)) + 2)</f>
        <v>0.10100000000000001</v>
      </c>
      <c r="E34" s="2" t="str">
        <f>tblTankTypes.Base[[#This Row],[Resource₀]]</f>
        <v>Water</v>
      </c>
      <c r="F34" s="2">
        <f>tblTankTypes.Base[[#This Row],[Resource₀·Volume]]</f>
        <v>1</v>
      </c>
      <c r="G34" s="2" t="str">
        <f>tblTankTypes.Base[[#This Row],[Resource₁]]</f>
        <v>—</v>
      </c>
      <c r="H34" s="2">
        <f>tblTankTypes.Base[[#This Row],[Resource₁·Volume]]</f>
        <v>0</v>
      </c>
      <c r="I34" s="2" t="str">
        <f>tblTankTypes.Base[[#This Row],[Resource₂]]</f>
        <v>—</v>
      </c>
      <c r="J34" s="2">
        <f>tblTankTypes.Base[[#This Row],[Resource₂·Volume]]</f>
        <v>0</v>
      </c>
      <c r="K34" s="13">
        <f>tblTankTypes.Base[[#This Row],[Tank·Mass·Wet]]</f>
        <v>1.125</v>
      </c>
    </row>
    <row r="35" spans="1:11" ht="15.95" customHeight="1" x14ac:dyDescent="0.35">
      <c r="A35" s="1" t="str">
        <f>tblTankTypes.Base[[#This Row],[TankType]]</f>
        <v>Chemicals</v>
      </c>
      <c r="B35" s="15">
        <f>ROUND(0.001 * tblTankTypes.Base[[#This Row],[Tank·Mass·Dry]], -_xlfn.FLOOR.MATH(IFERROR(LOG10(tblTankTypes.Base[[#This Row],[Tank·Mass·Dry]]), 0)) + 5)</f>
        <v>3.1300000000000002E-4</v>
      </c>
      <c r="C35" s="15">
        <f>ROUND(tblTankTypes.Base[[#This Row],[Tank·Cost·Dry]], -_xlfn.FLOOR.MATH(IFERROR(LOG10(tblTankTypes.Base[[#This Row],[Tank·Cost·Dry]]), 0)) + 2)</f>
        <v>0.25</v>
      </c>
      <c r="D35" s="2">
        <f>ROUND(tblTankTypes.Base[[#This Row],[Tank·Cost·Wet]], -_xlfn.FLOOR.MATH(IFERROR(LOG10(tblTankTypes.Base[[#This Row],[Tank·Cost·Wet]]), 0)) + 2)</f>
        <v>16.3</v>
      </c>
      <c r="E35" s="2" t="str">
        <f>tblTankTypes.Base[[#This Row],[Resource₀]]</f>
        <v>Chemicals</v>
      </c>
      <c r="F35" s="2">
        <f>tblTankTypes.Base[[#This Row],[Resource₀·Volume]]</f>
        <v>1</v>
      </c>
      <c r="G35" s="2" t="str">
        <f>tblTankTypes.Base[[#This Row],[Resource₁]]</f>
        <v>—</v>
      </c>
      <c r="H35" s="2">
        <f>tblTankTypes.Base[[#This Row],[Resource₁·Volume]]</f>
        <v>0</v>
      </c>
      <c r="I35" s="2" t="str">
        <f>tblTankTypes.Base[[#This Row],[Resource₂]]</f>
        <v>—</v>
      </c>
      <c r="J35" s="2">
        <f>tblTankTypes.Base[[#This Row],[Resource₂·Volume]]</f>
        <v>0</v>
      </c>
      <c r="K35" s="13">
        <f>tblTankTypes.Base[[#This Row],[Tank·Mass·Wet]]</f>
        <v>2.8125</v>
      </c>
    </row>
    <row r="36" spans="1:11" ht="15.95" customHeight="1" x14ac:dyDescent="0.35">
      <c r="A36" s="1" t="str">
        <f>tblTankTypes.Base[[#This Row],[TankType]]</f>
        <v>O2H2Gas</v>
      </c>
      <c r="B36" s="15">
        <f>ROUND(0.001 * tblTankTypes.Base[[#This Row],[Tank·Mass·Dry]], -_xlfn.FLOOR.MATH(IFERROR(LOG10(tblTankTypes.Base[[#This Row],[Tank·Mass·Dry]]), 0)) + 5)</f>
        <v>3.2199999999999997E-5</v>
      </c>
      <c r="C36" s="15">
        <f>ROUND(tblTankTypes.Base[[#This Row],[Tank·Cost·Dry]], -_xlfn.FLOOR.MATH(IFERROR(LOG10(tblTankTypes.Base[[#This Row],[Tank·Cost·Dry]]), 0)) + 2)</f>
        <v>2.58E-2</v>
      </c>
      <c r="D36" s="2">
        <f>ROUND(tblTankTypes.Base[[#This Row],[Tank·Cost·Wet]], -_xlfn.FLOOR.MATH(IFERROR(LOG10(tblTankTypes.Base[[#This Row],[Tank·Cost·Wet]]), 0)) + 2)</f>
        <v>3.5799999999999998E-2</v>
      </c>
      <c r="E36" s="2" t="str">
        <f>tblTankTypes.Base[[#This Row],[Resource₀]]</f>
        <v>Hydrogen</v>
      </c>
      <c r="F36" s="2">
        <f>tblTankTypes.Base[[#This Row],[Resource₀·Volume]]</f>
        <v>120</v>
      </c>
      <c r="G36" s="2" t="str">
        <f>tblTankTypes.Base[[#This Row],[Resource₁]]</f>
        <v>Oxygen</v>
      </c>
      <c r="H36" s="2">
        <f>tblTankTypes.Base[[#This Row],[Resource₁·Volume]]</f>
        <v>60</v>
      </c>
      <c r="I36" s="2" t="str">
        <f>tblTankTypes.Base[[#This Row],[Resource₂]]</f>
        <v>—</v>
      </c>
      <c r="J36" s="2">
        <f>tblTankTypes.Base[[#This Row],[Resource₂·Volume]]</f>
        <v>0</v>
      </c>
      <c r="K36" s="13">
        <f>tblTankTypes.Base[[#This Row],[Tank·Mass·Wet]]</f>
        <v>0.12878400000000001</v>
      </c>
    </row>
    <row r="37" spans="1:11" ht="15.95" customHeight="1" x14ac:dyDescent="0.35">
      <c r="A37" s="1" t="str">
        <f>tblTankTypes.Base[[#This Row],[TankType]]</f>
        <v>H2Gas</v>
      </c>
      <c r="B37" s="15">
        <f>ROUND(0.001 * tblTankTypes.Base[[#This Row],[Tank·Mass·Dry]], -_xlfn.FLOOR.MATH(IFERROR(LOG10(tblTankTypes.Base[[#This Row],[Tank·Mass·Dry]]), 0)) + 5)</f>
        <v>5.3900000000000001E-6</v>
      </c>
      <c r="C37" s="15">
        <f>ROUND(tblTankTypes.Base[[#This Row],[Tank·Cost·Dry]], -_xlfn.FLOOR.MATH(IFERROR(LOG10(tblTankTypes.Base[[#This Row],[Tank·Cost·Dry]]), 0)) + 2)</f>
        <v>4.3200000000000001E-3</v>
      </c>
      <c r="D37" s="2">
        <f>ROUND(tblTankTypes.Base[[#This Row],[Tank·Cost·Wet]], -_xlfn.FLOOR.MATH(IFERROR(LOG10(tblTankTypes.Base[[#This Row],[Tank·Cost·Wet]]), 0)) + 2)</f>
        <v>1.44E-2</v>
      </c>
      <c r="E37" s="2" t="str">
        <f>tblTankTypes.Base[[#This Row],[Resource₀]]</f>
        <v>Hydrogen</v>
      </c>
      <c r="F37" s="2">
        <f>tblTankTypes.Base[[#This Row],[Resource₀·Volume]]</f>
        <v>180</v>
      </c>
      <c r="G37" s="2" t="str">
        <f>tblTankTypes.Base[[#This Row],[Resource₁]]</f>
        <v>—</v>
      </c>
      <c r="H37" s="2">
        <f>tblTankTypes.Base[[#This Row],[Resource₁·Volume]]</f>
        <v>0</v>
      </c>
      <c r="I37" s="2" t="str">
        <f>tblTankTypes.Base[[#This Row],[Resource₂]]</f>
        <v>—</v>
      </c>
      <c r="J37" s="2">
        <f>tblTankTypes.Base[[#This Row],[Resource₂·Volume]]</f>
        <v>0</v>
      </c>
      <c r="K37" s="13">
        <f>tblTankTypes.Base[[#This Row],[Tank·Mass·Wet]]</f>
        <v>2.1576000000000001E-2</v>
      </c>
    </row>
    <row r="38" spans="1:11" ht="15.95" customHeight="1" x14ac:dyDescent="0.35">
      <c r="A38" s="1" t="str">
        <f>tblTankTypes.Base[[#This Row],[TankType]]</f>
        <v>O2Gas</v>
      </c>
      <c r="B38" s="15">
        <f>ROUND(0.001 * tblTankTypes.Base[[#This Row],[Tank·Mass·Dry]], -_xlfn.FLOOR.MATH(IFERROR(LOG10(tblTankTypes.Base[[#This Row],[Tank·Mass·Dry]]), 0)) + 5)</f>
        <v>8.5799999999999998E-5</v>
      </c>
      <c r="C38" s="15">
        <f>ROUND(tblTankTypes.Base[[#This Row],[Tank·Cost·Dry]], -_xlfn.FLOOR.MATH(IFERROR(LOG10(tblTankTypes.Base[[#This Row],[Tank·Cost·Dry]]), 0)) + 2)</f>
        <v>6.8599999999999994E-2</v>
      </c>
      <c r="D38" s="2">
        <f>ROUND(tblTankTypes.Base[[#This Row],[Tank·Cost·Wet]], -_xlfn.FLOOR.MATH(IFERROR(LOG10(tblTankTypes.Base[[#This Row],[Tank·Cost·Wet]]), 0)) + 2)</f>
        <v>7.8700000000000006E-2</v>
      </c>
      <c r="E38" s="2" t="str">
        <f>tblTankTypes.Base[[#This Row],[Resource₀]]</f>
        <v>Oxygen</v>
      </c>
      <c r="F38" s="2">
        <f>tblTankTypes.Base[[#This Row],[Resource₀·Volume]]</f>
        <v>180</v>
      </c>
      <c r="G38" s="2" t="str">
        <f>tblTankTypes.Base[[#This Row],[Resource₁]]</f>
        <v>—</v>
      </c>
      <c r="H38" s="2">
        <f>tblTankTypes.Base[[#This Row],[Resource₁·Volume]]</f>
        <v>0</v>
      </c>
      <c r="I38" s="2" t="str">
        <f>tblTankTypes.Base[[#This Row],[Resource₂]]</f>
        <v>—</v>
      </c>
      <c r="J38" s="2">
        <f>tblTankTypes.Base[[#This Row],[Resource₂·Volume]]</f>
        <v>0</v>
      </c>
      <c r="K38" s="13">
        <f>tblTankTypes.Base[[#This Row],[Tank·Mass·Wet]]</f>
        <v>0.34320000000000001</v>
      </c>
    </row>
    <row r="39" spans="1:11" ht="15.95" customHeight="1" x14ac:dyDescent="0.35">
      <c r="A39" s="1" t="str">
        <f>tblTankTypes.Base[[#This Row],[TankType]]</f>
        <v>CH4Gas</v>
      </c>
      <c r="B39" s="15">
        <f>ROUND(0.001 * tblTankTypes.Base[[#This Row],[Tank·Mass·Dry]], -_xlfn.FLOOR.MATH(IFERROR(LOG10(tblTankTypes.Base[[#This Row],[Tank·Mass·Dry]]), 0)) + 5)</f>
        <v>4.3000000000000002E-5</v>
      </c>
      <c r="C39" s="15">
        <f>ROUND(tblTankTypes.Base[[#This Row],[Tank·Cost·Dry]], -_xlfn.FLOOR.MATH(IFERROR(LOG10(tblTankTypes.Base[[#This Row],[Tank·Cost·Dry]]), 0)) + 2)</f>
        <v>3.44E-2</v>
      </c>
      <c r="D39" s="2">
        <f>ROUND(tblTankTypes.Base[[#This Row],[Tank·Cost·Wet]], -_xlfn.FLOOR.MATH(IFERROR(LOG10(tblTankTypes.Base[[#This Row],[Tank·Cost·Wet]]), 0)) + 2)</f>
        <v>0.37</v>
      </c>
      <c r="E39" s="2" t="str">
        <f>tblTankTypes.Base[[#This Row],[Resource₀]]</f>
        <v>Methane</v>
      </c>
      <c r="F39" s="2">
        <f>tblTankTypes.Base[[#This Row],[Resource₀·Volume]]</f>
        <v>180</v>
      </c>
      <c r="G39" s="2" t="str">
        <f>tblTankTypes.Base[[#This Row],[Resource₁]]</f>
        <v>—</v>
      </c>
      <c r="H39" s="2">
        <f>tblTankTypes.Base[[#This Row],[Resource₁·Volume]]</f>
        <v>0</v>
      </c>
      <c r="I39" s="2" t="str">
        <f>tblTankTypes.Base[[#This Row],[Resource₂]]</f>
        <v>—</v>
      </c>
      <c r="J39" s="2">
        <f>tblTankTypes.Base[[#This Row],[Resource₂·Volume]]</f>
        <v>0</v>
      </c>
      <c r="K39" s="13">
        <f>tblTankTypes.Base[[#This Row],[Tank·Mass·Wet]]</f>
        <v>0.17208000000000001</v>
      </c>
    </row>
    <row r="40" spans="1:11" ht="15.95" customHeight="1" x14ac:dyDescent="0.35">
      <c r="A40" s="1" t="str">
        <f>tblTankTypes.Base[[#This Row],[TankType]]</f>
        <v>NH3Gas</v>
      </c>
      <c r="B40" s="15">
        <f>ROUND(0.001 * tblTankTypes.Base[[#This Row],[Tank·Mass·Dry]], -_xlfn.FLOOR.MATH(IFERROR(LOG10(tblTankTypes.Base[[#This Row],[Tank·Mass·Dry]]), 0)) + 5)</f>
        <v>4.6100000000000002E-5</v>
      </c>
      <c r="C40" s="15">
        <f>ROUND(tblTankTypes.Base[[#This Row],[Tank·Cost·Dry]], -_xlfn.FLOOR.MATH(IFERROR(LOG10(tblTankTypes.Base[[#This Row],[Tank·Cost·Dry]]), 0)) + 2)</f>
        <v>3.6900000000000002E-2</v>
      </c>
      <c r="D40" s="2">
        <f>ROUND(tblTankTypes.Base[[#This Row],[Tank·Cost·Wet]], -_xlfn.FLOOR.MATH(IFERROR(LOG10(tblTankTypes.Base[[#This Row],[Tank·Cost·Wet]]), 0)) + 2)</f>
        <v>6.3899999999999998E-2</v>
      </c>
      <c r="E40" s="2" t="str">
        <f>tblTankTypes.Base[[#This Row],[Resource₀]]</f>
        <v>Ammonia</v>
      </c>
      <c r="F40" s="2">
        <f>tblTankTypes.Base[[#This Row],[Resource₀·Volume]]</f>
        <v>180</v>
      </c>
      <c r="G40" s="2" t="str">
        <f>tblTankTypes.Base[[#This Row],[Resource₁]]</f>
        <v>—</v>
      </c>
      <c r="H40" s="2">
        <f>tblTankTypes.Base[[#This Row],[Resource₁·Volume]]</f>
        <v>0</v>
      </c>
      <c r="I40" s="2" t="str">
        <f>tblTankTypes.Base[[#This Row],[Resource₂]]</f>
        <v>—</v>
      </c>
      <c r="J40" s="2">
        <f>tblTankTypes.Base[[#This Row],[Resource₂·Volume]]</f>
        <v>0</v>
      </c>
      <c r="K40" s="13">
        <f>tblTankTypes.Base[[#This Row],[Tank·Mass·Wet]]</f>
        <v>0.18456</v>
      </c>
    </row>
    <row r="41" spans="1:11" ht="15.95" customHeight="1" x14ac:dyDescent="0.35">
      <c r="A41" s="1" t="str">
        <f>tblTankTypes.Base[[#This Row],[TankType]]</f>
        <v>N2Gas</v>
      </c>
      <c r="B41" s="15">
        <f>ROUND(0.001 * tblTankTypes.Base[[#This Row],[Tank·Mass·Dry]], -_xlfn.FLOOR.MATH(IFERROR(LOG10(tblTankTypes.Base[[#This Row],[Tank·Mass·Dry]]), 0)) + 5)</f>
        <v>7.5099999999999996E-5</v>
      </c>
      <c r="C41" s="15">
        <f>ROUND(tblTankTypes.Base[[#This Row],[Tank·Cost·Dry]], -_xlfn.FLOOR.MATH(IFERROR(LOG10(tblTankTypes.Base[[#This Row],[Tank·Cost·Dry]]), 0)) + 2)</f>
        <v>0.06</v>
      </c>
      <c r="D41" s="2">
        <f>ROUND(tblTankTypes.Base[[#This Row],[Tank·Cost·Wet]], -_xlfn.FLOOR.MATH(IFERROR(LOG10(tblTankTypes.Base[[#This Row],[Tank·Cost·Wet]]), 0)) + 2)</f>
        <v>6.9000000000000006E-2</v>
      </c>
      <c r="E41" s="2" t="str">
        <f>tblTankTypes.Base[[#This Row],[Resource₀]]</f>
        <v>Nitrogen</v>
      </c>
      <c r="F41" s="2">
        <f>tblTankTypes.Base[[#This Row],[Resource₀·Volume]]</f>
        <v>180</v>
      </c>
      <c r="G41" s="2" t="str">
        <f>tblTankTypes.Base[[#This Row],[Resource₁]]</f>
        <v>—</v>
      </c>
      <c r="H41" s="2">
        <f>tblTankTypes.Base[[#This Row],[Resource₁·Volume]]</f>
        <v>0</v>
      </c>
      <c r="I41" s="2" t="str">
        <f>tblTankTypes.Base[[#This Row],[Resource₂]]</f>
        <v>—</v>
      </c>
      <c r="J41" s="2">
        <f>tblTankTypes.Base[[#This Row],[Resource₂·Volume]]</f>
        <v>0</v>
      </c>
      <c r="K41" s="13">
        <f>tblTankTypes.Base[[#This Row],[Tank·Mass·Wet]]</f>
        <v>0.30023999999999995</v>
      </c>
    </row>
    <row r="42" spans="1:11" ht="15.95" customHeight="1" x14ac:dyDescent="0.35">
      <c r="A42" s="1" t="str">
        <f>tblTankTypes.Base[[#This Row],[TankType]]</f>
        <v>CO2Gas</v>
      </c>
      <c r="B42" s="15">
        <f>ROUND(0.001 * tblTankTypes.Base[[#This Row],[Tank·Mass·Dry]], -_xlfn.FLOOR.MATH(IFERROR(LOG10(tblTankTypes.Base[[#This Row],[Tank·Mass·Dry]]), 0)) + 5)</f>
        <v>1.17E-4</v>
      </c>
      <c r="C42" s="15">
        <f>ROUND(tblTankTypes.Base[[#This Row],[Tank·Cost·Dry]], -_xlfn.FLOOR.MATH(IFERROR(LOG10(tblTankTypes.Base[[#This Row],[Tank·Cost·Dry]]), 0)) + 2)</f>
        <v>9.3600000000000003E-2</v>
      </c>
      <c r="D42" s="2">
        <f>ROUND(tblTankTypes.Base[[#This Row],[Tank·Cost·Wet]], -_xlfn.FLOOR.MATH(IFERROR(LOG10(tblTankTypes.Base[[#This Row],[Tank·Cost·Wet]]), 0)) + 2)</f>
        <v>9.4200000000000006E-2</v>
      </c>
      <c r="E42" s="2" t="str">
        <f>tblTankTypes.Base[[#This Row],[Resource₀]]</f>
        <v>CarbonDioxide</v>
      </c>
      <c r="F42" s="2">
        <f>tblTankTypes.Base[[#This Row],[Resource₀·Volume]]</f>
        <v>180</v>
      </c>
      <c r="G42" s="2" t="str">
        <f>tblTankTypes.Base[[#This Row],[Resource₁]]</f>
        <v>—</v>
      </c>
      <c r="H42" s="2">
        <f>tblTankTypes.Base[[#This Row],[Resource₁·Volume]]</f>
        <v>0</v>
      </c>
      <c r="I42" s="2" t="str">
        <f>tblTankTypes.Base[[#This Row],[Resource₂]]</f>
        <v>—</v>
      </c>
      <c r="J42" s="2">
        <f>tblTankTypes.Base[[#This Row],[Resource₂·Volume]]</f>
        <v>0</v>
      </c>
      <c r="K42" s="13">
        <f>tblTankTypes.Base[[#This Row],[Tank·Mass·Wet]]</f>
        <v>0.46823999999999999</v>
      </c>
    </row>
    <row r="43" spans="1:11" ht="15.95" customHeight="1" x14ac:dyDescent="0.35">
      <c r="A43" s="1" t="str">
        <f>tblTankTypes.Base[[#This Row],[TankType]]</f>
        <v>LqdO2Cryo</v>
      </c>
      <c r="B43" s="15">
        <f>ROUND(0.001 * tblTankTypes.Base[[#This Row],[Tank·Mass·Dry]], -_xlfn.FLOOR.MATH(IFERROR(LOG10(tblTankTypes.Base[[#This Row],[Tank·Mass·Dry]]), 0)) + 5)</f>
        <v>1.4300000000000001E-4</v>
      </c>
      <c r="C43" s="15">
        <f>ROUND(tblTankTypes.Base[[#This Row],[Tank·Cost·Dry]], -_xlfn.FLOOR.MATH(IFERROR(LOG10(tblTankTypes.Base[[#This Row],[Tank·Cost·Dry]]), 0)) + 2)</f>
        <v>0.57099999999999995</v>
      </c>
      <c r="D43" s="2">
        <f>ROUND(tblTankTypes.Base[[#This Row],[Tank·Cost·Wet]], -_xlfn.FLOOR.MATH(IFERROR(LOG10(tblTankTypes.Base[[#This Row],[Tank·Cost·Wet]]), 0)) + 2)</f>
        <v>0.61599999999999999</v>
      </c>
      <c r="E43" s="2" t="str">
        <f>tblTankTypes.Base[[#This Row],[Resource₀]]</f>
        <v>LqdOxygen</v>
      </c>
      <c r="F43" s="2">
        <f>tblTankTypes.Base[[#This Row],[Resource₀·Volume]]</f>
        <v>1</v>
      </c>
      <c r="G43" s="2" t="str">
        <f>tblTankTypes.Base[[#This Row],[Resource₁]]</f>
        <v>—</v>
      </c>
      <c r="H43" s="2">
        <f>tblTankTypes.Base[[#This Row],[Resource₁·Volume]]</f>
        <v>0</v>
      </c>
      <c r="I43" s="2" t="str">
        <f>tblTankTypes.Base[[#This Row],[Resource₂]]</f>
        <v>—</v>
      </c>
      <c r="J43" s="2">
        <f>tblTankTypes.Base[[#This Row],[Resource₂·Volume]]</f>
        <v>0</v>
      </c>
      <c r="K43" s="13">
        <f>tblTankTypes.Base[[#This Row],[Tank·Mass·Wet]]</f>
        <v>1.283625</v>
      </c>
    </row>
    <row r="44" spans="1:11" ht="15.95" customHeight="1" x14ac:dyDescent="0.35">
      <c r="A44" s="1" t="str">
        <f>tblTankTypes.Base[[#This Row],[TankType]]</f>
        <v>LqdNH3Cryo</v>
      </c>
      <c r="B44" s="15">
        <f>ROUND(0.001 * tblTankTypes.Base[[#This Row],[Tank·Mass·Dry]], -_xlfn.FLOOR.MATH(IFERROR(LOG10(tblTankTypes.Base[[#This Row],[Tank·Mass·Dry]]), 0)) + 5)</f>
        <v>1.3999999999999999E-4</v>
      </c>
      <c r="C44" s="15">
        <f>ROUND(tblTankTypes.Base[[#This Row],[Tank·Cost·Dry]], -_xlfn.FLOOR.MATH(IFERROR(LOG10(tblTankTypes.Base[[#This Row],[Tank·Cost·Dry]]), 0)) + 2)</f>
        <v>0.56200000000000006</v>
      </c>
      <c r="D44" s="2">
        <f>ROUND(tblTankTypes.Base[[#This Row],[Tank·Cost·Wet]], -_xlfn.FLOOR.MATH(IFERROR(LOG10(tblTankTypes.Base[[#This Row],[Tank·Cost·Wet]]), 0)) + 2)</f>
        <v>0.70399999999999996</v>
      </c>
      <c r="E44" s="2" t="str">
        <f>tblTankTypes.Base[[#This Row],[Resource₀]]</f>
        <v>LqdAmmonia</v>
      </c>
      <c r="F44" s="2">
        <f>tblTankTypes.Base[[#This Row],[Resource₀·Volume]]</f>
        <v>1</v>
      </c>
      <c r="G44" s="2" t="str">
        <f>tblTankTypes.Base[[#This Row],[Resource₁]]</f>
        <v>—</v>
      </c>
      <c r="H44" s="2">
        <f>tblTankTypes.Base[[#This Row],[Resource₁·Volume]]</f>
        <v>0</v>
      </c>
      <c r="I44" s="2" t="str">
        <f>tblTankTypes.Base[[#This Row],[Resource₂]]</f>
        <v>—</v>
      </c>
      <c r="J44" s="2">
        <f>tblTankTypes.Base[[#This Row],[Resource₂·Volume]]</f>
        <v>0</v>
      </c>
      <c r="K44" s="13">
        <f>tblTankTypes.Base[[#This Row],[Tank·Mass·Wet]]</f>
        <v>0.84251999999999994</v>
      </c>
    </row>
    <row r="45" spans="1:11" ht="15.95" customHeight="1" x14ac:dyDescent="0.35">
      <c r="A45" s="1" t="str">
        <f>tblTankTypes.Base[[#This Row],[TankType]]</f>
        <v>LqdN2Cryo</v>
      </c>
      <c r="B45" s="15">
        <f>ROUND(0.001 * tblTankTypes.Base[[#This Row],[Tank·Mass·Dry]], -_xlfn.FLOOR.MATH(IFERROR(LOG10(tblTankTypes.Base[[#This Row],[Tank·Mass·Dry]]), 0)) + 5)</f>
        <v>1.65E-4</v>
      </c>
      <c r="C45" s="15">
        <f>ROUND(tblTankTypes.Base[[#This Row],[Tank·Cost·Dry]], -_xlfn.FLOOR.MATH(IFERROR(LOG10(tblTankTypes.Base[[#This Row],[Tank·Cost·Dry]]), 0)) + 2)</f>
        <v>0.66</v>
      </c>
      <c r="D45" s="2">
        <f>ROUND(tblTankTypes.Base[[#This Row],[Tank·Cost·Wet]], -_xlfn.FLOOR.MATH(IFERROR(LOG10(tblTankTypes.Base[[#This Row],[Tank·Cost·Wet]]), 0)) + 2)</f>
        <v>0.66800000000000004</v>
      </c>
      <c r="E45" s="2" t="str">
        <f>tblTankTypes.Base[[#This Row],[Resource₀]]</f>
        <v>LqdNitrogen</v>
      </c>
      <c r="F45" s="2">
        <f>tblTankTypes.Base[[#This Row],[Resource₀·Volume]]</f>
        <v>1</v>
      </c>
      <c r="G45" s="2" t="str">
        <f>tblTankTypes.Base[[#This Row],[Resource₁]]</f>
        <v>—</v>
      </c>
      <c r="H45" s="2">
        <f>tblTankTypes.Base[[#This Row],[Resource₁·Volume]]</f>
        <v>0</v>
      </c>
      <c r="I45" s="2" t="str">
        <f>tblTankTypes.Base[[#This Row],[Resource₂]]</f>
        <v>—</v>
      </c>
      <c r="J45" s="2">
        <f>tblTankTypes.Base[[#This Row],[Resource₂·Volume]]</f>
        <v>0</v>
      </c>
      <c r="K45" s="13">
        <f>tblTankTypes.Base[[#This Row],[Tank·Mass·Wet]]</f>
        <v>0.98988839999999989</v>
      </c>
    </row>
    <row r="46" spans="1:11" ht="15.95" customHeight="1" x14ac:dyDescent="0.35">
      <c r="A46" s="1" t="str">
        <f>tblTankTypes.Base[[#This Row],[TankType]]</f>
        <v>LqdCO2Cryo</v>
      </c>
      <c r="B46" s="15">
        <f>ROUND(0.001 * tblTankTypes.Base[[#This Row],[Tank·Mass·Dry]], -_xlfn.FLOOR.MATH(IFERROR(LOG10(tblTankTypes.Base[[#This Row],[Tank·Mass·Dry]]), 0)) + 5)</f>
        <v>2.3499999999999999E-4</v>
      </c>
      <c r="C46" s="15">
        <f>ROUND(tblTankTypes.Base[[#This Row],[Tank·Cost·Dry]], -_xlfn.FLOOR.MATH(IFERROR(LOG10(tblTankTypes.Base[[#This Row],[Tank·Cost·Dry]]), 0)) + 2)</f>
        <v>0.93899999999999995</v>
      </c>
      <c r="D46" s="2">
        <f>ROUND(tblTankTypes.Base[[#This Row],[Tank·Cost·Wet]], -_xlfn.FLOOR.MATH(IFERROR(LOG10(tblTankTypes.Base[[#This Row],[Tank·Cost·Wet]]), 0)) + 2)</f>
        <v>0.94</v>
      </c>
      <c r="E46" s="2" t="str">
        <f>tblTankTypes.Base[[#This Row],[Resource₀]]</f>
        <v>LqdCO2</v>
      </c>
      <c r="F46" s="2">
        <f>tblTankTypes.Base[[#This Row],[Resource₀·Volume]]</f>
        <v>1</v>
      </c>
      <c r="G46" s="2" t="str">
        <f>tblTankTypes.Base[[#This Row],[Resource₁]]</f>
        <v>—</v>
      </c>
      <c r="H46" s="2">
        <f>tblTankTypes.Base[[#This Row],[Resource₁·Volume]]</f>
        <v>0</v>
      </c>
      <c r="I46" s="2" t="str">
        <f>tblTankTypes.Base[[#This Row],[Resource₂]]</f>
        <v>—</v>
      </c>
      <c r="J46" s="2">
        <f>tblTankTypes.Base[[#This Row],[Resource₂·Volume]]</f>
        <v>0</v>
      </c>
      <c r="K46" s="13">
        <f>tblTankTypes.Base[[#This Row],[Tank·Mass·Wet]]</f>
        <v>1.4078999999999999</v>
      </c>
    </row>
    <row r="47" spans="1:11" ht="15.95" customHeight="1" x14ac:dyDescent="0.35">
      <c r="A47" s="1" t="str">
        <f>tblTankTypes.Base[[#This Row],[TankType]]</f>
        <v>LqdD2Cryo</v>
      </c>
      <c r="B47" s="15">
        <f>ROUND(0.001 * tblTankTypes.Base[[#This Row],[Tank·Mass·Dry]], -_xlfn.FLOOR.MATH(IFERROR(LOG10(tblTankTypes.Base[[#This Row],[Tank·Mass·Dry]]), 0)) + 5)</f>
        <v>3.2499999999999997E-5</v>
      </c>
      <c r="C47" s="15">
        <f>ROUND(tblTankTypes.Base[[#This Row],[Tank·Cost·Dry]], -_xlfn.FLOOR.MATH(IFERROR(LOG10(tblTankTypes.Base[[#This Row],[Tank·Cost·Dry]]), 0)) + 2)</f>
        <v>0.13</v>
      </c>
      <c r="D47" s="2">
        <f>ROUND(tblTankTypes.Base[[#This Row],[Tank·Cost·Wet]], -_xlfn.FLOOR.MATH(IFERROR(LOG10(tblTankTypes.Base[[#This Row],[Tank·Cost·Wet]]), 0)) + 2)</f>
        <v>0.38600000000000001</v>
      </c>
      <c r="E47" s="2" t="str">
        <f>tblTankTypes.Base[[#This Row],[Resource₀]]</f>
        <v>LqdDeuterium</v>
      </c>
      <c r="F47" s="2">
        <f>tblTankTypes.Base[[#This Row],[Resource₀·Volume]]</f>
        <v>1</v>
      </c>
      <c r="G47" s="2" t="str">
        <f>tblTankTypes.Base[[#This Row],[Resource₁]]</f>
        <v>—</v>
      </c>
      <c r="H47" s="2">
        <f>tblTankTypes.Base[[#This Row],[Resource₁·Volume]]</f>
        <v>0</v>
      </c>
      <c r="I47" s="2" t="str">
        <f>tblTankTypes.Base[[#This Row],[Resource₂]]</f>
        <v>—</v>
      </c>
      <c r="J47" s="2">
        <f>tblTankTypes.Base[[#This Row],[Resource₂·Volume]]</f>
        <v>0</v>
      </c>
      <c r="K47" s="13">
        <f>tblTankTypes.Base[[#This Row],[Tank·Mass·Wet]]</f>
        <v>0.19488</v>
      </c>
    </row>
    <row r="48" spans="1:11" ht="15.95" customHeight="1" x14ac:dyDescent="0.35">
      <c r="A48" s="1" t="str">
        <f>tblTankTypes.Base[[#This Row],[TankType]]</f>
        <v>Lqd3HeCryo</v>
      </c>
      <c r="B48" s="15">
        <f>ROUND(0.001 * tblTankTypes.Base[[#This Row],[Tank·Mass·Dry]], -_xlfn.FLOOR.MATH(IFERROR(LOG10(tblTankTypes.Base[[#This Row],[Tank·Mass·Dry]]), 0)) + 5)</f>
        <v>1.1800000000000001E-5</v>
      </c>
      <c r="C48" s="15">
        <f>ROUND(tblTankTypes.Base[[#This Row],[Tank·Cost·Dry]], -_xlfn.FLOOR.MATH(IFERROR(LOG10(tblTankTypes.Base[[#This Row],[Tank·Cost·Dry]]), 0)) + 2)</f>
        <v>4.7199999999999999E-2</v>
      </c>
      <c r="D48" s="2">
        <f>ROUND(tblTankTypes.Base[[#This Row],[Tank·Cost·Wet]], -_xlfn.FLOOR.MATH(IFERROR(LOG10(tblTankTypes.Base[[#This Row],[Tank·Cost·Wet]]), 0)) + 2)</f>
        <v>52.6</v>
      </c>
      <c r="E48" s="2" t="str">
        <f>tblTankTypes.Base[[#This Row],[Resource₀]]</f>
        <v>LqdHe3</v>
      </c>
      <c r="F48" s="2">
        <f>tblTankTypes.Base[[#This Row],[Resource₀·Volume]]</f>
        <v>1</v>
      </c>
      <c r="G48" s="2" t="str">
        <f>tblTankTypes.Base[[#This Row],[Resource₁]]</f>
        <v>—</v>
      </c>
      <c r="H48" s="2">
        <f>tblTankTypes.Base[[#This Row],[Resource₁·Volume]]</f>
        <v>0</v>
      </c>
      <c r="I48" s="2" t="str">
        <f>tblTankTypes.Base[[#This Row],[Resource₂]]</f>
        <v>—</v>
      </c>
      <c r="J48" s="2">
        <f>tblTankTypes.Base[[#This Row],[Resource₂·Volume]]</f>
        <v>0</v>
      </c>
      <c r="K48" s="13">
        <f>tblTankTypes.Base[[#This Row],[Tank·Mass·Wet]]</f>
        <v>7.0800000000000002E-2</v>
      </c>
    </row>
    <row r="49" spans="1:11" ht="15.95" customHeight="1" x14ac:dyDescent="0.35">
      <c r="A49" s="1" t="str">
        <f>tblTankTypes.Base[[#This Row],[TankType]]</f>
        <v>NSW</v>
      </c>
      <c r="B49" s="15">
        <f>ROUND(0.001 * tblTankTypes.Base[[#This Row],[Tank·Mass·Dry]], -_xlfn.FLOOR.MATH(IFERROR(LOG10(tblTankTypes.Base[[#This Row],[Tank·Mass·Dry]]), 0)) + 5)</f>
        <v>1.3100000000000001E-4</v>
      </c>
      <c r="C49" s="15">
        <f>ROUND(tblTankTypes.Base[[#This Row],[Tank·Cost·Dry]], -_xlfn.FLOOR.MATH(IFERROR(LOG10(tblTankTypes.Base[[#This Row],[Tank·Cost·Dry]]), 0)) + 2)</f>
        <v>0.105</v>
      </c>
      <c r="D49" s="2">
        <f>ROUND(tblTankTypes.Base[[#This Row],[Tank·Cost·Wet]], -_xlfn.FLOOR.MATH(IFERROR(LOG10(tblTankTypes.Base[[#This Row],[Tank·Cost·Wet]]), 0)) + 2)</f>
        <v>4.1100000000000003</v>
      </c>
      <c r="E49" s="13" t="str">
        <f>tblTankTypes.Base[[#This Row],[Resource₀]]</f>
        <v>NuclearSaltWater</v>
      </c>
      <c r="F49" s="13">
        <f>tblTankTypes.Base[[#This Row],[Resource₀·Volume]]</f>
        <v>1</v>
      </c>
      <c r="G49" s="13" t="str">
        <f>tblTankTypes.Base[[#This Row],[Resource₁]]</f>
        <v>—</v>
      </c>
      <c r="H49" s="13">
        <f>tblTankTypes.Base[[#This Row],[Resource₁·Volume]]</f>
        <v>0</v>
      </c>
      <c r="I49" s="13" t="str">
        <f>tblTankTypes.Base[[#This Row],[Resource₂]]</f>
        <v>—</v>
      </c>
      <c r="J49" s="13">
        <f>tblTankTypes.Base[[#This Row],[Resource₂·Volume]]</f>
        <v>0</v>
      </c>
      <c r="K49" s="13">
        <f>tblTankTypes.Base[[#This Row],[Tank·Mass·Wet]]</f>
        <v>1.1812500000000001</v>
      </c>
    </row>
    <row r="50" spans="1:11" ht="15.95" customHeight="1" x14ac:dyDescent="0.35">
      <c r="A50" s="1" t="str">
        <f>tblTankTypes.Base[[#This Row],[TankType]]</f>
        <v>FissionParticles</v>
      </c>
      <c r="B50" s="15">
        <f>ROUND(0.001 * tblTankTypes.Base[[#This Row],[Tank·Mass·Dry]], -_xlfn.FLOOR.MATH(IFERROR(LOG10(tblTankTypes.Base[[#This Row],[Tank·Mass·Dry]]), 0)) + 5)</f>
        <v>5.7599999999999997E-5</v>
      </c>
      <c r="C50" s="15">
        <f>ROUND(tblTankTypes.Base[[#This Row],[Tank·Cost·Dry]], -_xlfn.FLOOR.MATH(IFERROR(LOG10(tblTankTypes.Base[[#This Row],[Tank·Cost·Dry]]), 0)) + 2)</f>
        <v>4.6100000000000002E-2</v>
      </c>
      <c r="D50" s="2">
        <f>ROUND(tblTankTypes.Base[[#This Row],[Tank·Cost·Wet]], -_xlfn.FLOOR.MATH(IFERROR(LOG10(tblTankTypes.Base[[#This Row],[Tank·Cost·Wet]]), 0)) + 2)</f>
        <v>1.05</v>
      </c>
      <c r="E50" s="13" t="str">
        <f>tblTankTypes.Base[[#This Row],[Resource₀]]</f>
        <v>FissionParticles</v>
      </c>
      <c r="F50" s="13">
        <f>tblTankTypes.Base[[#This Row],[Resource₀·Volume]]</f>
        <v>0.02</v>
      </c>
      <c r="G50" s="13" t="str">
        <f>tblTankTypes.Base[[#This Row],[Resource₁]]</f>
        <v>—</v>
      </c>
      <c r="H50" s="13">
        <f>tblTankTypes.Base[[#This Row],[Resource₁·Volume]]</f>
        <v>0</v>
      </c>
      <c r="I50" s="13" t="str">
        <f>tblTankTypes.Base[[#This Row],[Resource₂]]</f>
        <v>—</v>
      </c>
      <c r="J50" s="13">
        <f>tblTankTypes.Base[[#This Row],[Resource₂·Volume]]</f>
        <v>0</v>
      </c>
      <c r="K50" s="13">
        <f>tblTankTypes.Base[[#This Row],[Tank·Mass·Wet]]</f>
        <v>8.6400000000000005E-2</v>
      </c>
    </row>
    <row r="51" spans="1:11" ht="15.95" customHeight="1" x14ac:dyDescent="0.35">
      <c r="A51" s="1" t="str">
        <f>tblTankTypes.Base[[#This Row],[TankType]]</f>
        <v>Lqd3HeD2Cryo</v>
      </c>
      <c r="B51" s="15">
        <f>ROUND(0.001 * tblTankTypes.Base[[#This Row],[Tank·Mass·Dry]], -_xlfn.FLOOR.MATH(IFERROR(LOG10(tblTankTypes.Base[[#This Row],[Tank·Mass·Dry]]), 0)) + 5)</f>
        <v>1.1800000000000001E-5</v>
      </c>
      <c r="C51" s="15">
        <f>ROUND(tblTankTypes.Base[[#This Row],[Tank·Cost·Dry]], -_xlfn.FLOOR.MATH(IFERROR(LOG10(tblTankTypes.Base[[#This Row],[Tank·Cost·Dry]]), 0)) + 2)</f>
        <v>4.7199999999999999E-2</v>
      </c>
      <c r="D51" s="2">
        <f>ROUND(tblTankTypes.Base[[#This Row],[Tank·Cost·Wet]], -_xlfn.FLOOR.MATH(IFERROR(LOG10(tblTankTypes.Base[[#This Row],[Tank·Cost·Wet]]), 0)) + 2)</f>
        <v>52.6</v>
      </c>
      <c r="E51" s="13" t="str">
        <f>tblTankTypes.Base[[#This Row],[Resource₀]]</f>
        <v>LqdHe3</v>
      </c>
      <c r="F51" s="13">
        <f>tblTankTypes.Base[[#This Row],[Resource₀·Volume]]</f>
        <v>0.4</v>
      </c>
      <c r="G51" s="13" t="str">
        <f>tblTankTypes.Base[[#This Row],[Resource₁]]</f>
        <v>LqdHe3</v>
      </c>
      <c r="H51" s="13">
        <f>tblTankTypes.Base[[#This Row],[Resource₁·Volume]]</f>
        <v>0.6</v>
      </c>
      <c r="I51" s="13" t="str">
        <f>tblTankTypes.Base[[#This Row],[Resource₂]]</f>
        <v>—</v>
      </c>
      <c r="J51" s="13">
        <f>tblTankTypes.Base[[#This Row],[Resource₂·Volume]]</f>
        <v>0</v>
      </c>
      <c r="K51" s="13">
        <f>tblTankTypes.Base[[#This Row],[Tank·Mass·Wet]]</f>
        <v>7.0800000000000002E-2</v>
      </c>
    </row>
    <row r="52" spans="1:11" ht="15.95" customHeight="1" x14ac:dyDescent="0.35">
      <c r="A52" s="1" t="str">
        <f>tblTankTypes.Base[[#This Row],[TankType]]</f>
        <v>FissionPellets</v>
      </c>
      <c r="B52" s="15">
        <f>ROUND(0.001 * tblTankTypes.Base[[#This Row],[Tank·Mass·Dry]], -_xlfn.FLOOR.MATH(IFERROR(LOG10(tblTankTypes.Base[[#This Row],[Tank·Mass·Dry]]), 0)) + 5)</f>
        <v>0</v>
      </c>
      <c r="C52" s="15">
        <f>ROUND(tblTankTypes.Base[[#This Row],[Tank·Cost·Dry]], -_xlfn.FLOOR.MATH(IFERROR(LOG10(tblTankTypes.Base[[#This Row],[Tank·Cost·Dry]]), 0)) + 2)</f>
        <v>0</v>
      </c>
      <c r="D52" s="2">
        <f>ROUND(tblTankTypes.Base[[#This Row],[Tank·Cost·Wet]], -_xlfn.FLOOR.MATH(IFERROR(LOG10(tblTankTypes.Base[[#This Row],[Tank·Cost·Wet]]), 0)) + 2)</f>
        <v>12</v>
      </c>
      <c r="E52" s="13" t="str">
        <f>tblTankTypes.Base[[#This Row],[Resource₀]]</f>
        <v>FissionPellets</v>
      </c>
      <c r="F52" s="13">
        <f>tblTankTypes.Base[[#This Row],[Resource₀·Volume]]</f>
        <v>1</v>
      </c>
      <c r="G52" s="13" t="str">
        <f>tblTankTypes.Base[[#This Row],[Resource₁]]</f>
        <v>—</v>
      </c>
      <c r="H52" s="13">
        <f>tblTankTypes.Base[[#This Row],[Resource₁·Volume]]</f>
        <v>0</v>
      </c>
      <c r="I52" s="13" t="str">
        <f>tblTankTypes.Base[[#This Row],[Resource₂]]</f>
        <v>—</v>
      </c>
      <c r="J52" s="13">
        <f>tblTankTypes.Base[[#This Row],[Resource₂·Volume]]</f>
        <v>0</v>
      </c>
      <c r="K52" s="13">
        <f>tblTankTypes.Base[[#This Row],[Tank·Mass·Wet]]</f>
        <v>1</v>
      </c>
    </row>
    <row r="53" spans="1:11" ht="15.95" customHeight="1" x14ac:dyDescent="0.35">
      <c r="A53" s="1" t="str">
        <f>tblTankTypes.Base[[#This Row],[TankType]]</f>
        <v>FusionPellets</v>
      </c>
      <c r="B53" s="15">
        <f>ROUND(0.001 * tblTankTypes.Base[[#This Row],[Tank·Mass·Dry]], -_xlfn.FLOOR.MATH(IFERROR(LOG10(tblTankTypes.Base[[#This Row],[Tank·Mass·Dry]]), 0)) + 5)</f>
        <v>0</v>
      </c>
      <c r="C53" s="15">
        <f>ROUND(tblTankTypes.Base[[#This Row],[Tank·Cost·Dry]], -_xlfn.FLOOR.MATH(IFERROR(LOG10(tblTankTypes.Base[[#This Row],[Tank·Cost·Dry]]), 0)) + 2)</f>
        <v>0</v>
      </c>
      <c r="D53" s="2">
        <f>ROUND(tblTankTypes.Base[[#This Row],[Tank·Cost·Wet]], -_xlfn.FLOOR.MATH(IFERROR(LOG10(tblTankTypes.Base[[#This Row],[Tank·Cost·Wet]]), 0)) + 2)</f>
        <v>150</v>
      </c>
      <c r="E53" s="13" t="str">
        <f>tblTankTypes.Base[[#This Row],[Resource₀]]</f>
        <v>FusionPellets</v>
      </c>
      <c r="F53" s="13">
        <f>tblTankTypes.Base[[#This Row],[Resource₀·Volume]]</f>
        <v>1</v>
      </c>
      <c r="G53" s="13" t="str">
        <f>tblTankTypes.Base[[#This Row],[Resource₁]]</f>
        <v>—</v>
      </c>
      <c r="H53" s="13">
        <f>tblTankTypes.Base[[#This Row],[Resource₁·Volume]]</f>
        <v>0</v>
      </c>
      <c r="I53" s="13" t="str">
        <f>tblTankTypes.Base[[#This Row],[Resource₂]]</f>
        <v>—</v>
      </c>
      <c r="J53" s="13">
        <f>tblTankTypes.Base[[#This Row],[Resource₂·Volume]]</f>
        <v>0</v>
      </c>
      <c r="K53" s="13">
        <f>tblTankTypes.Base[[#This Row],[Tank·Mass·Wet]]</f>
        <v>0.216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tabSelected="1" defaultGridColor="0" colorId="23" workbookViewId="0"/>
  </sheetViews>
  <sheetFormatPr defaultColWidth="18.625" defaultRowHeight="15.95" customHeight="1" x14ac:dyDescent="0.35"/>
  <cols>
    <col min="1" max="16384" width="18.625" style="1"/>
  </cols>
  <sheetData>
    <row r="1" spans="1:1" ht="15.95" customHeight="1" x14ac:dyDescent="0.35">
      <c r="A1" s="1" t="str" cm="1">
        <f t="array" ref="A1:A65">tblResources[Resource]</f>
        <v>—</v>
      </c>
    </row>
    <row r="2" spans="1:1" ht="15.95" customHeight="1" x14ac:dyDescent="0.35">
      <c r="A2" s="1" t="str">
        <v>LiquidFuel</v>
      </c>
    </row>
    <row r="3" spans="1:1" ht="15.95" customHeight="1" x14ac:dyDescent="0.35">
      <c r="A3" s="1" t="str">
        <v>Kerbosene</v>
      </c>
    </row>
    <row r="4" spans="1:1" ht="15.95" customHeight="1" x14ac:dyDescent="0.35">
      <c r="A4" s="1" t="str">
        <v>Oxidizer</v>
      </c>
    </row>
    <row r="5" spans="1:1" ht="15.95" customHeight="1" x14ac:dyDescent="0.35">
      <c r="A5" s="1" t="str">
        <v>LqdOxygen</v>
      </c>
    </row>
    <row r="6" spans="1:1" ht="15.95" customHeight="1" x14ac:dyDescent="0.35">
      <c r="A6" s="1" t="str">
        <v>SolidFuel</v>
      </c>
    </row>
    <row r="7" spans="1:1" ht="15.95" customHeight="1" x14ac:dyDescent="0.35">
      <c r="A7" s="1" t="str">
        <v>SRBF</v>
      </c>
    </row>
    <row r="8" spans="1:1" ht="15.95" customHeight="1" x14ac:dyDescent="0.35">
      <c r="A8" s="1" t="str">
        <v>Monopropellant</v>
      </c>
    </row>
    <row r="9" spans="1:1" ht="15.95" customHeight="1" x14ac:dyDescent="0.35">
      <c r="A9" s="1" t="str">
        <v>Monoprop</v>
      </c>
    </row>
    <row r="10" spans="1:1" ht="15.95" customHeight="1" x14ac:dyDescent="0.35">
      <c r="A10" s="1" t="str">
        <v>LqdHydrogen</v>
      </c>
    </row>
    <row r="11" spans="1:1" ht="15.95" customHeight="1" x14ac:dyDescent="0.35">
      <c r="A11" s="1" t="str">
        <v>LqdMethane</v>
      </c>
    </row>
    <row r="12" spans="1:1" ht="15.95" customHeight="1" x14ac:dyDescent="0.35">
      <c r="A12" s="1" t="str">
        <v>Hyprazol</v>
      </c>
    </row>
    <row r="13" spans="1:1" ht="15.95" customHeight="1" x14ac:dyDescent="0.35">
      <c r="A13" s="1" t="str">
        <v>Nitrox</v>
      </c>
    </row>
    <row r="14" spans="1:1" ht="15.95" customHeight="1" x14ac:dyDescent="0.35">
      <c r="A14" s="1" t="str">
        <v>Xenon Gas</v>
      </c>
    </row>
    <row r="15" spans="1:1" ht="15.95" customHeight="1" x14ac:dyDescent="0.35">
      <c r="A15" s="1" t="str">
        <v>Argon</v>
      </c>
    </row>
    <row r="16" spans="1:1" ht="15.95" customHeight="1" x14ac:dyDescent="0.35">
      <c r="A16" s="1" t="str">
        <v>Lithium</v>
      </c>
    </row>
    <row r="17" spans="1:1" ht="15.95" customHeight="1" x14ac:dyDescent="0.35">
      <c r="A17" s="1" t="str">
        <v>Ar</v>
      </c>
    </row>
    <row r="18" spans="1:1" ht="15.95" customHeight="1" x14ac:dyDescent="0.35">
      <c r="A18" s="1" t="str">
        <v>Li</v>
      </c>
    </row>
    <row r="19" spans="1:1" ht="15.95" customHeight="1" x14ac:dyDescent="0.35">
      <c r="A19" s="1" t="str">
        <v>Xe</v>
      </c>
    </row>
    <row r="20" spans="1:1" ht="15.95" customHeight="1" x14ac:dyDescent="0.35">
      <c r="A20" s="1" t="str">
        <v>ElectricCharge</v>
      </c>
    </row>
    <row r="21" spans="1:1" ht="15.95" customHeight="1" x14ac:dyDescent="0.35">
      <c r="A21" s="1" t="str">
        <v>Hydrogen</v>
      </c>
    </row>
    <row r="22" spans="1:1" ht="15.95" customHeight="1" x14ac:dyDescent="0.35">
      <c r="A22" s="1" t="str">
        <v>Oxygen</v>
      </c>
    </row>
    <row r="23" spans="1:1" ht="15.95" customHeight="1" x14ac:dyDescent="0.35">
      <c r="A23" s="1" t="str">
        <v>Methane</v>
      </c>
    </row>
    <row r="24" spans="1:1" ht="15.95" customHeight="1" x14ac:dyDescent="0.35">
      <c r="A24" s="1" t="str">
        <v>Ammonia</v>
      </c>
    </row>
    <row r="25" spans="1:1" ht="15.95" customHeight="1" x14ac:dyDescent="0.35">
      <c r="A25" s="1" t="str">
        <v>CarbonDioxide</v>
      </c>
    </row>
    <row r="26" spans="1:1" ht="15.95" customHeight="1" x14ac:dyDescent="0.35">
      <c r="A26" s="1" t="str">
        <v>Nitrogen</v>
      </c>
    </row>
    <row r="27" spans="1:1" ht="15.95" customHeight="1" x14ac:dyDescent="0.35">
      <c r="A27" s="1" t="str">
        <v>LqdAmmonia</v>
      </c>
    </row>
    <row r="28" spans="1:1" ht="15.95" customHeight="1" x14ac:dyDescent="0.35">
      <c r="A28" s="1" t="str">
        <v>LqdCO2</v>
      </c>
    </row>
    <row r="29" spans="1:1" ht="15.95" customHeight="1" x14ac:dyDescent="0.35">
      <c r="A29" s="1" t="str">
        <v>LqdNitrogen</v>
      </c>
    </row>
    <row r="30" spans="1:1" ht="15.95" customHeight="1" x14ac:dyDescent="0.35">
      <c r="A30" s="1" t="str">
        <v>LqdDeuterium</v>
      </c>
    </row>
    <row r="31" spans="1:1" ht="15.95" customHeight="1" x14ac:dyDescent="0.35">
      <c r="A31" s="1" t="str">
        <v>LqdHe3</v>
      </c>
    </row>
    <row r="32" spans="1:1" ht="15.95" customHeight="1" x14ac:dyDescent="0.35">
      <c r="A32" s="1" t="str">
        <v>Ore</v>
      </c>
    </row>
    <row r="33" spans="1:1" ht="15.95" customHeight="1" x14ac:dyDescent="0.35">
      <c r="A33" s="1" t="str">
        <v>Water</v>
      </c>
    </row>
    <row r="34" spans="1:1" ht="15.95" customHeight="1" x14ac:dyDescent="0.35">
      <c r="A34" s="1" t="str">
        <v>Chemicals</v>
      </c>
    </row>
    <row r="35" spans="1:1" ht="15.95" customHeight="1" x14ac:dyDescent="0.35">
      <c r="A35" s="1" t="str">
        <v>Supplies</v>
      </c>
    </row>
    <row r="36" spans="1:1" ht="15.95" customHeight="1" x14ac:dyDescent="0.35">
      <c r="A36" s="1" t="str">
        <v>Mulch</v>
      </c>
    </row>
    <row r="37" spans="1:1" ht="15.95" customHeight="1" x14ac:dyDescent="0.35">
      <c r="A37" s="1" t="str">
        <v>Machinery</v>
      </c>
    </row>
    <row r="38" spans="1:1" ht="15.95" customHeight="1" x14ac:dyDescent="0.35">
      <c r="A38" s="1" t="str">
        <v>Recyclables</v>
      </c>
    </row>
    <row r="39" spans="1:1" ht="15.95" customHeight="1" x14ac:dyDescent="0.35">
      <c r="A39" s="1" t="str">
        <v>MaterialKits</v>
      </c>
    </row>
    <row r="40" spans="1:1" ht="15.95" customHeight="1" x14ac:dyDescent="0.35">
      <c r="A40" s="1" t="str">
        <v>Organics</v>
      </c>
    </row>
    <row r="41" spans="1:1" ht="15.95" customHeight="1" x14ac:dyDescent="0.35">
      <c r="A41" s="1" t="str">
        <v>SpecializedParts</v>
      </c>
    </row>
    <row r="42" spans="1:1" ht="15.95" customHeight="1" x14ac:dyDescent="0.35">
      <c r="A42" s="1" t="str">
        <v>RefinedExotics</v>
      </c>
    </row>
    <row r="43" spans="1:1" ht="15.95" customHeight="1" x14ac:dyDescent="0.35">
      <c r="A43" s="1" t="str">
        <v>Fertilizer</v>
      </c>
    </row>
    <row r="44" spans="1:1" ht="15.95" customHeight="1" x14ac:dyDescent="0.35">
      <c r="A44" s="1" t="str">
        <v>Metals</v>
      </c>
    </row>
    <row r="45" spans="1:1" ht="15.95" customHeight="1" x14ac:dyDescent="0.35">
      <c r="A45" s="1" t="str">
        <v>Polymers</v>
      </c>
    </row>
    <row r="46" spans="1:1" ht="15.95" customHeight="1" x14ac:dyDescent="0.35">
      <c r="A46" s="1" t="str">
        <v>Silicon</v>
      </c>
    </row>
    <row r="47" spans="1:1" ht="15.95" customHeight="1" x14ac:dyDescent="0.35">
      <c r="A47" s="1" t="str">
        <v>Rock</v>
      </c>
    </row>
    <row r="48" spans="1:1" ht="15.95" customHeight="1" x14ac:dyDescent="0.35">
      <c r="A48" s="1" t="str">
        <v>Substrate</v>
      </c>
    </row>
    <row r="49" spans="1:1" ht="15.95" customHeight="1" x14ac:dyDescent="0.35">
      <c r="A49" s="1" t="str">
        <v>ExoticMinerals</v>
      </c>
    </row>
    <row r="50" spans="1:1" ht="15.95" customHeight="1" x14ac:dyDescent="0.35">
      <c r="A50" s="1" t="str">
        <v>RareMetals</v>
      </c>
    </row>
    <row r="51" spans="1:1" ht="15.95" customHeight="1" x14ac:dyDescent="0.35">
      <c r="A51" s="1" t="str">
        <v>Gypsum</v>
      </c>
    </row>
    <row r="52" spans="1:1" ht="15.95" customHeight="1" x14ac:dyDescent="0.35">
      <c r="A52" s="1" t="str">
        <v>Hydrates</v>
      </c>
    </row>
    <row r="53" spans="1:1" ht="15.95" customHeight="1" x14ac:dyDescent="0.35">
      <c r="A53" s="1" t="str">
        <v>MetallicOre</v>
      </c>
    </row>
    <row r="54" spans="1:1" ht="15.95" customHeight="1" x14ac:dyDescent="0.35">
      <c r="A54" s="1" t="str">
        <v>Minerals</v>
      </c>
    </row>
    <row r="55" spans="1:1" ht="15.95" customHeight="1" x14ac:dyDescent="0.35">
      <c r="A55" s="1" t="str">
        <v>Monazite</v>
      </c>
    </row>
    <row r="56" spans="1:1" ht="15.95" customHeight="1" x14ac:dyDescent="0.35">
      <c r="A56" s="1" t="str">
        <v>Silicates</v>
      </c>
    </row>
    <row r="57" spans="1:1" ht="15.95" customHeight="1" x14ac:dyDescent="0.35">
      <c r="A57" s="1" t="str">
        <v>Uraninite</v>
      </c>
    </row>
    <row r="58" spans="1:1" ht="15.95" customHeight="1" x14ac:dyDescent="0.35">
      <c r="A58" s="1" t="str">
        <v>EnrichedUranium</v>
      </c>
    </row>
    <row r="59" spans="1:1" ht="15.95" customHeight="1" x14ac:dyDescent="0.35">
      <c r="A59" s="1" t="str">
        <v>DepletedFuel</v>
      </c>
    </row>
    <row r="60" spans="1:1" ht="15.95" customHeight="1" x14ac:dyDescent="0.35">
      <c r="A60" s="1" t="str">
        <v>NuclearSaltWater</v>
      </c>
    </row>
    <row r="61" spans="1:1" ht="15.95" customHeight="1" x14ac:dyDescent="0.35">
      <c r="A61" s="1" t="str">
        <v>FissionParticles</v>
      </c>
    </row>
    <row r="62" spans="1:1" ht="15.95" customHeight="1" x14ac:dyDescent="0.35">
      <c r="A62" s="1" t="str">
        <v>FissionPellets</v>
      </c>
    </row>
    <row r="63" spans="1:1" ht="15.95" customHeight="1" x14ac:dyDescent="0.35">
      <c r="A63" s="1" t="str">
        <v>FusionPellets</v>
      </c>
    </row>
    <row r="64" spans="1:1" ht="15.95" customHeight="1" x14ac:dyDescent="0.35">
      <c r="A64" s="1" t="str">
        <v>MtlHydrogen</v>
      </c>
    </row>
    <row r="65" spans="1:1" ht="15.95" customHeight="1" x14ac:dyDescent="0.35">
      <c r="A65" s="1" t="str">
        <v>Antimatter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TankTypes·Base</vt:lpstr>
      <vt:lpstr>TankTypes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L. Watkins</dc:creator>
  <cp:lastModifiedBy>David L. Watkins</cp:lastModifiedBy>
  <dcterms:created xsi:type="dcterms:W3CDTF">2015-02-12T18:29:55Z</dcterms:created>
  <dcterms:modified xsi:type="dcterms:W3CDTF">2020-12-05T01:20:39Z</dcterms:modified>
</cp:coreProperties>
</file>